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our\Dropbox (개인용)\진행중 논문\npj Sustainability_Food desert\03 data\"/>
    </mc:Choice>
  </mc:AlternateContent>
  <xr:revisionPtr revIDLastSave="0" documentId="13_ncr:1_{6E9E81B9-7692-4597-BE4B-46109FBC49AB}" xr6:coauthVersionLast="36" xr6:coauthVersionMax="36" xr10:uidLastSave="{00000000-0000-0000-0000-000000000000}"/>
  <bookViews>
    <workbookView xWindow="0" yWindow="0" windowWidth="28770" windowHeight="11235" xr2:uid="{00000000-000D-0000-FFFF-FFFF00000000}"/>
  </bookViews>
  <sheets>
    <sheet name="savedrecs의 사본 (checklist 시험용 (2" sheetId="4" r:id="rId1"/>
  </sheets>
  <definedNames>
    <definedName name="_xlnm._FilterDatabase" localSheetId="0" hidden="1">'savedrecs의 사본 (checklist 시험용 (2'!$BS$1:$BW$848</definedName>
  </definedNames>
  <calcPr calcId="191029"/>
  <extLst>
    <ext uri="GoogleSheetsCustomDataVersion2">
      <go:sheetsCustomData xmlns:go="http://customooxmlschemas.google.com/" r:id="rId8" roundtripDataChecksum="73GU0rKL8im38KhnSkXv8lo1dMQTlY8sEDHoXWrNsT8="/>
    </ext>
  </extLst>
</workbook>
</file>

<file path=xl/calcChain.xml><?xml version="1.0" encoding="utf-8"?>
<calcChain xmlns="http://schemas.openxmlformats.org/spreadsheetml/2006/main">
  <c r="BD848" i="4" l="1"/>
  <c r="BD847" i="4"/>
  <c r="BD846" i="4"/>
  <c r="BD845" i="4"/>
  <c r="BD844" i="4"/>
  <c r="BD843" i="4"/>
  <c r="BD842" i="4"/>
  <c r="BD841" i="4"/>
  <c r="BD840" i="4"/>
  <c r="BD839" i="4"/>
  <c r="BD838" i="4"/>
  <c r="BD837" i="4"/>
  <c r="BD836" i="4"/>
  <c r="BD835" i="4"/>
  <c r="BD834" i="4"/>
  <c r="BD833" i="4"/>
  <c r="BD832" i="4"/>
  <c r="BD831" i="4"/>
  <c r="BD830" i="4"/>
  <c r="BD829" i="4"/>
  <c r="BD828" i="4"/>
  <c r="BD827" i="4"/>
  <c r="BD826" i="4"/>
  <c r="BD825" i="4"/>
  <c r="BD824" i="4"/>
  <c r="BD823" i="4"/>
  <c r="BD822" i="4"/>
  <c r="BD821" i="4"/>
  <c r="BD820" i="4"/>
  <c r="BD819" i="4"/>
  <c r="BD818" i="4"/>
  <c r="BD816" i="4"/>
  <c r="BD815" i="4"/>
  <c r="BD813" i="4"/>
  <c r="BD812" i="4"/>
  <c r="BD811" i="4"/>
  <c r="BD810" i="4"/>
  <c r="BD809" i="4"/>
  <c r="BD808" i="4"/>
  <c r="BD807" i="4"/>
  <c r="BD806" i="4"/>
  <c r="BD805" i="4"/>
  <c r="BD804" i="4"/>
  <c r="BD803" i="4"/>
  <c r="BD802" i="4"/>
  <c r="BD801" i="4"/>
  <c r="BD799" i="4"/>
  <c r="BD797" i="4"/>
  <c r="BD796" i="4"/>
  <c r="BD795" i="4"/>
  <c r="BD794" i="4"/>
  <c r="BD793" i="4"/>
  <c r="BD792" i="4"/>
  <c r="BD791" i="4"/>
  <c r="BD790" i="4"/>
  <c r="BD789" i="4"/>
  <c r="BD788" i="4"/>
  <c r="BD787" i="4"/>
  <c r="BD786" i="4"/>
  <c r="BD784" i="4"/>
  <c r="BD783" i="4"/>
  <c r="BD782" i="4"/>
  <c r="BD781" i="4"/>
  <c r="BD780" i="4"/>
  <c r="BD779" i="4"/>
  <c r="BD778" i="4"/>
  <c r="BD777" i="4"/>
  <c r="BD776" i="4"/>
  <c r="BD775" i="4"/>
  <c r="BD774" i="4"/>
  <c r="BD773" i="4"/>
  <c r="BD772" i="4"/>
  <c r="BD771" i="4"/>
  <c r="BD768" i="4"/>
  <c r="BD767" i="4"/>
  <c r="BD766" i="4"/>
  <c r="BD765" i="4"/>
  <c r="BD764" i="4"/>
  <c r="BD763" i="4"/>
  <c r="BD762" i="4"/>
  <c r="BD761" i="4"/>
  <c r="BD759" i="4"/>
  <c r="BD758" i="4"/>
  <c r="BD757" i="4"/>
  <c r="BD756" i="4"/>
  <c r="BD754" i="4"/>
  <c r="BD753" i="4"/>
  <c r="BD752" i="4"/>
  <c r="BD750" i="4"/>
  <c r="BD749" i="4"/>
  <c r="BD746" i="4"/>
  <c r="BD745" i="4"/>
  <c r="BD744" i="4"/>
  <c r="BD743" i="4"/>
  <c r="BD742" i="4"/>
  <c r="BD741" i="4"/>
  <c r="BD740" i="4"/>
  <c r="BD739" i="4"/>
  <c r="BD738" i="4"/>
  <c r="BD737" i="4"/>
  <c r="BD736" i="4"/>
  <c r="BD735" i="4"/>
  <c r="BD734" i="4"/>
  <c r="BD733" i="4"/>
  <c r="BD732" i="4"/>
  <c r="BD731" i="4"/>
  <c r="BD730" i="4"/>
  <c r="BD729" i="4"/>
  <c r="BD728" i="4"/>
  <c r="BD727" i="4"/>
  <c r="BD726" i="4"/>
  <c r="BD725" i="4"/>
  <c r="BD724" i="4"/>
  <c r="BD723" i="4"/>
  <c r="BD722" i="4"/>
  <c r="BD721" i="4"/>
  <c r="BD720" i="4"/>
  <c r="BD719" i="4"/>
  <c r="BD718" i="4"/>
  <c r="BD717" i="4"/>
  <c r="BD716" i="4"/>
  <c r="BD715" i="4"/>
  <c r="BD714" i="4"/>
  <c r="BD713" i="4"/>
  <c r="BD712" i="4"/>
  <c r="BD711" i="4"/>
  <c r="BD710" i="4"/>
  <c r="BD709" i="4"/>
  <c r="BD708" i="4"/>
  <c r="BD707" i="4"/>
  <c r="BD706" i="4"/>
  <c r="BD705" i="4"/>
  <c r="BD704" i="4"/>
  <c r="BD703" i="4"/>
  <c r="BD701" i="4"/>
  <c r="BD700" i="4"/>
  <c r="BD699" i="4"/>
  <c r="BD698" i="4"/>
  <c r="BD697" i="4"/>
  <c r="BD696" i="4"/>
  <c r="BD695" i="4"/>
  <c r="BD693" i="4"/>
  <c r="BD692" i="4"/>
  <c r="BD691" i="4"/>
  <c r="BD690" i="4"/>
  <c r="BD689" i="4"/>
  <c r="BD688" i="4"/>
  <c r="BD687" i="4"/>
  <c r="BD686" i="4"/>
  <c r="BD685" i="4"/>
  <c r="BD684" i="4"/>
  <c r="BD683" i="4"/>
  <c r="BD682" i="4"/>
  <c r="BD681" i="4"/>
  <c r="BD680" i="4"/>
  <c r="BD679" i="4"/>
  <c r="BD678" i="4"/>
  <c r="BD677" i="4"/>
  <c r="BD676" i="4"/>
  <c r="BD675" i="4"/>
  <c r="BD674" i="4"/>
  <c r="BD673" i="4"/>
  <c r="BD671" i="4"/>
  <c r="BD670" i="4"/>
  <c r="BD669" i="4"/>
  <c r="BD667" i="4"/>
  <c r="BD666" i="4"/>
  <c r="BD665" i="4"/>
  <c r="BD664" i="4"/>
  <c r="BD663" i="4"/>
  <c r="BD662" i="4"/>
  <c r="BD661" i="4"/>
  <c r="BD659" i="4"/>
  <c r="BD657" i="4"/>
  <c r="BD656" i="4"/>
  <c r="BD653" i="4"/>
  <c r="BD652" i="4"/>
  <c r="BD651" i="4"/>
  <c r="BD648" i="4"/>
  <c r="BD647" i="4"/>
  <c r="BD645" i="4"/>
  <c r="BD644" i="4"/>
  <c r="BD643" i="4"/>
  <c r="BD642" i="4"/>
  <c r="BD641" i="4"/>
  <c r="BD640" i="4"/>
  <c r="BD639" i="4"/>
  <c r="BD638" i="4"/>
  <c r="BD637" i="4"/>
  <c r="BD636" i="4"/>
  <c r="BD635" i="4"/>
  <c r="BD634" i="4"/>
  <c r="BD633" i="4"/>
  <c r="BD629" i="4"/>
  <c r="BD628" i="4"/>
  <c r="BD625" i="4"/>
  <c r="BD624" i="4"/>
  <c r="BD623" i="4"/>
  <c r="BD622" i="4"/>
  <c r="BD621" i="4"/>
  <c r="BD619" i="4"/>
  <c r="BD618" i="4"/>
  <c r="BD617" i="4"/>
  <c r="BD616" i="4"/>
  <c r="BD615" i="4"/>
  <c r="BD614" i="4"/>
  <c r="BD613" i="4"/>
  <c r="BD612" i="4"/>
  <c r="BD611" i="4"/>
  <c r="BD610" i="4"/>
  <c r="BD608" i="4"/>
  <c r="BD607" i="4"/>
  <c r="BD606" i="4"/>
  <c r="BD605" i="4"/>
  <c r="BD604" i="4"/>
  <c r="BD603" i="4"/>
  <c r="BD601" i="4"/>
  <c r="BD597" i="4"/>
  <c r="BD596" i="4"/>
  <c r="BD595" i="4"/>
  <c r="BD594" i="4"/>
  <c r="BD593" i="4"/>
  <c r="BD592" i="4"/>
  <c r="BD590" i="4"/>
  <c r="BD588" i="4"/>
  <c r="BD587" i="4"/>
  <c r="BD585" i="4"/>
  <c r="BD584" i="4"/>
  <c r="BD583" i="4"/>
  <c r="BD582" i="4"/>
  <c r="BD581" i="4"/>
  <c r="BD580" i="4"/>
  <c r="BD579" i="4"/>
  <c r="BD578" i="4"/>
  <c r="BD577" i="4"/>
  <c r="BD576" i="4"/>
  <c r="BD575" i="4"/>
  <c r="BD574" i="4"/>
  <c r="BD573" i="4"/>
  <c r="BD572" i="4"/>
  <c r="BD571" i="4"/>
  <c r="BD570" i="4"/>
  <c r="BD569" i="4"/>
  <c r="BD568" i="4"/>
  <c r="BD567" i="4"/>
  <c r="BD565" i="4"/>
  <c r="BD564" i="4"/>
  <c r="BD563" i="4"/>
  <c r="BD562" i="4"/>
  <c r="BD561" i="4"/>
  <c r="BD560" i="4"/>
  <c r="BD559" i="4"/>
  <c r="BD558" i="4"/>
  <c r="BD557" i="4"/>
  <c r="BD555" i="4"/>
  <c r="BD554" i="4"/>
  <c r="BD553" i="4"/>
  <c r="BD552" i="4"/>
  <c r="BD551" i="4"/>
  <c r="BD550" i="4"/>
  <c r="BD549" i="4"/>
  <c r="BD548" i="4"/>
  <c r="BD546" i="4"/>
  <c r="BD544" i="4"/>
  <c r="BD543" i="4"/>
  <c r="BD542" i="4"/>
  <c r="BD541" i="4"/>
  <c r="BD540" i="4"/>
  <c r="BD539" i="4"/>
  <c r="BD538" i="4"/>
  <c r="BD537" i="4"/>
  <c r="BD536" i="4"/>
  <c r="BD535" i="4"/>
  <c r="BD534" i="4"/>
  <c r="BD533" i="4"/>
  <c r="BD531" i="4"/>
  <c r="BD528" i="4"/>
  <c r="BD527" i="4"/>
  <c r="BD526" i="4"/>
  <c r="BD525" i="4"/>
  <c r="BD524" i="4"/>
  <c r="BD523" i="4"/>
  <c r="BD522" i="4"/>
  <c r="BD521" i="4"/>
  <c r="BD519" i="4"/>
  <c r="BD518" i="4"/>
  <c r="BD516" i="4"/>
  <c r="BD514" i="4"/>
  <c r="BD513" i="4"/>
  <c r="BD512" i="4"/>
  <c r="BD511" i="4"/>
  <c r="BD510" i="4"/>
  <c r="BD509" i="4"/>
  <c r="BD508" i="4"/>
  <c r="BD507" i="4"/>
  <c r="BD506" i="4"/>
  <c r="BD504" i="4"/>
  <c r="BD503" i="4"/>
  <c r="BD502" i="4"/>
  <c r="BD500" i="4"/>
  <c r="BD499" i="4"/>
  <c r="BD498" i="4"/>
  <c r="BD497" i="4"/>
  <c r="BD496" i="4"/>
  <c r="BD495" i="4"/>
  <c r="BD494" i="4"/>
  <c r="BD493" i="4"/>
  <c r="BD490" i="4"/>
  <c r="BD489" i="4"/>
  <c r="BD488" i="4"/>
  <c r="BD487" i="4"/>
  <c r="BD485" i="4"/>
  <c r="BD484" i="4"/>
  <c r="BD483" i="4"/>
  <c r="BD482" i="4"/>
  <c r="BD481" i="4"/>
  <c r="BD480" i="4"/>
  <c r="BD479" i="4"/>
  <c r="BD478" i="4"/>
  <c r="BD477" i="4"/>
  <c r="BD474" i="4"/>
  <c r="BD473" i="4"/>
  <c r="BD472" i="4"/>
  <c r="BD471" i="4"/>
  <c r="BD470" i="4"/>
  <c r="BD469" i="4"/>
  <c r="BD467" i="4"/>
  <c r="BD466" i="4"/>
  <c r="BD465" i="4"/>
  <c r="BD464" i="4"/>
  <c r="BD463" i="4"/>
  <c r="BD461" i="4"/>
  <c r="BD460" i="4"/>
  <c r="BD459" i="4"/>
  <c r="BD458" i="4"/>
  <c r="BD456" i="4"/>
  <c r="BD455" i="4"/>
  <c r="BD453" i="4"/>
  <c r="BD452" i="4"/>
  <c r="BD451" i="4"/>
  <c r="BD449" i="4"/>
  <c r="BD448" i="4"/>
  <c r="BD447" i="4"/>
  <c r="BD446" i="4"/>
  <c r="BD445" i="4"/>
  <c r="BD442" i="4"/>
  <c r="BD441" i="4"/>
  <c r="BD440" i="4"/>
  <c r="BD439" i="4"/>
  <c r="BD438" i="4"/>
  <c r="BD437" i="4"/>
  <c r="BD436" i="4"/>
  <c r="BD435" i="4"/>
  <c r="BD434" i="4"/>
  <c r="BD433" i="4"/>
  <c r="BD432" i="4"/>
  <c r="BD431" i="4"/>
  <c r="BD429" i="4"/>
  <c r="BD428" i="4"/>
  <c r="BD427" i="4"/>
  <c r="BD426" i="4"/>
  <c r="BD425" i="4"/>
  <c r="BD423" i="4"/>
  <c r="BD422" i="4"/>
  <c r="BD420" i="4"/>
  <c r="BD418" i="4"/>
  <c r="BD417" i="4"/>
  <c r="BD416" i="4"/>
  <c r="BD415" i="4"/>
  <c r="BD413" i="4"/>
  <c r="BD412" i="4"/>
  <c r="BD411" i="4"/>
  <c r="BD410" i="4"/>
  <c r="BD409" i="4"/>
  <c r="BD408" i="4"/>
  <c r="BD407" i="4"/>
  <c r="BD406" i="4"/>
  <c r="BD405" i="4"/>
  <c r="BD404" i="4"/>
  <c r="BD402" i="4"/>
  <c r="BD401" i="4"/>
  <c r="BD399" i="4"/>
  <c r="BD398" i="4"/>
  <c r="BD397" i="4"/>
  <c r="BD396" i="4"/>
  <c r="BD393" i="4"/>
  <c r="BD392" i="4"/>
  <c r="BD391" i="4"/>
  <c r="BD390" i="4"/>
  <c r="BD389" i="4"/>
  <c r="BD388" i="4"/>
  <c r="BD387" i="4"/>
  <c r="BD386" i="4"/>
  <c r="BD385" i="4"/>
  <c r="BD384" i="4"/>
  <c r="BD383" i="4"/>
  <c r="BD382" i="4"/>
  <c r="BD381" i="4"/>
  <c r="BD380" i="4"/>
  <c r="BD379" i="4"/>
  <c r="BD378" i="4"/>
  <c r="BD377" i="4"/>
  <c r="BD376" i="4"/>
  <c r="BD374" i="4"/>
  <c r="BD373" i="4"/>
  <c r="BD372" i="4"/>
  <c r="BD371" i="4"/>
  <c r="BD370" i="4"/>
  <c r="BD369" i="4"/>
  <c r="BD368" i="4"/>
  <c r="BD367" i="4"/>
  <c r="BD366" i="4"/>
  <c r="BD365" i="4"/>
  <c r="BD364" i="4"/>
  <c r="BD363" i="4"/>
  <c r="BD362" i="4"/>
  <c r="BD361" i="4"/>
  <c r="BD360" i="4"/>
  <c r="BD359" i="4"/>
  <c r="BD357" i="4"/>
  <c r="BD356" i="4"/>
  <c r="BD355" i="4"/>
  <c r="BD354" i="4"/>
  <c r="BD353" i="4"/>
  <c r="BD351" i="4"/>
  <c r="BD350" i="4"/>
  <c r="BD349" i="4"/>
  <c r="BD348" i="4"/>
  <c r="BD347" i="4"/>
  <c r="BD346" i="4"/>
  <c r="BD345" i="4"/>
  <c r="BD344" i="4"/>
  <c r="BD343" i="4"/>
  <c r="BD342" i="4"/>
  <c r="BD341" i="4"/>
  <c r="BD340" i="4"/>
  <c r="BD339" i="4"/>
  <c r="BD338" i="4"/>
  <c r="BD337" i="4"/>
  <c r="BD336" i="4"/>
  <c r="BD335" i="4"/>
  <c r="BD334" i="4"/>
  <c r="BD333" i="4"/>
  <c r="BD332" i="4"/>
  <c r="BD331" i="4"/>
  <c r="BD330" i="4"/>
  <c r="BD329" i="4"/>
  <c r="BD328" i="4"/>
  <c r="BD327" i="4"/>
  <c r="BD326" i="4"/>
  <c r="BD325" i="4"/>
  <c r="BD324" i="4"/>
  <c r="BD323" i="4"/>
  <c r="BD322" i="4"/>
  <c r="BD321" i="4"/>
  <c r="BD320" i="4"/>
  <c r="BD319" i="4"/>
  <c r="BD318" i="4"/>
  <c r="BD317" i="4"/>
  <c r="BD316" i="4"/>
  <c r="BD315" i="4"/>
  <c r="BD314" i="4"/>
  <c r="BD312" i="4"/>
  <c r="BD311" i="4"/>
  <c r="BD310" i="4"/>
  <c r="BD309" i="4"/>
  <c r="BD308" i="4"/>
  <c r="BD307" i="4"/>
  <c r="BD306" i="4"/>
  <c r="BD305" i="4"/>
  <c r="BD304" i="4"/>
  <c r="BD303" i="4"/>
  <c r="BD302" i="4"/>
  <c r="BD301" i="4"/>
  <c r="BD300" i="4"/>
  <c r="BD299" i="4"/>
  <c r="BD298" i="4"/>
  <c r="BD297" i="4"/>
  <c r="BD296" i="4"/>
  <c r="BD295" i="4"/>
  <c r="BD294" i="4"/>
  <c r="BD293" i="4"/>
  <c r="BD292" i="4"/>
  <c r="BD291" i="4"/>
  <c r="BD290" i="4"/>
  <c r="BD289" i="4"/>
  <c r="BD288" i="4"/>
  <c r="BD287" i="4"/>
  <c r="BD286" i="4"/>
  <c r="BD285" i="4"/>
  <c r="BD284" i="4"/>
  <c r="BD283" i="4"/>
  <c r="BD282" i="4"/>
  <c r="BD281" i="4"/>
  <c r="BD280" i="4"/>
  <c r="BD279" i="4"/>
  <c r="BD278" i="4"/>
  <c r="BD277" i="4"/>
  <c r="BD276" i="4"/>
  <c r="BD275" i="4"/>
  <c r="BD274" i="4"/>
  <c r="BD273" i="4"/>
  <c r="BD272" i="4"/>
  <c r="BD271" i="4"/>
  <c r="BD270" i="4"/>
  <c r="BD269" i="4"/>
  <c r="BD268" i="4"/>
  <c r="BD267" i="4"/>
  <c r="BD266" i="4"/>
  <c r="BD265" i="4"/>
  <c r="BD264" i="4"/>
  <c r="BD263" i="4"/>
  <c r="BD262" i="4"/>
  <c r="BD261" i="4"/>
  <c r="BD260" i="4"/>
  <c r="BD259" i="4"/>
  <c r="BD258" i="4"/>
  <c r="BD257" i="4"/>
  <c r="BD256" i="4"/>
  <c r="BD255" i="4"/>
  <c r="BD254" i="4"/>
  <c r="BD253" i="4"/>
  <c r="BD252" i="4"/>
  <c r="BD251" i="4"/>
  <c r="BD250" i="4"/>
  <c r="BD249" i="4"/>
  <c r="BD248" i="4"/>
  <c r="BD247" i="4"/>
  <c r="BD246" i="4"/>
  <c r="BD245" i="4"/>
  <c r="BD243" i="4"/>
  <c r="BD242" i="4"/>
  <c r="BD241" i="4"/>
  <c r="BD240" i="4"/>
  <c r="BD238" i="4"/>
  <c r="BD237" i="4"/>
  <c r="BD236" i="4"/>
  <c r="BD235" i="4"/>
  <c r="BD234" i="4"/>
  <c r="BD233" i="4"/>
  <c r="BD232" i="4"/>
  <c r="BD231" i="4"/>
  <c r="BD230" i="4"/>
  <c r="BD229" i="4"/>
  <c r="BD228" i="4"/>
  <c r="BD226" i="4"/>
  <c r="BD225" i="4"/>
  <c r="BD224" i="4"/>
  <c r="BD223" i="4"/>
  <c r="BD222" i="4"/>
  <c r="BD221" i="4"/>
  <c r="BD220" i="4"/>
  <c r="BD219" i="4"/>
  <c r="BD218" i="4"/>
  <c r="BD217" i="4"/>
  <c r="BD216" i="4"/>
  <c r="BD215" i="4"/>
  <c r="BD214" i="4"/>
  <c r="BD213" i="4"/>
  <c r="BD212" i="4"/>
  <c r="BD211" i="4"/>
  <c r="BD210" i="4"/>
  <c r="BD209" i="4"/>
  <c r="BD208" i="4"/>
  <c r="BD206" i="4"/>
  <c r="BD205" i="4"/>
  <c r="BD204" i="4"/>
  <c r="BD203" i="4"/>
  <c r="BD202" i="4"/>
  <c r="BD201" i="4"/>
  <c r="BD200" i="4"/>
  <c r="BD199" i="4"/>
  <c r="BD198" i="4"/>
  <c r="BD197" i="4"/>
  <c r="BD196" i="4"/>
  <c r="BD195" i="4"/>
  <c r="BD194" i="4"/>
  <c r="BD193" i="4"/>
  <c r="BD192" i="4"/>
  <c r="BD191" i="4"/>
  <c r="BD190" i="4"/>
  <c r="BD189" i="4"/>
  <c r="BD188" i="4"/>
  <c r="BD187" i="4"/>
  <c r="BD186" i="4"/>
  <c r="BD185" i="4"/>
  <c r="BD184" i="4"/>
  <c r="BD183" i="4"/>
  <c r="BD182" i="4"/>
  <c r="BD181" i="4"/>
  <c r="BD180" i="4"/>
  <c r="BD179" i="4"/>
  <c r="BD178" i="4"/>
  <c r="BD177" i="4"/>
  <c r="BD176" i="4"/>
  <c r="BD175" i="4"/>
  <c r="BD174" i="4"/>
  <c r="BD173" i="4"/>
  <c r="BD172" i="4"/>
  <c r="BD171" i="4"/>
  <c r="BD170" i="4"/>
  <c r="BD169" i="4"/>
  <c r="BD168" i="4"/>
  <c r="BD167" i="4"/>
  <c r="BD166" i="4"/>
  <c r="BD165" i="4"/>
  <c r="BD164" i="4"/>
  <c r="BD163" i="4"/>
  <c r="BD161" i="4"/>
  <c r="BD160" i="4"/>
  <c r="BD159" i="4"/>
  <c r="BD158" i="4"/>
  <c r="BD157" i="4"/>
  <c r="BD156" i="4"/>
  <c r="BD155" i="4"/>
  <c r="BD154" i="4"/>
  <c r="BD153" i="4"/>
  <c r="BD152" i="4"/>
  <c r="BD151" i="4"/>
  <c r="BD150" i="4"/>
  <c r="BD149" i="4"/>
  <c r="BD148" i="4"/>
  <c r="BD147" i="4"/>
  <c r="BD146" i="4"/>
  <c r="BD145" i="4"/>
  <c r="BD144" i="4"/>
  <c r="BD143" i="4"/>
  <c r="BD142" i="4"/>
  <c r="BD141" i="4"/>
  <c r="BD140" i="4"/>
  <c r="BD139" i="4"/>
  <c r="BD138" i="4"/>
  <c r="BD137" i="4"/>
  <c r="BD136" i="4"/>
  <c r="BD135" i="4"/>
  <c r="BD133" i="4"/>
  <c r="BD132" i="4"/>
  <c r="BD131" i="4"/>
  <c r="BD130" i="4"/>
  <c r="BD129" i="4"/>
  <c r="BD128" i="4"/>
  <c r="BD127" i="4"/>
  <c r="BD126" i="4"/>
  <c r="BD125" i="4"/>
  <c r="BD124" i="4"/>
  <c r="BD123" i="4"/>
  <c r="BD122" i="4"/>
  <c r="BD121" i="4"/>
  <c r="BD120" i="4"/>
  <c r="BD119" i="4"/>
  <c r="BD118" i="4"/>
  <c r="BD117" i="4"/>
  <c r="BD116" i="4"/>
  <c r="BD115" i="4"/>
  <c r="BD114" i="4"/>
  <c r="BD113" i="4"/>
  <c r="BD112" i="4"/>
  <c r="BD111" i="4"/>
  <c r="BD110" i="4"/>
  <c r="BD109" i="4"/>
  <c r="BD108" i="4"/>
  <c r="BD107" i="4"/>
  <c r="BD106" i="4"/>
  <c r="BD105" i="4"/>
  <c r="BD104" i="4"/>
  <c r="BD103" i="4"/>
  <c r="BD102" i="4"/>
  <c r="BD101" i="4"/>
  <c r="BD100" i="4"/>
  <c r="BD99" i="4"/>
  <c r="BD98" i="4"/>
  <c r="BD97" i="4"/>
  <c r="BD96" i="4"/>
  <c r="BD95" i="4"/>
  <c r="BD94" i="4"/>
  <c r="BD93" i="4"/>
  <c r="BD92" i="4"/>
  <c r="BD91" i="4"/>
  <c r="BD90" i="4"/>
  <c r="BD89" i="4"/>
  <c r="BD88" i="4"/>
  <c r="BD87" i="4"/>
  <c r="BD86" i="4"/>
  <c r="BD85" i="4"/>
  <c r="BD84" i="4"/>
  <c r="BD83" i="4"/>
  <c r="BD82" i="4"/>
  <c r="BD80" i="4"/>
  <c r="BD79" i="4"/>
  <c r="BD78" i="4"/>
  <c r="BD76" i="4"/>
  <c r="BD75" i="4"/>
  <c r="BD74" i="4"/>
  <c r="BD73" i="4"/>
  <c r="BD72" i="4"/>
  <c r="BD71" i="4"/>
  <c r="BD70" i="4"/>
  <c r="BD69" i="4"/>
  <c r="BD68" i="4"/>
  <c r="BD67" i="4"/>
  <c r="BD66" i="4"/>
  <c r="BD65" i="4"/>
  <c r="BD64" i="4"/>
  <c r="BD63" i="4"/>
  <c r="BD62" i="4"/>
  <c r="BD61" i="4"/>
  <c r="BD60" i="4"/>
  <c r="BD58" i="4"/>
  <c r="BD57" i="4"/>
  <c r="BD56" i="4"/>
  <c r="BD55" i="4"/>
  <c r="BD54" i="4"/>
  <c r="BD53" i="4"/>
  <c r="BD52" i="4"/>
  <c r="BD51" i="4"/>
  <c r="BD50" i="4"/>
  <c r="BD49" i="4"/>
  <c r="BD48" i="4"/>
  <c r="BD47" i="4"/>
  <c r="BD46" i="4"/>
  <c r="BD45" i="4"/>
  <c r="BD44" i="4"/>
  <c r="BD43" i="4"/>
  <c r="BD42" i="4"/>
  <c r="BD41" i="4"/>
  <c r="BD40" i="4"/>
  <c r="BD39" i="4"/>
  <c r="BD38" i="4"/>
  <c r="BD37" i="4"/>
  <c r="BD36" i="4"/>
  <c r="BD35" i="4"/>
  <c r="BD34" i="4"/>
  <c r="BD32" i="4"/>
  <c r="BD31" i="4"/>
  <c r="BD30" i="4"/>
  <c r="BD29" i="4"/>
  <c r="BD27" i="4"/>
  <c r="BD26" i="4"/>
  <c r="BD24" i="4"/>
  <c r="BD23" i="4"/>
  <c r="BD21" i="4"/>
  <c r="BD20" i="4"/>
  <c r="BD19" i="4"/>
  <c r="BD18" i="4"/>
  <c r="BD17" i="4"/>
  <c r="BD16" i="4"/>
  <c r="BD15" i="4"/>
  <c r="BD14" i="4"/>
  <c r="BD13" i="4"/>
  <c r="BD12" i="4"/>
  <c r="BD11" i="4"/>
  <c r="BD10" i="4"/>
  <c r="BD9" i="4"/>
  <c r="BD8" i="4"/>
  <c r="BD7" i="4"/>
  <c r="BD6" i="4"/>
  <c r="BD5" i="4"/>
  <c r="BD4" i="4"/>
</calcChain>
</file>

<file path=xl/sharedStrings.xml><?xml version="1.0" encoding="utf-8"?>
<sst xmlns="http://schemas.openxmlformats.org/spreadsheetml/2006/main" count="12879" uniqueCount="7527">
  <si>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</si>
  <si>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</si>
  <si>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</si>
  <si>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</si>
  <si>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</si>
  <si>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</si>
  <si>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</si>
  <si>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</si>
  <si>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</si>
  <si>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</si>
  <si>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</si>
  <si>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</si>
  <si>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</si>
  <si>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</si>
  <si>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</si>
  <si>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</si>
  <si>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</si>
  <si>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</si>
  <si>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</si>
  <si>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</si>
  <si>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</si>
  <si>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</si>
  <si>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</si>
  <si>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</si>
  <si>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</si>
  <si>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</si>
  <si>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</si>
  <si>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</si>
  <si>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</si>
  <si>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</si>
  <si>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</si>
  <si>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</si>
  <si>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</si>
  <si>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</si>
  <si>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</si>
  <si>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</si>
  <si>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</si>
  <si>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</si>
  <si>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</si>
  <si>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</si>
  <si>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</si>
  <si>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</si>
  <si>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</si>
  <si>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</si>
  <si>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</si>
  <si>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</si>
  <si>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</si>
  <si>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</si>
  <si>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</si>
  <si>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</si>
  <si>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</si>
  <si>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</si>
  <si>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</si>
  <si>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</si>
  <si>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</si>
  <si>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</si>
  <si>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</si>
  <si>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</si>
  <si>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</si>
  <si>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</si>
  <si>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Pubmed Id</t>
  </si>
  <si>
    <t>UT (Unique WOS ID)</t>
  </si>
  <si>
    <t>X</t>
  </si>
  <si>
    <t>J</t>
  </si>
  <si>
    <t>NOV</t>
  </si>
  <si>
    <t>DEC</t>
  </si>
  <si>
    <t>JUN</t>
  </si>
  <si>
    <t>FEB</t>
  </si>
  <si>
    <t>APR</t>
  </si>
  <si>
    <t>Nelson, M</t>
  </si>
  <si>
    <t>Childhood nutrition and poverty</t>
  </si>
  <si>
    <t>PROCEEDINGS OF THE NUTRITION SOCIETY</t>
  </si>
  <si>
    <t>JUN 29-JUL 02, 1999</t>
  </si>
  <si>
    <t>UNIV GLASGOW, GLASGOW, SCOTLAND</t>
  </si>
  <si>
    <t>Nutr Soc</t>
  </si>
  <si>
    <t>UNIV GLASGOW</t>
  </si>
  <si>
    <t>One in three children in Britain lives in poverty (households whose income was less than 50 % average earnings). Low income is associated with poor nutrition at all stages of life, from lower rates of breast-feeding to higher intakes of saturated fatty acids and lower intakes of antioxidant nutrients. Moreover, there is increasing evidence that poor nutrition in childhood is associated with both short-term and long-term adverse consequences such as poorer immune status, higher caries rates and poorer cognitive function and learning ability. These problems arise primarily because parents do not have enough money to spend on food, not because money is being spent unwisely. Policy options to improve the dietary health of poor children include: giving more money to the parents by increasing Income Support (social security) payments, providing food stamps or vouchers, and using food budget standards to inform the levels of income needed to purchase an adequate diet; feeding children directly at school (not only at lunchtime but also at breakfast or homework clubs), by providing free fruit at school, and by increasing entitlement to free food amongst children living in households with low incomes; improving access to a healthy and affordable diet by first identifying 'food deserts' and then considering with retailers and local planners how best to provide food in an economical and sustainable way. The value of using food budget standards is illustrated with data relating expenditure on food to growth in children from 'at-risk' families (on low income, overcrowded, headed by a lone parent or with four or more children under 16 years of age) living in a poor area in London. Lower levels of expenditure are strongly associated with poorer growth and health, independent of factors such as birth weight, mother's height, or risk score. The present paper provides evidence that supports the need to review Government legislation in light of nutrition-related inequalities in the health of children.</t>
  </si>
  <si>
    <t>0029-6651</t>
  </si>
  <si>
    <t>MAY</t>
  </si>
  <si>
    <t>10.1017/S0029665100000343</t>
  </si>
  <si>
    <t>WOS:000088556800016</t>
  </si>
  <si>
    <t>JAN-FEB</t>
  </si>
  <si>
    <t>MAR</t>
  </si>
  <si>
    <t>DIABETES CARE</t>
  </si>
  <si>
    <t>0149-5992</t>
  </si>
  <si>
    <t>Whelan, A; Wrigley, N; Warm, D; Cannings, E</t>
  </si>
  <si>
    <t>Life in a 'food desert'</t>
  </si>
  <si>
    <t>URBAN STUDIES</t>
  </si>
  <si>
    <t>This paper forms part of the 'Food Deserts in British Cities' project. It reports on the findings of a series of focus groups conducted with residents in the Seacroft 'food desert' (in Leeds) in the period prior to a major improvement in their food retail accessibility. The paper explores individual food shopping behaviour, consumption patterns and attitudes towards a healthy diet and, in so doing, begins to develop an understanding of how different demographic groups adapt to living within a 'food desert'. The focus is on the perceived economic and physical constraints of residents in the area, but interwoven with this are other considerations such as motivation to consider health, family responsibilities and individual smoking status.</t>
  </si>
  <si>
    <t>Wrigley, Neil/B-3224-2011</t>
  </si>
  <si>
    <t>Wrigley, Neil/0000-0002-3967-5668</t>
  </si>
  <si>
    <t>0042-0980</t>
  </si>
  <si>
    <t>OCT</t>
  </si>
  <si>
    <t>10.1080/0042098022000011371</t>
  </si>
  <si>
    <t>WOS:000178382600007</t>
  </si>
  <si>
    <t>Wrigley, N; Warm, D; Margetts, B; Whelan, A</t>
  </si>
  <si>
    <t>Assessing the impact of improved retail access on diet in a 'food desert': A preliminary report</t>
  </si>
  <si>
    <t>If poor food retail access in deprived areas of British cities is linked, as suggested in many of the policy debates of the late 1990s, via compromised diets/undernutrition to poor health and widening health inequalities, what is the impact of a sudden and significant improvement in food retail access likely to be on the food consumption patterns of residents? In this paper, we describe and provide preliminary results from the first-ever UK study of a major retail provision on diet in a 'food desert'-a 'before/after' study of food consumption patterns in the highly deprived, previously poor food retail access area of Seacroft, Leeds, experiencing a sudden and significant change in its food retail access as a result of the opening of a large superstore by the UK's leading food retailer. We suggest that this study has the potential to provide some of the missing links between poor food retail access, compromised diets/undernutrition, poor health and compound social exclusion that characterised statements on the topic of 'food deserts' in the health inequalities and social exclusion debates of the late 1990s, and that its findings may have significant implications for policy debate.</t>
  </si>
  <si>
    <t>10.1080/0042098022000011362</t>
  </si>
  <si>
    <t>WOS:000178382600006</t>
  </si>
  <si>
    <t>Cummins, S; Macintyre, S</t>
  </si>
  <si>
    <t>Food deserts - evidence and assumption in health policy making</t>
  </si>
  <si>
    <t>BRITISH MEDICAL JOURNAL</t>
  </si>
  <si>
    <t>Assertions can be reported so often that they are considered true (factoids). They may sometimes even be used to determine health policy when empirical information is lacking. Steven Cummins and Sally Macintyre use the claimed existence of food deserts-poor urban areas where residents cannot buy affordable, healthy food-to illustrate why policy makers need to look more critically at the facts.</t>
  </si>
  <si>
    <t>Macintyre, Sally/P-6246-2014; Cummins, Steven/C-1230-2009</t>
  </si>
  <si>
    <t>Cummins, Steven/0000-0002-3957-4357</t>
  </si>
  <si>
    <t>0959-535X</t>
  </si>
  <si>
    <t>AUG 24</t>
  </si>
  <si>
    <t>10.1136/bmj.325.7361.436</t>
  </si>
  <si>
    <t>WOS:000177715500027</t>
  </si>
  <si>
    <t>Wrigley, N</t>
  </si>
  <si>
    <t>'Food deserts' in British cities: Policy context and research priorities</t>
  </si>
  <si>
    <t>This paper provides an introduction to the 'food deserts' theme by outlining how the problem of access to food, particularly foods integral to a healthy diet, for low-income households in poor neighbourhoods in British cities, became an increasingly important issue in the social exclusion and health inequalities debates, during the late 1990s. It documents the emergence of a policy response by UK government to this issue and the way in which policy development ran somewhat ahead of systematic research on key facets of the problem. The paper outlines the research priorities which became apparent by the end of the 1990s and some of the projects which have been funded by the UK research councils and by government departments and agencies to meet this need for fundamental research.</t>
  </si>
  <si>
    <t>1360-063X</t>
  </si>
  <si>
    <t>10.1080/0042098022000011344</t>
  </si>
  <si>
    <t>WOS:000178382600004</t>
  </si>
  <si>
    <t>Clarke, G; Eyre, H; Guy, C</t>
  </si>
  <si>
    <t>Deriving indicators of access to food retail provision in British cities: Studies of Cardiff, Leeds and Bradford</t>
  </si>
  <si>
    <t>This paper attempts to quantify patterns of access to food retailing in two urban areas (Leeds/Bradford and Cardiff). We introduce, first, a locally based mapping approach and, secondly, a systematic city-wide modelling approach. This quantifies provision levels in terms of modelling shopping flows, in order to identify areas of poor access to food retailing. The paper then compares these contrasting methods of identifying 'food deserts', using the study areas of Leeds/Bradford and Cardiff. Two 'what if' type analyses are also undertaken (one in Leeds, one in Cardiff) to investigate the impact on 'food deserts' of opening new food retailing stores.</t>
  </si>
  <si>
    <t>10.1080/0042098022000011353</t>
  </si>
  <si>
    <t>WOS:000178382600005</t>
  </si>
  <si>
    <t>AUG</t>
  </si>
  <si>
    <t>JUN 2024</t>
  </si>
  <si>
    <t>Wrigley, N; Guy, C; Lowe, M</t>
  </si>
  <si>
    <t>Urban regeneration, social inclusion and large store development: The Seacroft development in context</t>
  </si>
  <si>
    <t>Of central importance to the policy debate which emerged during the late 1990s in the UK on the topic of 'food deserts' were the causes of the perceived worsening access to food retail provision in certain poor neighbourhoods of British cities. The 1980s/early 1990s era of intense food superstore development on edge-of-city sites was seen as having unevenly stripped food retailing out of parts of those cities, or having repositioned that provision downwards in range and quality terms. By the late 1990s, however, tightened land-use planning regulation had begun significantly to impact the development programmes of the major food retailers and those retailers increasingly came to adopt an urban regeneration agenda to drive forwards the new store development vital to their corporate growth. Simultaneously, issues of social exclusion rose to prominence on the political agenda and 'tackling social exclusion' began to be promoted as a possible new criterion for retail planning policy in the UK. In this paper, we explore this nexus of interest in urban regeneration and social inclusion. Using the example of a major retail development in the deprived area of Seacroft, Leeds, we outline the characteristics of the increasingly important regeneration partnerships involving retailers, local authorities, government agencies and community groups. We ask to what extent such partnerships can be dismissed merely as 'clever devices to get stores built and passed by planners' and discuss the implications for retail planning policy of attempts to address both the social exclusion and public health agendas of deprived and poorly served areas of British cities.</t>
  </si>
  <si>
    <t>10.1080/0042098022000011380</t>
  </si>
  <si>
    <t>WOS:000178382600008</t>
  </si>
  <si>
    <t>Wrigley, N; Warm, D; Margetts, B</t>
  </si>
  <si>
    <t>Deprivation, diet, and food-retail access: findings from the Leeds 'food deserts' study</t>
  </si>
  <si>
    <t>ENVIRONMENT AND PLANNING A</t>
  </si>
  <si>
    <t>Within a context of public policy debate in the United Kingdom on social exclusion, health inequalities, and food poverty, the metaphor of the 'food desert' caught the imagination of those involved in policy development. Drawing from a major cross-disciplinary investigation of food access and food poverty in British cities, the authors report in this paper findings from the first 'before/after' study of food consumption in a highly deprived area of a British city experiencing a sudden and significant change in its food-retail access. The study has been viewed as the first opportunity in the United Kingdom to assess the impact of a non-healthcare intervention (specifically a retail-provision intervention) on food-consumption patterns, and by extension diet-related health, in such a deprived, previously poor-retail-access community. The paper offers evidence of a positive but modest impact of the retail intervention on diet, and the authors discuss the ways in which their findings are potentially significant in the context of policy debate.</t>
  </si>
  <si>
    <t>0308-518X</t>
  </si>
  <si>
    <t>JAN</t>
  </si>
  <si>
    <t>10.1068/a35150</t>
  </si>
  <si>
    <t>WOS:000181669300010</t>
  </si>
  <si>
    <t>Lightowler, H</t>
  </si>
  <si>
    <t>Food deserts: a practical guide</t>
  </si>
  <si>
    <t>JOURNAL OF THE ROYAL SOCIETY FOR THE PROMOTION OF HEALTH</t>
  </si>
  <si>
    <t>Capel, Helen/AAC-8818-2022</t>
  </si>
  <si>
    <t>1466-4240</t>
  </si>
  <si>
    <t>10.1177/146642400312300413</t>
  </si>
  <si>
    <t>WOS:000186790600026</t>
  </si>
  <si>
    <t>Sparks, L</t>
  </si>
  <si>
    <t>ENVIRONMENT AND PLANNING B-PLANNING &amp; DESIGN</t>
  </si>
  <si>
    <t>0265-8135</t>
  </si>
  <si>
    <t>WOS:000187989500009</t>
  </si>
  <si>
    <t>White, M; Williams, L; Raybould, S; Bunting, J; Adamson, A; Mathers, J</t>
  </si>
  <si>
    <t>Do 'food deserts' exist?</t>
  </si>
  <si>
    <t>EUROPEAN JOURNAL OF PUBLIC HEALTH</t>
  </si>
  <si>
    <t>1101-1262</t>
  </si>
  <si>
    <t>S</t>
  </si>
  <si>
    <t>WOS:000227034700081</t>
  </si>
  <si>
    <t>Sheard, S</t>
  </si>
  <si>
    <t>The politics of British public health nutrition research: a comparison of the 'Healthy or Hungry 1930s' and the 'urban food deserts' of the 1990s</t>
  </si>
  <si>
    <t>WOS:000227034700174</t>
  </si>
  <si>
    <t>Morton, LW; Bitto, EA; Oakland, MJ; Sand, M</t>
  </si>
  <si>
    <t>Solving the problems of Iowa food deserts: Food insecurity and civic structure</t>
  </si>
  <si>
    <t>RURAL SOCIOLOGY</t>
  </si>
  <si>
    <t>Rural regions include places where food sources are not evenly distributed, leading to areas of concentration and food deserts-places where few or no grocery stores exist. Individuals are hypothesized to depend on personal connections and the civic structure of where they live to help them solve the problem of food insecurity. We find that residents living in poor rural counties with few grocery stores and perceptions of high civic structure are significantly less likely to be food insecure. A great deal of food giving and receiving is reported, but these personal connections do not decrease the odds of being food insecure. Lower incomes and being younger increase the odds of food insecurity. Our findings suggest that investments in strengthening the social structure of rural communities along with strategies that increase incomes can help households solve the problem of food insecurity.</t>
  </si>
  <si>
    <t>0036-0112</t>
  </si>
  <si>
    <t>1549-0831</t>
  </si>
  <si>
    <t>10.1526/0036011053294628</t>
  </si>
  <si>
    <t>WOS:000231427000005</t>
  </si>
  <si>
    <t>Pearson, T; Russell, J; Campbell, MJ; Barker, ME</t>
  </si>
  <si>
    <t>Do 'food deserts' influence fruit and vegetable consumption? - a cross-sectional study</t>
  </si>
  <si>
    <t>APPETITE</t>
  </si>
  <si>
    <t>Lack of access to affordable healthy foods has been suggested to be a contributory factor to poor diet. This study investigated associations between diet and access to supermarkets, transport, fruit and vegetable price and deprivation, in a region divergent in geography and socioeconomic indices. A postal survey of 1000 addresses (response rate 42%) gathered information on family demographics, supermarket and shop use, car ownership, mobility and previous day's fruit and vegetable intake. Postcode information was used to derive road travel distance to nearest supermarket and deprivation index. Fruit and vegetable prices were assessed Using a shopping basket survey. Generalised linear regression models were used to ascertain predictors of fruit and vegetable intake. Male grocery shoppers ate less fruit than female grocery shoppers. Consumption of vegetables increased slightly with age. Deprivation, supermarket fruit and vegetable price, distance to nearest supermarket and potential difficulties with grocery shopping were not significantly associated with either fruit or vegetable consumption. These data suggest that the three key elements of a food desert, fruit and vegetable price, socio-economic deprivation and a lack of locally available supermarkets, were not factors influencing fruit or vegetable intake. We suggest that food policies aimed at improving diet should be orientated towards changing socio-cultural attitudes towards food. (c) 2005 Elsevier Ltd. All rights reserved.</t>
  </si>
  <si>
    <t>; Campbell, Michael/I-4253-2014</t>
  </si>
  <si>
    <t>Barker, Margo/0000-0002-1016-5787; Russell, Jean Marion/0000-0002-4174-7210; Campbell, Michael/0000-0003-3529-2739</t>
  </si>
  <si>
    <t>0195-6663</t>
  </si>
  <si>
    <t>10.1016/j.appet.2005.04.003</t>
  </si>
  <si>
    <t>WOS:000231747600015</t>
  </si>
  <si>
    <t>JUL</t>
  </si>
  <si>
    <t>1-2</t>
  </si>
  <si>
    <t>Fafchamps, M; Hill, RV</t>
  </si>
  <si>
    <t>Selling at the farmgate or traveling to market</t>
  </si>
  <si>
    <t>AMERICAN JOURNAL OF AGRICULTURAL ECONOMICS</t>
  </si>
  <si>
    <t>Using detailed survey data from Uganda, this article examines whether coffee producers sell to itinerant traders or directly to markets, where they can get a higher price but must incur a transport cost. We find that selling to the market is more likely when the quantity sold is large and the market is close by. Wealthy farmers are less likely to sell to the market, possibly because the shadow value of their time is higher. But if they have a large quantity of coffee for sale, they are more likely to sell it to the market. They are also more likely to travel to a distant market. These findings are consistent with their better ability to pay for public transportation. We find no evidence that the decision to sell at the farmgate is driven by a self-control motive.</t>
  </si>
  <si>
    <t>0002-9092</t>
  </si>
  <si>
    <t>10.1111/j.1467-8276.2005.00758.x</t>
  </si>
  <si>
    <t>WOS:000230300900013</t>
  </si>
  <si>
    <t>Shaw, HJ</t>
  </si>
  <si>
    <t>Food deserts: Towards the development of a classification</t>
  </si>
  <si>
    <t>GEOGRAFISKA ANNALER SERIES B-HUMAN GEOGRAPHY</t>
  </si>
  <si>
    <t>Many people in developed countries fail to consume a healthy diet. This phenomenon has been linked to the contested existence of 'food deserts' in the UK, and the occurrence of 'food insecurity' in the USA and elsewhere. 'Food deserts' remain contested theoretical territory at least partly because no firm definition has been proposed. This paper argues that the barriers to consumption of a healthy diet may be classified according to whether such barriers are financial, physical, or derive from the mental attitude and knowledge of the consumer. The perception of 'unsupportive food environments' by some consumers is contrasted with the geographical existence of multiple sources of fresh fruit and vegetables in certain locations. Using a total of 234 semi-structured interviews in various UK locations, qualitative evidence is gathered for the existence of at least ten different types of 'food desert'. The paper then goes on to show how such a three fold classification may be developed, using a modified ternary diagram, to assess the most appropriate initiatives to tackle 'food deserts' and to monitor progress in alleviating their effects.</t>
  </si>
  <si>
    <t>0435-3684</t>
  </si>
  <si>
    <t>88B</t>
  </si>
  <si>
    <t>10.1111/j.0435-3684.2006.00217.x</t>
  </si>
  <si>
    <t>WOS:000237929100008</t>
  </si>
  <si>
    <t>Smoyer-Tomic, KE; Spence, JC; Amrhein, C</t>
  </si>
  <si>
    <t>Smoyer-Tomic, Karen E.; Spence, John C.; Amrhein, Carl</t>
  </si>
  <si>
    <t>Food deserts in the prairies? Supermarket accessibility and neighborhood need in Edmonton, Canada</t>
  </si>
  <si>
    <t>PROFESSIONAL GEOGRAPHER</t>
  </si>
  <si>
    <t>The U.S. and U.K. literatures have discussed food deserts, reflecting populated, typically urban, low-income areas with limited access to full-service supermarkets. Less is known about supermarket accessibility within Canadian cities. This article uses the minimum distance and coverage methods to determine supermarket accessibility within the city of Edmonton, Canada, with a focus on high-need and inner-city neighborhoods. The results show that for 1999 both of these areas generally had higher accessibility than the remainder of the city, but six high-need neighborhoods had poor supermarket accessibility. We conclude by examining potential reasons for differences in supermarket accessibility between Canadian, U.S., and U.K. cities.</t>
  </si>
  <si>
    <t>Spence, John/D-1548-2009</t>
  </si>
  <si>
    <t>Spence, John C./0000-0001-8485-1336</t>
  </si>
  <si>
    <t>0033-0124</t>
  </si>
  <si>
    <t>1467-9272</t>
  </si>
  <si>
    <t>10.1111/j.1467-9272.2006.00570.x</t>
  </si>
  <si>
    <t>WOS:000239151200006</t>
  </si>
  <si>
    <t>C</t>
  </si>
  <si>
    <t>Black, C; Broadstock, DC; Collins, A; Hunt, LC</t>
  </si>
  <si>
    <t>Brebbia, CA; Dolezel, V</t>
  </si>
  <si>
    <t>Black, C.; Broadstock, D. C.; Collins, A.; Hunt, L. C.</t>
  </si>
  <si>
    <t>Towards sustainable urban development: traffic generation at food superstores in the UK</t>
  </si>
  <si>
    <t>URBAN TRANSPORT XII: URBAN TRANSPORT AND THE ENVIRONMENT IN THE 21ST CENTURY</t>
  </si>
  <si>
    <t>WIT Transactions on the Built Environment</t>
  </si>
  <si>
    <t>JUL 12-14, 2006</t>
  </si>
  <si>
    <t>Prague, CZECH REPUBLIC</t>
  </si>
  <si>
    <t>Wessex Inst Technol,Tech Univ Pardubice,WIT Transact Built Environm</t>
  </si>
  <si>
    <t>In the light of increasing concern over home-shopping traffic growth generated by food superstores in the UK and elsewhere and their possible role in reinforcing a 'food desert' effect, this study introduces an empirical framework to help underpin subsequent policy decisions. A trip attraction model is estimated by ordinary least squares (OLS) for food superstores in the UK using a composite dataset constructed from data from the UK Census of Population, the UK National Online Manpower Information System (NOMIS), and the Trip Rate Information Computer System (TRICS). It is found that traffic to a given food superstore, other things being equal, increases with car ownership, parking provision, retail floor space, distance to the nearest competitor and, perhaps surprisingly, increased public transport provision. The latter effect is discussed in the light of a possible explanation linked to the 'food deserts' debate, along with the associated implications for effective (inner-urban) sustainable development. Increases in household size are found to be associated with a fall in vehicle traffic to a site, due to household economies of scope and scale, which may also perpetuate use of less sustainable modes of transport.</t>
  </si>
  <si>
    <t>Collins, Alan/AAF-2751-2019</t>
  </si>
  <si>
    <t>Collins, Alan Oscar/0000-0001-9805-9091; Broadstock, David/0000-0002-7651-8004</t>
  </si>
  <si>
    <t>1746-4498</t>
  </si>
  <si>
    <t>1-84564-179-5</t>
  </si>
  <si>
    <t>10.2945/UT060071</t>
  </si>
  <si>
    <t>WOS:000241496400007</t>
  </si>
  <si>
    <t>Hendrickson, D; Smith, C; Eikenberry, N</t>
  </si>
  <si>
    <t>Hendrickson, Deja; Smith, Chery; Eikenberry, Nicole</t>
  </si>
  <si>
    <t>Fruit and vegetable access in four low-income food deserts communities in Minnesota</t>
  </si>
  <si>
    <t>AGRICULTURE AND HUMAN VALUES</t>
  </si>
  <si>
    <t>Access to fruits and vegetables by low-income residents living in selected urban and rural Minnesotan communities was investigated. Communities were selected based on higher than state average poverty rates, limited access to grocery stores, and urban influence codes (USDA ERS codes). Four communities, two urban and two rural, were selected. Data were gathered from focus group discussions (n = 41), responses to a consumer survey (n = 396 in urban neighborhoods and n = 400 in rural communities), and an inventory of foodstuffs available at stores located in all the communities and at large grocery stores in neighborhoods adjacent to the urban communities. In the two urban neighborhoods, a significant number of foods (26% and 52%) were significantly more expensive than the Thrifty Food Plan's (TFP) market basket price (MBP). Additionally, a significant number of foods in the two rural communities were more expensive (11% and 26%). In focus groups, participants identified major barriers to shopping in their community to be cost, quality of food, and food choice limitations. Results of the food inventory show that foods within the communities were costly, of fair or poor quality, and limited in number and type available, supporting complaints verbalized by focus group participants. Through focus groups and surveys, participants expressed concern that healthy food choices were not affordable within their communities and believed that people in their community suffered from food insecurity. The absence of quality, affordable food for low-income residents in these four Minnesota communities prevents or diminishes their ability to choose foods that help maintain a healthy lifestyle.</t>
  </si>
  <si>
    <t>0889-048X</t>
  </si>
  <si>
    <t>1572-8366</t>
  </si>
  <si>
    <t>10.1007/s10460-006-9002-8</t>
  </si>
  <si>
    <t>WOS:000241685500008</t>
  </si>
  <si>
    <t>Shaw, H</t>
  </si>
  <si>
    <t>Shaw, Hillary</t>
  </si>
  <si>
    <t>CSR in the Community: Redefining the Social Role of the Supermarket Giants</t>
  </si>
  <si>
    <t>SOCIAL RESPONSIBILITY JOURNAL</t>
  </si>
  <si>
    <t>The 'consumer society' has become a 'consumer oligopoly' in Britain as the big four supermarkets, Tesco, Asda, Sainsbury, and Morrison have between them captured a 75% share of the grocery market. This has been achieved through globalisation, the attainment of large economies of scale, and major deployment of buying power. Total annual profits of the 'big four' UK supermarkets now stand at 3 pound billion, and several millions of this is spent on charitable causes and other CSR activities such as promoting sustainable development. However the spectacular growth of the supermarkets over the past fifty years has not been to the benefit of all. Some consumers have seen their access to healthy food curtailed as local shops have closed, and the quality of their diet has fallen; this is often referred to as the 'food deserts' phenomenon. The spatial scale of ' food deserts', the coping strategies employed by those affected by such 'deserts', and the solutions proposed to alleviate food access problems, are profoundly local in character, typically operating over distances of less than two kilometres. This paper suggests that a re-focussing of the CSR activities of supermarkets towards the local scale can not only boost the social image of the supermarkets in fields where their impact is seen as negative, but can also be profitable for these corporations. Further benefits of a more local perspective include environmental advantages such as the maintenance of biodiversity and support for farmers whose incomes may be in decline. In tandem with a global commercial outlook, supermarkets have engaged with government at a national level to further their business interests. Simultaneously, governmental power within Britain has also moved from the local to the national level. In contrast, many organisations representing disadvantaged groups call for a localised, ' bottom-up', approach. Britain's current centralised 'top-down' approach to governance may be driven by financial pressures or ideological considerations, but this has nevertheless alienated some voters from government. This shift has prompted a certain disengagement with political processes for some individuals, and a shift towards ' direct action' tactics which may be damaging to commercial activities. It is argued here that a realignment of the supermarket's engagement with politics from the national to the local level is possible, financed by the resources the supermarkets currently devote to CSR activities. This re-localisation of supermarket political activity would in fact pay dividends for the ' big four' retailers, because by helping to re-build the legitimacy of national government it would create a more stable environment for business within the UK.</t>
  </si>
  <si>
    <t>1747-1117</t>
  </si>
  <si>
    <t>1758-857X</t>
  </si>
  <si>
    <t>10.1108/eb059277</t>
  </si>
  <si>
    <t>WOS:000421414700013</t>
  </si>
  <si>
    <t>Apparicio, P; Cloutier, MS; Shearmur, R</t>
  </si>
  <si>
    <t>Apparicio, Philippe; Cloutier, Marie-Soleil; Shearmur, Richard</t>
  </si>
  <si>
    <t>The case of Montreal's missing food deserts: Evaluation of accessibility to food supermarkets</t>
  </si>
  <si>
    <t>INTERNATIONAL JOURNAL OF HEALTH GEOGRAPHICS</t>
  </si>
  <si>
    <t>Background: Access to varied, healthy and inexpensive foods is an important public health concern that has been widely documented. Consequently, there is an increasing interest in identifying food deserts, that is, socially deprived areas within cities that have poor access to food retailers. In this paper we propose a methodology based on three measures of accessibility to supermarkets calculated using geographic information systems (GIS), and on exploratory multivariate statistical analysis (hierarchical cluster analysis), which we use to identify food deserts in Montreal. Results: First, the use of three measures of accessibility to supermarkets is very helpful in identifying food deserts according to several dimensions: proximity (distance to the nearest supermarket), diversity (number of supermarkets within a distance of less than 1000 metres) and variety in terms of food and prices (average distance to the three closest different chain-name supermarkets). Next, the cluster analysis applied to the three measures of accessibility to supermarkets and to a social deprivation index demonstrates that there are very few problematic food deserts in Montreal. In fact, census tracts classified as socially deprived and with low accessibility to supermarkets are, on average, 816 metres away from the nearest supermarket and within 1.34 kilometres of three different chain-name supermarkets. Conclusion: We conclude that food deserts do not represent a major problem in Montreal. Since geographic accessibility to healthy food is not a major issue in Montreal, prevention efforts should be directed toward the understanding of other mechanisms leading to an unhealthy diet, rather than attempting to promote an even spatial distribution of supermarkets.</t>
  </si>
  <si>
    <t>Apparicio, Philippe/K-6086-2013</t>
  </si>
  <si>
    <t>Apparicio, Philippe/0000-0001-6466-9342; Cloutier, Marie-Soleil/0000-0002-8533-4784</t>
  </si>
  <si>
    <t>1476-072X</t>
  </si>
  <si>
    <t>FEB 12</t>
  </si>
  <si>
    <t>10.1186/1476-072X-6-4</t>
  </si>
  <si>
    <t>WOS:000258119300001</t>
  </si>
  <si>
    <t>Short, A; Guthman, J; Raskin, S</t>
  </si>
  <si>
    <t>Short, Anne; Guthman, Julie; Raskin, Samuel</t>
  </si>
  <si>
    <t>Food deserts, oases, or mirages? Small markets and community food security in the San Francisco bay area</t>
  </si>
  <si>
    <t>JOURNAL OF PLANNING EDUCATION AND RESEARCH</t>
  </si>
  <si>
    <t>In light of claims that many low-income urban neighborhoods are food deserts, this article reports on pilot research to assess whether and how small, full-service food retailers contribute to urban food security. It demonstrates that such stores meet many of the criteria for community food security by providing a wide variety of relatively low-cost foods. At the same tirre, their geographic unevenness, tendency to target particular ethnic clicrucles, and inability to address affordability in an absolute sense place some caveats on the conclusions and suggest the need for more fine-grained research regarding how the unique economic development ' neighbor- histories and cultural politics of hoods affect food availability</t>
  </si>
  <si>
    <t>Short, Anne/C-9713-2013</t>
  </si>
  <si>
    <t>0739-456X</t>
  </si>
  <si>
    <t>SPR</t>
  </si>
  <si>
    <t>10.1177/0739456X06297795</t>
  </si>
  <si>
    <t>WOS:000245922900008</t>
  </si>
  <si>
    <t>Black, Colin; Broadstock, David C.; Collins, Alan; Hunt, Lester C.</t>
  </si>
  <si>
    <t>The derived demand for traffic at food superstores in the UK: A semi-parametric regression approach</t>
  </si>
  <si>
    <t>INTERNATIONAL JOURNAL OF TRANSPORT ECONOMICS</t>
  </si>
  <si>
    <t>The estimation of a (semi-parametric) trip attraction model for food superstores in the UK is undertaken using a composite dataset. The data comprises information from the UK Census of Population, the NOMIS (National Online Manpower Information System) archive and traffic and site-specific data from the TRICS (Trip Rate Information Computer System) databases. The results indicate that traffic to a given food superstore, ceteris paribus, increases with household car ownership, store parking provision, site size (floor space), and distance to the nearest competitor. Furthermore, increases in public transport provision are shown to be associated with increasing car trips. This latter effect is discussed in the light of planning policy for development control purposes and a role linked to the reinforcement of 'food deserts'. The results also reveal activity-specific household economies of scope and scale. It is suggested how these may also further perpetuate unsustainable development and 'food desert' characteristics.</t>
  </si>
  <si>
    <t>Broadstock, David/0000-0002-7651-8004; Collins, Alan Oscar/0000-0001-9805-9091</t>
  </si>
  <si>
    <t>0391-8440</t>
  </si>
  <si>
    <t>WOS:000251589000006</t>
  </si>
  <si>
    <t>PHYSIOLOGY &amp; BEHAVIOR</t>
  </si>
  <si>
    <t>0031-9384</t>
  </si>
  <si>
    <t>Krizan, F; Tolmaci, L; Lauko, V</t>
  </si>
  <si>
    <t>Krizan, Frantisek; Tolmaci, Ladislav; Lauko, Viliam</t>
  </si>
  <si>
    <t>Identification of Food Deserts in Bratislava City by Application of Accessibility Measures</t>
  </si>
  <si>
    <t>EKONOMICKY CASOPIS</t>
  </si>
  <si>
    <t>The problem of food deserts became a study object of more fields in the last decennium. This paper concentrates on the identification possibilities of food deserts by the means of accessibility measures of supermarkets and hypermarkets by the application of geographical information systems (GIS). The identification basis was presented by eight diverse accessibility measures analysed in the public transport network. Accessibility measures proved to be an appropriate analytical tool for food deserts identification. However, their selection must correspond to the specified targets considering the absence of a complex accessibility measure.</t>
  </si>
  <si>
    <t>Križan, František/AAJ-2563-2021</t>
  </si>
  <si>
    <t>0013-3035</t>
  </si>
  <si>
    <t>WOS:000263042500001</t>
  </si>
  <si>
    <t>Raja, S; Ma, CX; Yadav, P</t>
  </si>
  <si>
    <t>Raja, Samina; Ma, Changxing; Yadav, Pavan</t>
  </si>
  <si>
    <t>Beyond food deserts - Measuring and mapping racial disparities in neighborhood food environments</t>
  </si>
  <si>
    <t>Given die emerging focus on improving food environments and food systems through planning, this article investigates racial disparities in neighborhood food environments. An empirical case of Erie County, New York tests the hypothesis that people belonging to different racial groups have access to different neighborhood food destinations. Using multiple methods-Gini coefficients and Poisson regression-we show that contrary to studies elsewhere in the country there are no food deserts in Erie County. However, like other studies, we find an absence of supermarkets in neighborhoods of color when compared to white neighborhoods. Nonetheless, our study reveals an extensive network of small grocery stores in neighborhoods of color. Rather than soliciting supermarkets, supporting small, high-quality grocery stores may be a more efficient strategy for ensuring access to healthful foods in minority neighborhoods.</t>
  </si>
  <si>
    <t>Raja, Samina/0000-0002-6251-2736; Ma, Chang-Xing/0000-0002-4696-2008</t>
  </si>
  <si>
    <t>SUM</t>
  </si>
  <si>
    <t>10.1177/0739456X08317461</t>
  </si>
  <si>
    <t>WOS:000256057400008</t>
  </si>
  <si>
    <t>Larsen, K; Gilliland, J</t>
  </si>
  <si>
    <t>Larsen, Kristian; Gilliland, Jason</t>
  </si>
  <si>
    <t>Mapping the evolution of 'food deserts' in a Canadian city: Supermarket accessibility in London, Ontario, 1961-2005</t>
  </si>
  <si>
    <t>Background: A growing body of research suggests that the suburbanization of food retailers in North America and the United Kingdom in recent decades has contributed to the emergence of urban 'food deserts', or disadvantaged areas of cities with relatively poor access to healthy and affordable food. This paper explores the evolution of food deserts in a mid-sized Canadian city (London, Ontario) by using a geographic information system (GIS) to map the precise locations of supermarkets in 1961 and 2005; multiple techniques of network analysis were used to assess changing levels of supermarket access in relation to neighbourhood location, socioeconomic characteristics, and access to public transit. Results: The findings indicate that residents of inner-city neighbourhoods of low socioeconomic status have the poorest access to supermarkets. Furthermore, spatial inequalities in access to supermarkets have increased over time, particularly in the inner-city neighbourhoods of Central and East London, where distinct urban food deserts now exist. Conclusion: Contrary to recent findings in larger Canadian cities, we conclude that urban food deserts exist in London, Ontario. Policies aimed at improving public health must also recognize the spatial, as well as socioeconomic, inequities with respect to access to healthy and affordable food. Additional research is necessary to better understand how supermarket access influences dietary behaviours and related health outcomes.</t>
  </si>
  <si>
    <t>University, HEAL/T-1323-2019; Gilliland, Jason/E-3393-2019</t>
  </si>
  <si>
    <t>Gilliland, Jason/0000-0002-2909-2178</t>
  </si>
  <si>
    <t>APR 18</t>
  </si>
  <si>
    <t>10.1186/1476-072X-7-16</t>
  </si>
  <si>
    <t>WOS:000258233000001</t>
  </si>
  <si>
    <t>Hackett, A; Boddy, L; Boothby, J; Dummer, TJB; Johnson, B; Stratton, G</t>
  </si>
  <si>
    <t>Hackett, A.; Boddy, L.; Boothby, J.; Dummer, T. J. B.; Johnson, B.; Stratton, G.</t>
  </si>
  <si>
    <t>Mapping dietary habits may provide clues about the factors that determine food choice</t>
  </si>
  <si>
    <t>JOURNAL OF HUMAN NUTRITION AND DIETETICS</t>
  </si>
  <si>
    <t>Background Food deserts are thought to be a barrier to making healthier food choices. This concept has been challenged. The interaction between the physical environment and children's food choice has received little attention. The present study used food intake data to generate hypotheses concerning the role of the physical environment in food choice. Methods A cross-sectional analysis was conducted of the dietary habits of Year 5 (9-10-year-old) children from 90 of Liverpool's 118 primary schools. Individuals with the 'best' and 'worst' food choices were mapped and two areas associated with these extreme choices located. Results One thousand five hundred and thirty-five children completed the dietary questionnaire and supplied a full and valid postcode. Two adjacent areas with relatively large numbers of children in the 'best' and 'worst' food choice groups were chosen. Both areas had very similar socio-economic profiles. The contrast in the physical environments was striking, even on visual inspection. Conclusions Food deserts as a cause of poor food choice did not stand scrutiny; the area located by the worst food choices had a plethora of shops selling food (better termed a food prairie), whereas the area located by the best food choices had no shops in evidence but did have more 'space'.</t>
  </si>
  <si>
    <t>stratton, Gareth/Z-5471-2019; Stratton, Gareth/Q-2746-2017</t>
  </si>
  <si>
    <t>Stratton, Gareth/0000-0001-5618-0803; Boddy, Lynne/0000-0002-7477-4389</t>
  </si>
  <si>
    <t>0952-3871</t>
  </si>
  <si>
    <t>10.1111/j.1365-277X.2008.00894.x</t>
  </si>
  <si>
    <t>WOS:000258974000003</t>
  </si>
  <si>
    <t>Mead, MN</t>
  </si>
  <si>
    <t>Mead, M. Nathaniel</t>
  </si>
  <si>
    <t>The sprawl of food deserts</t>
  </si>
  <si>
    <t>ENVIRONMENTAL HEALTH PERSPECTIVES</t>
  </si>
  <si>
    <t>0091-6765</t>
  </si>
  <si>
    <t>A335</t>
  </si>
  <si>
    <t>10.1289/ehp.116-a335a</t>
  </si>
  <si>
    <t>WOS:000258270200008</t>
  </si>
  <si>
    <t>Cummins, S; Findlay, A; Petticrew, M; Sparks, L</t>
  </si>
  <si>
    <t>Cummins, Steven; Findlay, Anne; Petticrew, Mark; Sparks, Leigh</t>
  </si>
  <si>
    <t>Retail-led regeneration and store-switching behaviour</t>
  </si>
  <si>
    <t>JOURNAL OF RETAILING AND CONSUMER SERVICES</t>
  </si>
  <si>
    <t>Retail-led regeneration of 'food deserts' has become accepted policy in the UK, although the impacts of such stores remain unde-rresearched. It is assumed that residents will switch their shopping behaviour to the new store and then alter their purchasing patterns to include more healthy options. A pre- and post- 'intervention' study in a deprived area and an equally deprived non-intervention area of Glasgow finds that high switching rates to the new store were identified, indicating some success in altering shopping behaviours. Many switched from large food stores outside the area to shopping within the area. Dietary patterns in the intervention area were maintained after store development; store-switching did not induce dietary switching. Results suggest policy should be based on attempting to change both shopping and purchasing behaviours rather than assuming the latter will automatically be transformed by new retail spaces and offers. (C) 2007 Elsevier Ltd. All rights reserved.</t>
  </si>
  <si>
    <t>Petticrew, Mark/AAY-6274-2021; Cummins, Steven/C-1230-2009; Sparks, Leigh/B-7816-2008</t>
  </si>
  <si>
    <t>Cummins, Steven/0000-0002-3957-4357; Sparks, Leigh/0000-0002-9280-3219</t>
  </si>
  <si>
    <t>0969-6989</t>
  </si>
  <si>
    <t>1873-1384</t>
  </si>
  <si>
    <t>10.1016/j.jretconser.2007.06.002</t>
  </si>
  <si>
    <t>WOS:000213720000005</t>
  </si>
  <si>
    <t>Hawkes, C</t>
  </si>
  <si>
    <t>Hawkes, Corinna</t>
  </si>
  <si>
    <t>Dietary Implications of Supermarket Development: A Global Perspective</t>
  </si>
  <si>
    <t>DEVELOPMENT POLICY REVIEW</t>
  </si>
  <si>
    <t>Five decisions by supermarket operators have important dietary implications: the location of their outlets: the foods they sell; the prices they charge; the promotional strategies they use; and the nutrition-related activities they implement. These decisions influence food accessibility, availability, prices and desirability, which in turn influence the decisions consumers make about food. Based on a comprehensive literature review, this article finds that the dietary implications are both positive - supermarkets can make a more diverse diet available and accessible to more people - and negative - supermarkets can reduce the ability of marginalised populations to purchase a high-quality diet, and encourage the consumption of energy-dense, nutrient-poor highly-processed foods. Overall, the most universally applicable dietary implication is that supermarkets encourage consumers to eat more, whatever the food.</t>
  </si>
  <si>
    <t>0950-6764</t>
  </si>
  <si>
    <t>1467-7679</t>
  </si>
  <si>
    <t>10.1111/j.1467-7679.2008.00428.x</t>
  </si>
  <si>
    <t>WOS:000260386700002</t>
  </si>
  <si>
    <t>ECONOMIC BOTANY</t>
  </si>
  <si>
    <t>0013-0001</t>
  </si>
  <si>
    <t>Druckman, A; Jackson, T</t>
  </si>
  <si>
    <t>Druckman, A.; Jackson, T.</t>
  </si>
  <si>
    <t>Measuring resource inequalities: The concepts and methodology for an area-based Gini coefficient</t>
  </si>
  <si>
    <t>ECOLOGICAL ECONOMICS</t>
  </si>
  <si>
    <t>Although inequalities in income and expenditure are relatively well researched, comparatively little attention has been paid, to date, to inequalities in resource use. This is clearly a shortcoming when it comes to developing informed policies for sustainable consumption and social justice. This paper describes an indicator of inequality in resource use called the AR-Gini. The AR-Gini is an area-based measure of resource inequality that estimates inequalities between neighbourhoods with regard to the consumption of specific consumer goods. It is also capable of estimating inequalities in the emissions resulting from resource use, such as carbon dioxide emissions from energy use, and solid waste arisings from material resource use. The indicator is designed to be used as a basis for broadening the discussion concerning 'food deserts' to inequalities in other types of resource use. By estimating the AR-Gini for a wide range of goods and services we aim to enhance our understanding of resource inequalities and their drivers, identify which resources have highest inequalities, and to explore trends in inequalities. The paper describes the concepts underlying the construction of the AR-Gini and its methodology. Its use is illustrated by pilot applications (specifically, men's and boys' clothing, carpets, refrigerators/freezers and clothes washer/driers). The results illustrate that different levels of inequality are associated with different commodities. The paper concludes with a brief discussion of some possible policy implications of the AR-Gini. (c) 2007 Elsevier B.V. All rights reserved.</t>
  </si>
  <si>
    <t>Druckman, Angela/0000-0002-2515-0369</t>
  </si>
  <si>
    <t>0921-8009</t>
  </si>
  <si>
    <t>1873-6106</t>
  </si>
  <si>
    <t>APR 1</t>
  </si>
  <si>
    <t>10.1016/j.ecolecon.2007.12.013</t>
  </si>
  <si>
    <t>WOS:000254798800005</t>
  </si>
  <si>
    <t>JUL-AUG</t>
  </si>
  <si>
    <t>Guthman, J</t>
  </si>
  <si>
    <t>Guthman, Julie</t>
  </si>
  <si>
    <t>Bringing good food to others: investigating the subjects of alternative food practice</t>
  </si>
  <si>
    <t>CULTURAL GEOGRAPHIES</t>
  </si>
  <si>
    <t>Under the banner of food justice, the last few years has seen a profusion of projects focused on selling, donating, bringing Or growing fresh fruits and vegetables in neighborhoods inhabited by African Americans often at below market prices - or educating them to the quality of locally grown, seasonal, and organic food. The focus of this article is the subjects of such projects - those who enroll in such projects 'to bring good food to others,' in thiS case undergraduate majors in Community Studies at the University of California at Santa Cruz who do six-month field studies with such organizations. Drawing on formal and informal communications with me, I show that they arc hailed by a Set Of discourses that reflect whitened Cultural histories, such as the value of putting one's hands in the soil. I Show their disappointments when they find these projects lack resonance in the communities in which they are located. I then show how many come to See that Current activism reflects white desires more than those of the communities they putatively serve. In this way, the article provides insight into the production and reproduction of whiteness in the alternative food movement, and how it might be disrupted. I conclude that more attention to the cultural politics of alternative food might enable whites to be more effective allies in anti-racist struggles.</t>
  </si>
  <si>
    <t>1474-4740</t>
  </si>
  <si>
    <t>1477-0881</t>
  </si>
  <si>
    <t>10.1177/1474474008094315</t>
  </si>
  <si>
    <t>WOS:000261137900004</t>
  </si>
  <si>
    <t>Schafft, KA; Jensen, EB; Hinrichs, CC</t>
  </si>
  <si>
    <t>Schafft, Kai A.; Jensen, Eric B.; Hinrichs, C. Clare</t>
  </si>
  <si>
    <t>Food Deserts and Overweight Schoolchildren: Evidence from Pennsylvania</t>
  </si>
  <si>
    <t>The concept of the food desert, an area with limited access to retail food stores, has increasingly been used within social scientific and public health research to explore the dimensions of spatial inequality and community well-being. While research has demonstrated that. food deserts are frequently characterized by higher levels of poverty and food insecurity, there has been relatively little research examining the relationship between food deserts and obesity, particularly in rural areas. In this article we use Geographic Information System (GIS) techniques to identify food desert. areas in rural Pennsylvania. We then analyze student body mass index (BMI) data along with census and school district-level data to determine the extent to which the percentage of a school district's population residing within a food desert. is positively associated with increased incidence of child overweight among students within the district. We find that school districts with higher percentages of populations located within food deserts are more likely to be structurally and economically disadvantaged. Net of these district-level structural and economic characteristics, we additionally find;I positive relationship between increased rates of child overweight and the percentage of the district population residing in a food desert.</t>
  </si>
  <si>
    <t>Hinrichs, Clare/H-5064-2012</t>
  </si>
  <si>
    <t>Hinrichs, C. Clare/0000-0003-4750-5885</t>
  </si>
  <si>
    <t>10.1111/j.1549-0831.2009.tb00387.x</t>
  </si>
  <si>
    <t>WOS:000266835800001</t>
  </si>
  <si>
    <t>McEntee, J</t>
  </si>
  <si>
    <t>McEntee, Jesse</t>
  </si>
  <si>
    <t>Highlighting food inadequacies: does the food desert metaphor help this cause?</t>
  </si>
  <si>
    <t>BRITISH FOOD JOURNAL</t>
  </si>
  <si>
    <t>Purpose - Food deserts are an attractive metaphor, but because defining this phrase and actually identifying food deserts as geographic places are a contentious endeavour, it is more revealing to discuss related terms. Inherent in the debate around food deserts (i.e. how they are defined, if and where they exist) is the topic of access. The central purpose of this paper is to demonstrate that access is a more accurate and less misleading concept than food deserts when it comes to highlighting food inequalities. Design/methodology/approach - Social exclusion, choice, food security, and public health are fields on which the paper draws. The proposition is that food security studies have entered a postmodern food security paradigm, which can readily be seen in US-based community food security efforts. Findings - Progressing beyond the initial attention-grabbing nature of the food desert term, a conceptually thin foundation is discovered that impedes universal understanding and acknowledgment that areas of inadequate food access do exist. Food access, on the other hand, is an established phrase that has evolved and been applied in different arenas to address food security. Food access is a readily understood concept that can be tailored to specific applications; whether it is physical, economic, or informational food access. Originality/value - It is proposed here that access is a more accurate and less misleading concept than food deserts when it comes to highlighting food inadequacies.</t>
  </si>
  <si>
    <t>0007-070X</t>
  </si>
  <si>
    <t>1758-4108</t>
  </si>
  <si>
    <t>4-5</t>
  </si>
  <si>
    <t>10.1108/00070700910951498</t>
  </si>
  <si>
    <t>WOS:000267338300003</t>
  </si>
  <si>
    <t>Beaulac, J; Kristjansson, E; Cummins, S</t>
  </si>
  <si>
    <t>Beaulac, Julie; Kristjansson, Elizabeth; Cummins, Steven</t>
  </si>
  <si>
    <t>A Systematic Review of Food Deserts, 1966-2007</t>
  </si>
  <si>
    <t>PREVENTING CHRONIC DISEASE</t>
  </si>
  <si>
    <t>Introduction Food deserts, areas characterized by poor access to healthy and affordable food, may contribute to social and spatial disparities in diet and diet-related health outcomes. However, the extent to which food deserts exist is debated. We review the evidence for the existence of food deserts in socioeconomically disadvantaged areas. Methods We conducted a systematic review of primary, quantitative, observational studies, published in English or French, that used geographic or market-basket approaches in high-income countries. The literature search included electronic and hand searches and peer-reviewed and grey literature from 1966 through 2007. We also contacted key researchers to identify other studies. We analyzed the findings and quality of the studies qualitatively. Results Forty-nine studies in 5 countries met inclusion criteria; the amount and consistency of the evidence varied by country. These studies were a mix of geographic and market-basket approaches, but the methodologic quality of studies and completeness of reported findings were mixed. We found clear evidence for disparities in food access in the United States by income and race. Findings from other high-income countries were sparse and equivocal. Conclusions This review suggests that food deserts exist in the United States, where area-level deprivation compounds individual disadvantage. Evidence for the existence of food deserts in other high-income nations is weak.</t>
  </si>
  <si>
    <t>Cummins, Steven/C-1230-2009</t>
  </si>
  <si>
    <t>1545-1151</t>
  </si>
  <si>
    <t>A105</t>
  </si>
  <si>
    <t>WOS:000208158200025</t>
  </si>
  <si>
    <t>A farmers' market in a food desert: Evaluating impacts on the price and availability of healthy food</t>
  </si>
  <si>
    <t>HEALTH &amp; PLACE</t>
  </si>
  <si>
    <t>Several studies have examined supermarket access for low-income residents, but few have explored how access to healthy food changes when a new food retailer such as a farmers' market opens in a place previously known as a 'food desert'. This paper uses a 'before and after' approach to examine the impact of the introduction of a farmers' market on the price and availability of healthy food in an underserved urban neighbourhood. The farmers' market had a major impact on grocery prices in the neighbourhood, which decreased by almost 12% in 3 years. (C) 2009 Elsevier Ltd. All rights reserved.</t>
  </si>
  <si>
    <t>1353-8292</t>
  </si>
  <si>
    <t>1873-2054</t>
  </si>
  <si>
    <t>10.1016/j.healthplace.2009.06.007</t>
  </si>
  <si>
    <t>WOS:000270348400030</t>
  </si>
  <si>
    <t>Coveney, J; O'Dwyer, LA</t>
  </si>
  <si>
    <t>Coveney, John; O'Dwyer, Lisel A.</t>
  </si>
  <si>
    <t>Effects of mobility and location on food access</t>
  </si>
  <si>
    <t>Access to healthy food has become an important area of investigation for researchers interested in health disparities and inequalities. The debate about the existence and characteristics of `food deserts' has increased the interest in food availability and equity in health research. This debate is crucial to an understanding of the factors leading to food security. Research reported here used in-depth interviews with respondents without private transport living within and outside food deserts in Adelaide, South Australia. The respondents came from a variety of households, including single and double parent families, and people living alone. The research found that living in a food desert did not, by itself, impose food access difficulties. Far more important was the access to independent transport to shops. A number of features were identified in this research including reliance on supermarkets, difficulties with public transport, and the provision of government schemes and systems that for some made food shopping much easier. The research suggests that food access problems in Adelaide are not so much the product of geographic distance between home and shop, as the social or welfare networks that allow people to access private transport. (c) 2008 Elsevier Ltd. All rights reserved.</t>
  </si>
  <si>
    <t>Coveney, John/0000-0001-8237-0248</t>
  </si>
  <si>
    <t>10.1016/j.healthplace.2008.01.010</t>
  </si>
  <si>
    <t>WOS:000261636300006</t>
  </si>
  <si>
    <t>Smith, C; Morton, LW</t>
  </si>
  <si>
    <t>Smith, Chery; Morton, Lois W.</t>
  </si>
  <si>
    <t>Rural Food Deserts: Low/income Perspectives on Food Access in Minnesota and Iowa</t>
  </si>
  <si>
    <t>JOURNAL OF NUTRITION EDUCATION AND BEHAVIOR</t>
  </si>
  <si>
    <t>Objective: To investigate bow low-income rural residents living in food deserts access the normal food system and food safety net services within their communities and explore how social, personal, and environment drives food and food choice. Design: Seven focus groups (90 minutes each) were conducted with 2 moderators present and were audio-taped. Setting: Food deserts in rural Minnesota and Iowa. Participants: Fifty-seven residents (Minnesota: 13 females and 8 males; Iowa: 24 females and 12 males). Most participants were white and had not completed high school or higher education. Phenomenon of Interest: Food choice and food access among rural residents. Analysis: Transcripts were evaluated For consistency and coded for themes and subthemes. Results: Three dominant themes influence Food access and choice and were identified as: (a) personal and household determinants of food; (b) social and cultural environment; and (c) structure of place or the external environment. external environment. Conclusions and Implications: Personal, environmental, and dietary behavioral factors are all interconnected: each plays a major role in infleuncing dietary behavior and the resulting health outcomes in rural Minnesotans Iowans living in food deserts. However, although personal factors impact eating, behavior rural people, it is the physical and social environments that place constraints on food access, even in civically engaged communities. Food access may be improved in communities where civic engagement is strong, and where local organizations join in providing solutions to decrease barriers of food access by increasing access to the normal and food safety in systems and by creating informal alternatives, such as community gardens and informal transportation networks, or enhancing federal programs through greater volunteer involvement.</t>
  </si>
  <si>
    <t>1499-4046</t>
  </si>
  <si>
    <t>1878-2620</t>
  </si>
  <si>
    <t>MAY-JUN</t>
  </si>
  <si>
    <t>10.1016/j.jneb.2008.06.008</t>
  </si>
  <si>
    <t>WOS:000265900100006</t>
  </si>
  <si>
    <t>Australia</t>
  </si>
  <si>
    <t>[Anonymous]</t>
  </si>
  <si>
    <t>Global demand for Australia's desert foods</t>
  </si>
  <si>
    <t>FOOD AUSTRALIA</t>
  </si>
  <si>
    <t>1032-5298</t>
  </si>
  <si>
    <t>WOS:000262602800024</t>
  </si>
  <si>
    <t>Capra, F</t>
  </si>
  <si>
    <t>Capra, Fritjof</t>
  </si>
  <si>
    <t>The New Facts of Life: Connecting the Dots on Food, Health, and the Environment</t>
  </si>
  <si>
    <t>PUBLIC LIBRARY QUARTERLY</t>
  </si>
  <si>
    <t>In this article, Fritjof Capra provides a rationale for why the systems thinking inherent in ecoliteracy is so important that it ought to be included in education all the way from Kindergarten through post-doctoral research and retirement reading. Capra shows how focusing on a smaller problem (rising oil prices) gets policy makers into trouble because they fail to see its relationship to much larger issues: The price of food starts rising to match its market value as a potential fuel source, while, hunger and poverty increase throughout the world. Or, as mankind heats up the environment, temperate food producing areas turn into deserts, food prices rise and poverty and hunger increase. As the title of the article indicates, Capra shows how food, health and the environment are inextricably linked as the new facts of life in today's world.</t>
  </si>
  <si>
    <t>0161-6846</t>
  </si>
  <si>
    <t>1541-1540</t>
  </si>
  <si>
    <t>10.1080/01616840903110107</t>
  </si>
  <si>
    <t>WOS:000415426800006</t>
  </si>
  <si>
    <t>INDIAN JOURNAL OF TRADITIONAL KNOWLEDGE</t>
  </si>
  <si>
    <t>0972-5938</t>
  </si>
  <si>
    <t>Walker, RE; Butler, J; Kriska, A; Keane, C; Fryer, CS; Burke, JG</t>
  </si>
  <si>
    <t>Walker, Renee E.; Butler, James; Kriska, Andrea; Keane, Christopher; Fryer, Craig S.; Burke, Jessica G.</t>
  </si>
  <si>
    <t>How Does Food Security Impact Residents of a Food Desert and a Food Oasis?</t>
  </si>
  <si>
    <t>JOURNAL OF HUNGER &amp; ENVIRONMENTAL NUTRITION</t>
  </si>
  <si>
    <t>This study explored how factors that influence food buying practices make it harder for food secure and food insecure households to eat healthy. Twenty-five men and women participated in the concept mapping process, a mixed methods approach that allows participants to identify, sort, and rate ideas according to their perceptions. Participants identified 121 unique statements and sorted them into 12 clusters that represented their perceptions. Cluster ratings were higher among food-insecure participants compared to food-secure participants. A secondary aim was to explore how food security and food desert statuses are perceived to hinder healthy eating. Food secure participants in a food desert perceived clusters as more important to hindering healthy eating than food-secure participants in a food oasis. Similar perceptions were noted among food-insecure residents in either a food desert or a food oasis. Findings contribute to our understanding of how perceptions differ by food desert and food security statuses.</t>
  </si>
  <si>
    <t>Fryer, Craig/N-1744-2014; Walker, Renee/AAB-7351-2020</t>
  </si>
  <si>
    <t>Burke, Jessica/0000-0002-0439-7653; Kriska, Andrea/0000-0002-3522-0869</t>
  </si>
  <si>
    <t>1932-0248</t>
  </si>
  <si>
    <t>1932-0256</t>
  </si>
  <si>
    <t>10.1080/19320248.2010.530549</t>
  </si>
  <si>
    <t>WOS:000214659900004</t>
  </si>
  <si>
    <t>McEntee, J; Agyeman, J</t>
  </si>
  <si>
    <t>McEntee, Jesse; Agyeman, Julian</t>
  </si>
  <si>
    <t>Towards the development of a GIS method for identifying rural food deserts: Geographic access in Vermont, USA</t>
  </si>
  <si>
    <t>APPLIED GEOGRAPHY</t>
  </si>
  <si>
    <t>The food desert metaphor has been widely used by academics and politicians alike. While there is general agreement on what a food desert is in a relatively vague sense, strategies to identify food deserts, especially in a rural setting, using a systematic method remain undefined. The purpose of this paper is to contribute towards the development of a method for rural food desert identification strategies using the location of food retailers and residential units. We apply a methodologically innovative GIS approach to the primarily rural state of Vermont, USA. Areas of inadequate geographic food access are identified and some are found to overlap with high poverty locations. Aims for future work are identified including fieldwork to validate these findings. (C) 2009 Elsevier Ltd. All rights reserved.</t>
  </si>
  <si>
    <t>0143-6228</t>
  </si>
  <si>
    <t>10.1016/j.apgeog.2009.05.004</t>
  </si>
  <si>
    <t>WOS:000273146100013</t>
  </si>
  <si>
    <t>Walker, RE; Keane, CR; Burke, JG</t>
  </si>
  <si>
    <t>Walker, Renee E.; Keane, Christopher R.; Burke, Jessica G.</t>
  </si>
  <si>
    <t>Disparities and access to healthy food in the United States: A review of food deserts literature</t>
  </si>
  <si>
    <t>Increasingly, studies are focusing on the role the local food environment plays in residents' ability to purchase affordable, healthy and nutritious foods. In a food desert, an area devoid of a supermarket, access to healthy food is limited. We conducted a systematic review of studies that focused on food access and food desert research in the United States. The 31 studies identified utilized 9 measures to assess food access. Results from these studies can be summarized primarily into four major statements. Findings from other countries offer insight into ways, in which future research, policy development and program implementation in the US may continue to be explored. (C) 2010 Elsevier Ltd. All rights reserved</t>
  </si>
  <si>
    <t>Walker, Renee/AAB-7351-2020</t>
  </si>
  <si>
    <t>Burke, Jessica/0000-0002-0439-7653</t>
  </si>
  <si>
    <t>SEP</t>
  </si>
  <si>
    <t>10.1016/j.healthplace.2010.04.013</t>
  </si>
  <si>
    <t>WOS:000281411500013</t>
  </si>
  <si>
    <t>Smith, C; Butterfass, J; Richards, R</t>
  </si>
  <si>
    <t>Smith, Chery; Butterfass, Jamie; Richards, Rickelle</t>
  </si>
  <si>
    <t>Environment influences food access and resulting shopping and dietary behaviors among homeless Minnesotans living in food deserts</t>
  </si>
  <si>
    <t>Qualitative and quantitative methods were used to investigate how shopping behaviors and environment influence dietary intake and weight status among homeless Minnesotans living in food deserts. Seven focus groups (n = 53) and a quantitative survey (n = 255), using the social cognitive theory as the theoretical framework, were conducted at two homeless shelters (S1 and S2) in the Twin Cities area. Heights, weights, and 24-h dietary recalls were also collected. Food stores within a five-block radius of the shelters were evaluated for the price and availability of foods and compared to the Thrifty Food Plan's market basket prices (MBP). Results showed that almost 80% of the sample was overweight or obese, with women consuming less than the recommended level for the fruits, vegetables, and milk food groups and excess for the fats/oils/sweets food group. Focus groups and participant surveys indicated that the shelter infrastructure and surrounding community influenced the types of foods available, food store access, and the foods purchased and consumed. Participants relied on food assistance programs, including food stamps, to supplement their food supply; however, some felt the high food prices at neighboring stores limited food choice and that food stamps did not adequately cover food costs. Results from the food store survey found the majority of food prices exceeded Midwest or national MBP. To promote healthier dietary intake and weight status, community-based interventions and city planners should aim to increase access to food through improved food availability and food access within the shelter environment and surrounding community.</t>
  </si>
  <si>
    <t>10.1007/s10460-009-9191-z</t>
  </si>
  <si>
    <t>WOS:000277540900003</t>
  </si>
  <si>
    <t>Montreal</t>
  </si>
  <si>
    <t>Páez, A; Mercado, RG; Farber, S; Morency, C; Roorda, M</t>
  </si>
  <si>
    <t>Paez, Antonio; Mercado, Ruben Gertes; Farber, Steven; Morency, Catherine; Roorda, Matthew</t>
  </si>
  <si>
    <t>Relative Accessibility Deprivation Indicators for Urban Settings: Definitions and Application to Food Deserts in Montreal</t>
  </si>
  <si>
    <t>Accessibility research, within the context of the social exclusion dimensions of transport, has provided valuable tools to understand the potential of people to reach daily life activity locations. In this paper, model-based estimates of distance travelled are used to calculate a cumulative opportunities measure of accessibility. Multivariate, spatially expanded models produce estimates of distance travelled that are specific to both geographical location and type of individual. Opportunity landscapes obtained based on these estimates are used for comparative accessibility analysis by means of what are termed relative accessibility deprivation indicators. The indicators proposed are demonstrated with a case study of food deserts in the city of Montreal, Canada. The results of the analysis illustrate the variations in accessibility between individuals in low-income households and the reference group, and the effect of vehicle ownership for accessibility to food services, thus highlighting the social exclusion implications of these factors.</t>
  </si>
  <si>
    <t>Morency, Catherine/ABB-5448-2021; Paez, Antonio/A-1894-2008; Farber, Steven/L-9356-2013</t>
  </si>
  <si>
    <t>Paez, Antonio/0000-0001-6912-9919; Farber, Steven/0000-0002-3870-5984; Roorda, Matthew/0000-0001-6724-0154</t>
  </si>
  <si>
    <t>10.1177/0042098009353626</t>
  </si>
  <si>
    <t>WOS:000277877900003</t>
  </si>
  <si>
    <t>Pereira, CAN; Larder, N; Somerset, S</t>
  </si>
  <si>
    <t>Pereira, Carolina A. N.; Larder, Nicolette; Somerset, Shawn</t>
  </si>
  <si>
    <t>Food acquisition habits in a group of African refugees recently settled in Australia</t>
  </si>
  <si>
    <t>This study investigated how recently arrived refugees acquired food in their local food neighbourhood. Ten African humanitarian migrants belonging to separate households were asked to keep a travel and food diary for one week. Participants' food neighbourhoods were mapped using online satellite pictures and direct observation On average 78 food outlets were available within a 2 km radius of participants' homes. Vegetable consumption was higher in participants who resided &lt; 1 km from a major grocery retailer (p &lt; 0 05) Foods provided during migrant orientation events were the major opportunities where subjects were introduced to foods more typical of reported usual intake in the general sedentee Australian population The initial 12 months of resettlement is a critical period for acculturation as participants stabilise food habits While participants seemed not to live in food deserts, intakes of all food groups remained inferior to recommended levels suggesting physical proximity and implied in-store choice alone do not guarantee a healthy diet. Migrant orientation events may represent an Important setting for education about suitable options for adopting new foods into diets Crown Copyright (C) 2010 Published by Elsevier Ltd. All rights reserved</t>
  </si>
  <si>
    <t>Pereira, Carolina/HHT-0142-2022; Somerset, Shawn/K-4843-2014</t>
  </si>
  <si>
    <t>Larder, Nicolette/0000-0001-8119-4879; Somerset, Shawn/0000-0002-4922-3593</t>
  </si>
  <si>
    <t>10.1016/j.healthplace.2010.05.007</t>
  </si>
  <si>
    <t>WOS:000281411500020</t>
  </si>
  <si>
    <t>Bader, MDM; Purciel, M; Yousefzadeh, P; Neckerman, KM</t>
  </si>
  <si>
    <t>Bader, Michael D. M.; Purciel, Marnie; Yousefzadeh, Paulette; Neckerman, Kathryn M.</t>
  </si>
  <si>
    <t>Disparities in Neighborhood Food Environments: Implications of Measurement Strategies</t>
  </si>
  <si>
    <t>ECONOMIC GEOGRAPHY</t>
  </si>
  <si>
    <t>Public health researchers have begun to map the neighborhood food environment and examine its association with the risk of overweight and obesity. Some argue that food deserts-areas with little or no provision of fresh produce and other healthy food-may contribute to disparities in obesity, diabetes, and related health problems. While research on neighborhood food environments has taken advantage of more technically sophisticated ways to assess distance and density, in general, it has not considered how individual or neighborhood conditions might modify physical distance and thereby affect patterns of spatial accessibility. This study carried out a series of sensitivity analyses to illustrate the effects on the measurement of disparities in food environments of adjusting for cross-neighborhood variation in vehicle ownership rates, public transit access, and impediments to pedestrian travel, such as crime and poor traffic safety. The analysis used geographic information systems data for New York City supermarkets, fruit and vegetable markets, and farmers' markets and employed both kernel density and distance measures. We found that adjusting for vehicle ownership and crime tended to increase measured disparities in access to supermarkets by neighborhood race/ethnicity and income, while adjusting for public transit and traffic safety tended to narrow these disparities. Further, considering fruit and vegetable markets and farmers' markets, as well as supermarkets, increased the density of healthy food outlets, especially in neighborhoods with high concentrations of Hispanics, Asians, and foreign-born residents and in high-poverty neighborhoods.</t>
  </si>
  <si>
    <t>Bader, Michael/F-3422-2010</t>
  </si>
  <si>
    <t>Bader, Michael/0000-0001-6292-7790</t>
  </si>
  <si>
    <t>0013-0095</t>
  </si>
  <si>
    <t>1944-8287</t>
  </si>
  <si>
    <t>10.1111/j.1944-8287.2010.01084.x</t>
  </si>
  <si>
    <t>WOS:000283165400007</t>
  </si>
  <si>
    <t>Ford, PB; Dzewaltowski, DA</t>
  </si>
  <si>
    <t>Ford, P. B.; Dzewaltowski, D. A.</t>
  </si>
  <si>
    <t>Geographic, Racial, Ethnic, and Socioeconomic Disparities in the Availability of Grocery Stores and Supermarkets Among Low-Income Women Across the Urban-Rural Continuum</t>
  </si>
  <si>
    <t>Disparities in the prevalence of obesity have been linked to differential access to grocery stores and supermarkets. The availability of convenience, grocery stores, and supermarkets within the census tract and a 1-, 3-, and 5-mile radius of residence was measured for women enrolled in the Special Supplemental Nutrition Program for Women, Infants, and Children (WIC) (n = 21 203) in Kansas. Disparities in the availability of supermarkets were faced by women living in rural counties; however, within more urbanized areas, the presence of racial, ethnic, and socioeconomic disparities differed based on whether store availability was measured within tract or within a 1-mile radius of residence. These results highlight the need for greater specificity when examining the relationship between food environments and dietary outcomes.</t>
  </si>
  <si>
    <t>Dzewaltowski, David/G-5837-2015</t>
  </si>
  <si>
    <t>Dzewaltowski, David/0000-0002-6592-1041</t>
  </si>
  <si>
    <t>10.1080/19320241003800276</t>
  </si>
  <si>
    <t>WOS:000214659500007</t>
  </si>
  <si>
    <t>Companion, M</t>
  </si>
  <si>
    <t>Companion, Michele</t>
  </si>
  <si>
    <t>CONSTRICTION IN THE VARIETY OF URBAN FOOD PANTRY DONATIONS BY PRIVATE INDIVIDUALS</t>
  </si>
  <si>
    <t>JOURNAL OF URBAN AFFAIRS</t>
  </si>
  <si>
    <t>The urban poor face a number of health challenges, many linked to lack of sufficient and consistent access to nutritious foods. Social ecology models demonstrate the negative impacts of high food cost and limited availability in urban areas. These studies note that food deserts have a profound impact on physiological pathologies of urban poor populations. Food pantries are an understudied feature of these urban landscapes. To address this gap, this study surveys the contents of food pantry donations during the month of September 2008. Data demonstrate the socioeconomic impact of reductions of charitable food donations on the diets of the urban poor.</t>
  </si>
  <si>
    <t>0735-2166</t>
  </si>
  <si>
    <t>1467-9906</t>
  </si>
  <si>
    <t>10.1111/j.1467-9906.2010.00511.x</t>
  </si>
  <si>
    <t>WOS:000284899200005</t>
  </si>
  <si>
    <t>Cannuscio, CC; Weiss, EE; Asch, DA</t>
  </si>
  <si>
    <t>Cannuscio, Carolyn C.; Weiss, Eve E.; Asch, David A.</t>
  </si>
  <si>
    <t>The Contribution of Urban Foodways to Health Disparities</t>
  </si>
  <si>
    <t>JOURNAL OF URBAN HEALTH-BULLETIN OF THE NEW YORK ACADEMY OF MEDICINE</t>
  </si>
  <si>
    <t>How do urban food environments produce health disparities? The literature currently emphasizes the etiologic relevance of urban food deserts and their nutritional shortcomings. This paper instead examines the health relevance of foodways-the social dynamics surrounding the production, purchase, and consumption of food. We report on data from 32 photo-elicitation interviews conducted with adult residents of Philadelphia, examining distinct foodways and health concerns that play out in the most commonly discussed retail establishments: corner stores, Stop and Go's (delis that also sell beer), and Chinese takeout restaurants. Corner store visits, described as a routinized element of children's school day, were implicated in early life patterning of unsound nutritional choices. Stop and Go's were described as a health threat because of their alcohol sales and tacit promotion of public drunkenness, coupled with accessibility to youth. Stop and Go's and Chinese takeouts both were perceived as generators of violence in part because of on-site sales of alcohol, drug paraphernalia, and illicit drugs. Chinese takeouts also were described as symbolic reminders of African Americans' economic exclusion and as places infused with race/ethnic tension and hostile merchant-customer interactions. Instead of viewing the food environment simply as a source of calories and nutrients, participants discussed the complex social dynamics that play out therein, raising a range of important considerations for (especially disadvantaged) urban residents' safety, physical well-being, and mental health.</t>
  </si>
  <si>
    <t>Cannuscio, Carolyn/A-1123-2007</t>
  </si>
  <si>
    <t>Asch, David/0000-0002-7970-286X</t>
  </si>
  <si>
    <t>1099-3460</t>
  </si>
  <si>
    <t>1468-2869</t>
  </si>
  <si>
    <t>10.1007/s11524-010-9441-9</t>
  </si>
  <si>
    <t>WOS:000277716000004</t>
  </si>
  <si>
    <t>Bedore, M</t>
  </si>
  <si>
    <t>Bedore, Melanie</t>
  </si>
  <si>
    <t>Just Urban Food Systems: A New Direction for Food Access and Urban Social Justice</t>
  </si>
  <si>
    <t>GEOGRAPHY COMPASS</t>
  </si>
  <si>
    <t>Food geography has exploded as a subfield of human geography in recent years; however, normative ideas of justice are not always explicitly addressed. The concept of a 'just urban food system' can incorporate ideals of justice into the issue of declining retail food accessibility for low-income urban communities - 'food deserts' - which have yet to be analysed through a lens of justice. In this article, I review geographers' and planners' research on changing urban food landscapes; I also discuss ways that food scholars have implicitly and explicitly addressed normative frameworks, such as food justice, food democracy, food sovereignty and the moral economy. I conclude with three potential research agendas to encourage research on the just urban food system: collective consumption, urban public/private property struggles and the just city.</t>
  </si>
  <si>
    <t>1749-8198</t>
  </si>
  <si>
    <t>10.1111/j.1749-8198.2010.00383.x</t>
  </si>
  <si>
    <t>WOS:000214316400016</t>
  </si>
  <si>
    <t>Lazarevic, K; Nagorni, A; Rancic, N; Milutinovic, S; Stosic, L; Ilijev, I</t>
  </si>
  <si>
    <t>Lazarevic, K.; Nagorni, A.; Rancic, N.; Milutinovic, S.; Stosic, L.; Ilijev, I.</t>
  </si>
  <si>
    <t>Dietary factors and gastric cancer risk: hospital-based case control study</t>
  </si>
  <si>
    <t>JOURNAL OF BUON</t>
  </si>
  <si>
    <t>Purpose: To examine possible associations between dietary factors and gastric cancer risk among residents in the area of Nis, Serbia. Methods: This hospital based case-control study was conducted at the Clinical Centre Nis between 2005 and 2006. Cases (n=102) with histologically confirmed gastric cancer and matched non-cancer patients (controls, n=204) were interviewed. Diet was assessed using a food frequency questionnaire and odds ratios (OR), 95% confidence interval (95% CI), and p-trends were calculated across tertiles of intake. Results: High intake of salt, salty meals and hot food were associated with higher risk of gastric cancer. After searching for potential confounders, multivariate logistic regression analysis showed elevated risk for the highest vs. the lowest tertile of intake for smoked and barbecue meat (OR 4.21; 95% CI 1.43-12.37), processed meat (OR 9.17; 95% CI 2.78-15.23), desert (OR 2.85; 95% CI 1.28-6.38), potatoes (OR 4.79; 95% CI 1.44-5.94), pickled vegetables (OR 2.02,95% Cl 1.21-3.0) and milk (OR 5.08; 95% CI 1.59-10.16) intake but reduced for citrus fruits (OR = 0.13, 95% CI 0.03-0.53), other fruits (OR 0.05; 95% CI 0.02-0.18), allium vegetables (e.g. onion, garlic, leek) (OR 0.11; 95% CI 0.02-0.60) and cooked meat intake (OR 0.07; 95% CI 0.02-0.27). Intake of bread, dairy, fish, legumes and raw and cooked vegetables was not significantly related with gastric cancer risk. Conclusion: A low risk diet for gastric cancer in the area of Nis should include increased fruits and alliums vegetables consumption and limited processed meat, salt, preserved food, deserts, potatoes and milk intake.</t>
  </si>
  <si>
    <t>Rancic, Natasa/AFO-5177-2022</t>
  </si>
  <si>
    <t>Stosic, Ljiljana/0000-0003-1317-6526; Lazarevic, Konstansa/0000-0002-9993-115X; Rancic, Natasa/0000-0002-8472-9282</t>
  </si>
  <si>
    <t>1107-0625</t>
  </si>
  <si>
    <t>2241-6293</t>
  </si>
  <si>
    <t>JAN-MAR</t>
  </si>
  <si>
    <t>WOS:000276654500013</t>
  </si>
  <si>
    <t>Bleasdale, T; Crouch, C; Harlan, SL</t>
  </si>
  <si>
    <t>Bleasdale, Tommy; Crouch, Carolyn; Harlan, Sharon L.</t>
  </si>
  <si>
    <t>Community gardening in disadvantaged neighborhoods in Phoenix, Arizona: Aligning programs with perceptions</t>
  </si>
  <si>
    <t>JOURNAL OF AGRICULTURE FOOD SYSTEMS AND COMMUNITY DEVELOPMENT</t>
  </si>
  <si>
    <t>This study examined a struggling community gardening program in a low-income minority community in Phoenix, Arizona. The gardening program exists within a larger local food initiative organized by a nonprofit community development organization. The nonprofit's goals for the community gardening program are to provide residents with opportunities for education, extra income and socializing. In partnership with the nonprofit and local residents, we undertook a study to determine the potential for increasing the recruitment and retention of local gardeners in order to sustain a successful community gardening program. We used interviews and participant observation to create an exploratory survey that measured residents' perceptions of benefits and burdens associated with gardening. Results revealed that while respondents had a level of gardening interest and experience in the community, they also lacked awareness about the gardening program. Perceptions of the benefits and burdens of gardening varied among current gardeners, ex-gardeners, and people who had never gardened. The benefits of gardening suggested by many residents differed from the local food initiative goals. If community gardens and local food initiatives are to succeed, organizers should align their programs with the desires of neighborhood residents and educate them about a wide range of potential benefits of gardening to both individuals and neighborhoods.</t>
  </si>
  <si>
    <t>2152-0798</t>
  </si>
  <si>
    <t>2152-0801</t>
  </si>
  <si>
    <t>WIN</t>
  </si>
  <si>
    <t>10.5304/jafscd.2011.013.007</t>
  </si>
  <si>
    <t>WOS:000439853700007</t>
  </si>
  <si>
    <t>Coyle, L; Flowerdew, R</t>
  </si>
  <si>
    <t>Coyle, Lindsay; Flowerdew, Robin</t>
  </si>
  <si>
    <t>Food Deserts in Dundee</t>
  </si>
  <si>
    <t>SCOTTISH GEOGRAPHICAL JOURNAL</t>
  </si>
  <si>
    <t>The poor health of Scots is sometimes linked to poor diet, especially a lack of fresh fruit and vegetables. However, this lack may itself be linked to accessibility issues. In recent years, shops selling 'healthy' food, such as large superstores, have tended to relocate to edge-of-town locations, which are very accessible to car users but difficult for others. The term 'food desert' is often applied to inner cities when they have few or no food shops, or at least few shops selling healthy food. This paper describes a project intended to evaluate the applicability of the food desert concept to Dundee, Scotland's fourth largest city (2001 population 145,663), located on the Tay estuary in East Central Scotland. A postal survey was conducted in Dundee in the summer of 2009. It collected information on consumption of fresh fruit and vegetables, and of other supposedly healthy (or unhealthy) foods, the retail outlets most often used for food purchases, the mode and duration of food shopping trips, and whether respondents found it easy or difficult to shop for healthy food. Although the response rate in some zones was poor, it is possible to identify some clear trends in the data. The failure of 81% of respondents to eat the recommended five portions of fresh fruit and vegetables per day confirms that dietary choices are problematic for Dundonians. The sample overall showed that the majority of food shoppers went by car, and that journeys seldom lasted more than 20minutes. Very few respondents said that they found shopping trips difficult. In view of these results, it does not seem appropriate to describe Dundee as a food desert, though many individuals may settle for a less healthy diet because of difficulties in gaining access to more healthy foods. Dundee may be too small to be a food desert. Residents in all our survey areas are within easy reach of at least one superstore. However, the lack of support for the 'food desert' metaphor should not be interpreted as meaning that nobody experiences problems of accessibility to healthy food, nor that individuals' illnesses should be blamed on their poor food choices.</t>
  </si>
  <si>
    <t>1470-2541</t>
  </si>
  <si>
    <t>1751-665X</t>
  </si>
  <si>
    <t>PII 938276768</t>
  </si>
  <si>
    <t>10.1080/14702541.2011.579571</t>
  </si>
  <si>
    <t>WOS:000291266100001</t>
  </si>
  <si>
    <t>Bitler, M; Haider, SJ</t>
  </si>
  <si>
    <t>Bitler, Marianne; Haider, Steven J.</t>
  </si>
  <si>
    <t>AN ECONOMIC VIEW OF FOOD DESERTS IN THE UNITED STATES</t>
  </si>
  <si>
    <t>JOURNAL OF POLICY ANALYSIS AND MANAGEMENT</t>
  </si>
  <si>
    <t>Considerable policy and academic attention has been focused on the topic of food deserts. We consider this topic from an economic perspective. First, we consider how the components of a standard economic analysis apply to the study of food deserts. Second, using this economic lens, we revisit the empirical literature on food deserts to assess the progress that has been made regarding whether food deserts are problematic in the U.S. Overall, despite several studies documenting the existence of food deserts in local areas, shortcomings in available data have not allowed researchers to convincingly document the presence or absence of food deserts on a national scale, and virtually no research has provided insight as to why food deserts might exist. (C) 2010 by the Association for Public Policy Analysis and Management.</t>
  </si>
  <si>
    <t>0276-8739</t>
  </si>
  <si>
    <t>1520-6688</t>
  </si>
  <si>
    <t>10.1002/pam.20550</t>
  </si>
  <si>
    <t>WOS:000285447200008</t>
  </si>
  <si>
    <t>Gordon, C; Purciel-Hill, M; Ghai, NR; Kaufman, L; Graham, R; Van Wye, G</t>
  </si>
  <si>
    <t>Gordon, Cynthia; Purciel-Hill, Marnie; Ghai, Nirupa R.; Kaufman, Leslie; Graham, Regina; Van Wye, Gretchen</t>
  </si>
  <si>
    <t>Measuring food deserts in New York City's low-income neighborhoods</t>
  </si>
  <si>
    <t>There has been growing interest in the environmental factors that contribute to poor health outcomes, particularly in areas where health disparities are pronounced. The locations of food deserts, or unhealthy food environments, correspond to areas with the highest proportions of African-American/Black residents, a population suffering from higher rates of many chronic conditions, including obesity and diabetes in our study area. This study seeks to enhance our understanding of the role of the neighborhood environment on residents' health, by examining neighborhood food availability and access in low-income and wealthier neighborhoods of New York City. We documented the neighborhood food environment and areas we call food deserts by creating methodological innovations. We calculated the lowest scores within East and Central Harlem and North and Central Brooklyn areas with the highest proportions of Black residents and the lowest median household incomes. By contrast, the most favorable food desert scores were on the Upper East Side, a predominantly white, middle and upper-income area. (C) 2011 Elsevier Ltd. All rights reserved.</t>
  </si>
  <si>
    <t>10.1016/j.healthplace.2010.12.012</t>
  </si>
  <si>
    <t>WOS:000289339000033</t>
  </si>
  <si>
    <t>Hubley, TA</t>
  </si>
  <si>
    <t>Hubley, Teresa A.</t>
  </si>
  <si>
    <t>Assessing the proximity of healthy food options and food deserts in a rural area in Maine</t>
  </si>
  <si>
    <t>The purpose of the project described in this paper was to assess and describe the food environment facing public assistance clients in a rural county in Maine. Using the concept of a food desert and an objective tool for rating participating food outlets, the research team developed a spatial model of client access to healthy foods. The final map shows that most rural residents are within acceptable distances of well-rated stores, though these may not be supermarkets. (C) 2010 Elsevier Ltd. All rights reserved.</t>
  </si>
  <si>
    <t>1873-7730</t>
  </si>
  <si>
    <t>SI</t>
  </si>
  <si>
    <t>10.1016/j.apgeog.2010.09.004</t>
  </si>
  <si>
    <t>WOS:000292537700005</t>
  </si>
  <si>
    <t>Hallett, LF; McDermott, D</t>
  </si>
  <si>
    <t>Hallett, Lucius F.; McDermott, Dave</t>
  </si>
  <si>
    <t>Quantifying the extent and cost of food deserts in Lawrence, Kansas, USA</t>
  </si>
  <si>
    <t>Food deserts are places in the urban environment of otherwise developed nations that are poorly served by access to healthful food. Included in these are vegetables, fruits, and cereals comprising the items needed for a healthy diet. The lack of healthful food imposes high costs on residents and is associated with health problems resulting from poor diets. We attempt to examine and refine the discussion of food deserts by using geographic information systems and remote sensing to quantitatively define such deserts and to measure the costs of distance imposed on consumers. Our initial application of these methods is in the small city of Lawrence, Kansas, USA, though the methods presented are appropriate for rural and urban communities as well. (C) 2010 Elsevier Ltd. All rights reserved.</t>
  </si>
  <si>
    <t>10.1016/j.apgeog.2010.09.006</t>
  </si>
  <si>
    <t>WOS:000292537700003</t>
  </si>
  <si>
    <t>Lewis, LB; Galloway-Gilliam, L; Flynn, G; Nomachi, J; Keener, LC; Sloane, DC</t>
  </si>
  <si>
    <t>Lewis, LaVonna Blair; Galloway-Gilliam, Lark; Flynn, Gwendolyn; Nomachi, Jonathan; Keener, LaTonya Chavis; Sloane, David C.</t>
  </si>
  <si>
    <t>Transforming the Urban Food Desert From the Grassroots Up A Model for Community Change</t>
  </si>
  <si>
    <t>FAMILY &amp; COMMUNITY HEALTH</t>
  </si>
  <si>
    <t>Confronted by continuing health disparities m vulnerable communities, Community Health Councils (CHC), a nonprofit community based organization in South Los Angeles worked with the African Americans Building a Legacy of Health Coalition and research partners to develop a community change model to address the root causes of health disparities within the community s African American population This article discusses how the CHC Model s development and application led to public policy interventions in a food desert  The CHC Model provided a systematic approach to engaging impacted communities in support of societal level reforms, with the goal to influence health outcomes</t>
  </si>
  <si>
    <t>0160-6379</t>
  </si>
  <si>
    <t>1550-5057</t>
  </si>
  <si>
    <t>S92</t>
  </si>
  <si>
    <t>S101</t>
  </si>
  <si>
    <t>10.1097/FCH.0b013e318202a87f</t>
  </si>
  <si>
    <t>WOS:000285733000011</t>
  </si>
  <si>
    <t>Russell, SE; Heidkamp, CP</t>
  </si>
  <si>
    <t>Russell, Scott E.; Heidkamp, C. Patrick</t>
  </si>
  <si>
    <t>'Food desertification': The loss of a major supermarket in New Haven, Connecticut</t>
  </si>
  <si>
    <t>In March of 2010, the only full-service supermarket centrally located in New Haven, Connecticut closed, stranding many of the city's residents in a food desert. A food desert is an urban or rural area with significantly limited access to retail sources of healthy and affordable food, due to a combination of socioeconomic disadvantages and physical distance. This article considers the pivotal and causative role of the business model of supermarkets in the creation of new or exacerbation of current urban food deserts, as well as in the impact the loss of one market has on the resilience of the community's food system. Using the events of New Haven as a case study, the form and severity of the food desert in New Haven is analyzed by mapping 1/4 mile, 1/2 mile, and 1 mile road network service areas of the major supermarkets and grocery stores of the area. These are compared against Census block group data of the New Haven population's median household income, poverty level, and access to a personal vehicle. The results show certain parts of the city with low income, high poverty, and low vehicle access to exist in hardship outside the service areas of nearby stores. GIS methodology aids in illustrating the conclusion that the loss of just one supermarket has had significantly detrimental effects on the geographical food access of the city's residents. The ongoing lack of a full-service supermarket in the city not only raises concerns about the value of a new supermarket coming in, but also creates possibilities for seeking alternative food system solutions. (C) 2011 Elsevier Ltd. All rights reserved.</t>
  </si>
  <si>
    <t>Heidkamp, C. Patrick/0000-0001-5440-3022</t>
  </si>
  <si>
    <t>10.1016/j.apgeog.2011.01.010</t>
  </si>
  <si>
    <t>WOS:000292537700002</t>
  </si>
  <si>
    <t>Yousefian, A; Leighton, A; Fox, K; Hartley, D</t>
  </si>
  <si>
    <t>Yousefian, A.; Leighton, A.; Fox, K.; Hartley, D.</t>
  </si>
  <si>
    <t>Understanding the rural food environment - perspectives of low-income parents</t>
  </si>
  <si>
    <t>RURAL AND REMOTE HEALTH</t>
  </si>
  <si>
    <t>Introduction: Childhood obesity rates appear to be more pronounced among youth in rural areas of the USA. The availability of retail food outlets in rural communities that sell quality, affordable, nutritious foods may be an important factor for encouraging rural families to select a healthy diet and potentially reduce obesity rates. Researchers use the term 'food desert' to describe communities where access to healthy and affordable food is limited. Understanding the ways in which the food environment and food deserts impact childhood obesity may be a key component to designing interventions that increase the availability of healthy and affordable foods, thus improving the health of rural communities. Methods: The food environment was investigated in 6 rural low-income Maine communities to assess how food environments affect eating behaviors and obesity rates of rural children enrolled in Medicaid/State Children's Health Insurance Program in Maine ('MaineCare'). Focus groups were conducted with low-income parents of children enrolled in MaineCare to ask them about their food shopping habits, barriers faced when trying to obtain food, where they get their food, and what they perceive as healthy food. Results: Cost, travel distance, and food quality were all factors that emerged as influential in rural low-income family's efforts to get food. Parents described patterns of thoughtful and creative shopping habits that involve coupons and sales. Grocery shopping is often supplemented with food that is harvested, hunted, and bartered. The use of large freezers for storing bulk items was reported as necessary for survival in 'tough' times. Families often travel up to 128.8 km (80 miles) to purchase good quality, affordable food, recognizing that in rural communities travelling these distances is a reality of rural life. Parents appeared to know what qualities describe 'healthy food'. Conclusions: Rural families may have greater flexibility and opportunity to be methodical in their food shopping than urban families since many have access to cars and large freezers. This creates a buffer around these rural communities that mightotherwise be considered food deserts. Although the meaning of food desert may be different in rural areas than in urban, it does not negate the fact that low-income rural families are struggling. The combination of challenges that rural low-income families face call for more rigorous study to identify promising interventions for increasing food access and quality in these communities. Participants have developed creative skills for getting food on the table and they know what healthy food is. Despite having acquired this knowledge and these skills, rural families are struggling. With these struggles in mind, policy-makers should consider the shopping patterns reported in this study when thinking about how to help rural residents better access affordable, healthy and quality foods. Customary approaches to remedying the problem of food deserts in urban areas, such as building more grocery stores, may not be necessary in rural areas. More creative approaches for food-access policy changes, subsidies and incentives are needed to match the complex and multi-faceted strategies that low-income residents utilize to feed their families.</t>
  </si>
  <si>
    <t>1445-6354</t>
  </si>
  <si>
    <t>APR-JUN</t>
  </si>
  <si>
    <t>WOS:000296911400014</t>
  </si>
  <si>
    <t>Gallicano, TD; Stansberry, K</t>
  </si>
  <si>
    <t>Gallicano, Tiffany Derville; Stansberry, Kathleen</t>
  </si>
  <si>
    <t>Communication with diverse audiences through a case study approach</t>
  </si>
  <si>
    <t>PUBLIC RELATIONS REVIEW</t>
  </si>
  <si>
    <t>An active-learning assignment is described that involves developing strategies and identifying appropriate tactics for diverse audiences. The assignment can be used in a class of any size. Students are required to develop a goal, objectives, strategies, an identification of tactics, and evaluation plans for a request for proposals by the city of Chicago regarding an urban food desert. Students are asked to develop a plan to promote fresh, high-nutrient food to either low-income African-American women or low-income Hispanic women living in the food desert. (C) 2011 Elsevier Inc. All rights reserved.</t>
  </si>
  <si>
    <t>Gallicano, Tiffany/L-6339-2016</t>
  </si>
  <si>
    <t>Gallicano, Tiffany/0000-0002-9052-9287</t>
  </si>
  <si>
    <t>0363-8111</t>
  </si>
  <si>
    <t>10.1016/j.pubrev.2011.09.023</t>
  </si>
  <si>
    <t>WOS:000297564300018</t>
  </si>
  <si>
    <t>Sadler, RC; Gilliland, JA; Arku, G</t>
  </si>
  <si>
    <t>Sadler, Richard C.; Gilliland, Jason A.; Arku, Godwin</t>
  </si>
  <si>
    <t>An application of the edge effect in measuring accessibility to multiple food retailer types in Southwestern Ontario, Canada</t>
  </si>
  <si>
    <t>Background: Trends in food retailing associated with the consolidation of smaller-format retailers into fewer, larger-format supercentres have left some rural areas with fewer sources of nutritious, affordable food. Access to nutritious, affordable food is essential for good dietary habits and combating health issues such as type-2 diabetes, obesity, and cardiovascular disease. Many studies on food environments use inaccurate or incomplete methods for locating food retailers, which may be responsible for mischaracterising food deserts. This study uses databases of every residence in and every food retailer in and around Middlesex County, Ontario, Canada. Residences were geocoded to their precise address, and network analysis techniques were performed in a geographic information system (GIS) to determine distances between every residence and different types of food retailers (grocery stores, fast food, fruit and vegetable sources, grocery stores plus fruit and vegetable sources, variety stores), both when considering and neglecting facilities outside the area of study, to account for a deficiency in analysis termed the 'edge effect'. Results: Analysis of household accessibility to food outlets by neighbourhood socioeconomic distress level indicated that residents in the most distressed neighbourhoods tended to have better accessibility to all types of food retailers. In the most distressed neighbourhoods, 79 percent of residences were within walking distance of a grocery store, compared to only 10 percent in the least distressed neighbourhoods. When the edge effect was neglected, 37 percent of distance estimates proved inaccurate. Average accessibility to all food retailer types improved dramatically when food outlets adjacent to the study area were considered, thereby controlling for the edge effect. Conclusion: By neglecting to consider food retailers just outside study area boundaries, previous studies may significantly over-report the actual distance necessary to travel for food. Research on food access spanning large rural regions requires methods that accurately geocode residents and their food sources. By implementing methods akin to those in this paper, future research will be better able to identify areas with poor food accessibility. Improving identification of food desert communities is a first step in facilitating more effective deployment of food policies and programs in those communities.</t>
  </si>
  <si>
    <t>Gilliland, Jason/0000-0002-2909-2178; Arku, Godwin/0000-0001-7720-1554</t>
  </si>
  <si>
    <t>MAY 15</t>
  </si>
  <si>
    <t>10.1186/1476-072X-10-34</t>
  </si>
  <si>
    <t>WOS:000291583500001</t>
  </si>
  <si>
    <t>Fielding, JE; Simon, PA</t>
  </si>
  <si>
    <t>Fielding, Jonathan E.; Simon, Paul A.</t>
  </si>
  <si>
    <t>Food Deserts or Food Swamps?</t>
  </si>
  <si>
    <t>ARCHIVES OF INTERNAL MEDICINE</t>
  </si>
  <si>
    <t>0003-9926</t>
  </si>
  <si>
    <t>JUL 11</t>
  </si>
  <si>
    <t>10.1001/archinternmed.2011.279</t>
  </si>
  <si>
    <t>WOS:000292658100005</t>
  </si>
  <si>
    <t>Mader, E; Busse, H</t>
  </si>
  <si>
    <t>Mader, Erin; Busse, Heidi</t>
  </si>
  <si>
    <t>Hungry in the Heartland: Using Community Food Systems as a Strategy to Reduce Rural Food Deserts</t>
  </si>
  <si>
    <t>Despite community and policy efforts to improve Americans' eating behaviors, the majority of Americans still fail to meet fruit and vegetable intake recommendations and rates of overweight and obesity rise. These issues are particularly acute in limited-resource, rural communities where food access, availability, and pricing hinder residents' abilities to purchase fresh produce and healthy food options. Many overweight and obesity prevention and nutrition interventions attempt to improve eating habits by increasing knowledge and changing behavior; however, such interventions often do not incorporate local resources or consider environmental barriers of rural communities. Though there are numerous evaluation tools and measures for monitoring and assessing rural food environments, their greatest limitation is that they often do not consider qualitative data or inventory nontraditional sources of healthy food. Though many researchers and practitioners have promoted policy changes and supermarket interventions to change food environments, an alternative strategy is to design community-based food systems that are culturally appropriate, locally driven, and meaningful to local stakeholders. With a locally driven, participatory approach to changing food environments, true barriers to food access can be better understood and effective strategies designed. A diverse range of community food system tools is available to adapt programs to specific community needs and interests that are recommended to make sustainable changes at individual, community, and policy levels in order to reduce the risk of overweight and obesity in rural communities and create healthier rural food environments.</t>
  </si>
  <si>
    <t>10.1080/19320248.2011.549377</t>
  </si>
  <si>
    <t>WOS:000214660100004</t>
  </si>
  <si>
    <t>Walker, RE; Fryer, CS; Butler, J; Keane, CR; Kriska, A; Burke, JG</t>
  </si>
  <si>
    <t>Walker, Renee E.; Fryer, Craig S.; Butler, James; Keane, Christopher R.; Kriska, Andrea; Burke, Jessica G.</t>
  </si>
  <si>
    <t>Factors Influencing Food Buying Practices in Residents of a Low-Income Food Desert and a Low-Income Food Oasis</t>
  </si>
  <si>
    <t>JOURNAL OF MIXED METHODS RESEARCH</t>
  </si>
  <si>
    <t>Studies suggest that proximity to a supermarket influences access to healthy foods. However, little is known about factors that influence food buying practices within areas with limited supermarket access. This study identified these factors and explored how they are related and influence healthy eating. Twenty-five men and women engaged in the concept mapping process, a mixed methods approach allowing participants to identify, sort, and rate ideas. Participants generated 121 unique (nonduplicate) statements of factors that influence food buying practices and sorted them into 12 clusters that represented their perceptions. Average cluster ratings for residents with poor supermarket access were higher than residents with supermarket access. Awareness of these factors is important for increasing access to and consumption of healthy foods.</t>
  </si>
  <si>
    <t>Walker, Renee/AAB-7351-2020; Fryer, Craig/N-1744-2014</t>
  </si>
  <si>
    <t>Burke, Jessica/0000-0002-0439-7653; Fryer, Craig/0000-0002-1125-3578; Kriska, Andrea/0000-0002-3522-0869</t>
  </si>
  <si>
    <t>1558-6898</t>
  </si>
  <si>
    <t>1558-6901</t>
  </si>
  <si>
    <t>10.1177/1558689811412971</t>
  </si>
  <si>
    <t>WOS:000294706800005</t>
  </si>
  <si>
    <t>Widener, MJ; Metcalf, SS; Bar-Yam, Y</t>
  </si>
  <si>
    <t>Widener, Michael J.; Metcalf, Sara S.; Bar-Yam, Yaneer</t>
  </si>
  <si>
    <t>Dynamic Urban Food Environments A Temporal Analysis of Access to Healthy Foods</t>
  </si>
  <si>
    <t>AMERICAN JOURNAL OF PREVENTIVE MEDICINE</t>
  </si>
  <si>
    <t>Background: Low-income, urban populations' limited access to healthy foods is often pointed to as a key barrier to improving nutrition. Although much has been written on identifying urban food deserts, little has been done to examine how the food environment changes over the course of 1 year. Purpose: This study was designed to dynamically describe the urban food environment as a means to identify when at-risk neighborhoods are without access to healthy food. Methods: Demographic and road data of Buffalo NY from the 2000 U. S. Census, a 2010 listing of city supermarkets, and 2011 government records of the time and location of urban farmers' markets are mapped. Road network distances from block groups to supermarkets and farmers' markets are calculated. A computer simulation, written in 2011, examines the market closest to each block group for 52 weeks. Results: The average distance to markets with produce from block groups with poverty levels in the top 10th percentile is greater than that across all block groups during winter and spring months. However, during the farmers' market season, the same impoverished block groups are on average closer to markets when compared to all block groups. Conclusions: Including the temporal dimension in an analysis of healthy food access generates a more complex picture of urban food-desert locations. The implications are that spatiotemporal factors should be used to inform appropriate interventions for creating an equitable food environment. (Am J Prev Med 2011;41(4):439-441) (C) 2011 American Journal of Preventive Medicine</t>
  </si>
  <si>
    <t>Metcalf, Sara/I-8593-2019; Widener, Michael/ABH-3668-2020</t>
  </si>
  <si>
    <t>Widener, Michael/0000-0003-3312-6710</t>
  </si>
  <si>
    <t>0749-3797</t>
  </si>
  <si>
    <t>1873-2607</t>
  </si>
  <si>
    <t>10.1016/j.amepre.2011.06.034</t>
  </si>
  <si>
    <t>WOS:000295789300014</t>
  </si>
  <si>
    <t>Rodriguez, JC</t>
  </si>
  <si>
    <t>Rodriguez, Judith C.</t>
  </si>
  <si>
    <t>Serving the Public: Health Literacy and Food Deserts</t>
  </si>
  <si>
    <t>JOURNAL OF THE AMERICAN DIETETIC ASSOCIATION</t>
  </si>
  <si>
    <t>0002-8223</t>
  </si>
  <si>
    <t>10.1016/j.jada.2010.11.009</t>
  </si>
  <si>
    <t>WOS:000285951000002</t>
  </si>
  <si>
    <t>Apostolopoulos, Y; Sönmez, S; Shattell, M; Haldeman, L; Strack, R; Jones, V</t>
  </si>
  <si>
    <t>Apostolopoulos, Yorghos; Sonmez, Sevil; Shattell, Mona; Haldeman, Lauren; Strack, Robert; Jones, Victoria</t>
  </si>
  <si>
    <t>Barriers to Truck Drivers' Healthy Eating: Environmental Influences and Health Promotion Strategies</t>
  </si>
  <si>
    <t>JOURNAL OF WORKPLACE BEHAVIORAL HEALTH</t>
  </si>
  <si>
    <t>This article presents an assessment of 25 trucking work settings designed to examine whether the environmental attributes of these settings influence eating patterns of truckers who are at risk for excess weight gain. Findings corroborate evidence that these work settings represent healthy food deserts. From restaurants and vending machines to the social/information environments and their surrounding communities, only meager opportunities exist for healthful eating practices. This article aims to place underserved truckers and warehousing-sector employees firmly within the discourse of workplace health promotion and calls for multistake-holder wellness strategies that encompass the intertwined risk factors linked with the transportation work environment.</t>
  </si>
  <si>
    <t>Shattell, Mona/B-5419-2011; Strack, Robert/E-1927-2016</t>
  </si>
  <si>
    <t>Shattell, Mona/0000-0002-3169-061X</t>
  </si>
  <si>
    <t>1555-5240</t>
  </si>
  <si>
    <t>1555-5259</t>
  </si>
  <si>
    <t>10.1080/15555240.2011.573754</t>
  </si>
  <si>
    <t>WOS:000212320900003</t>
  </si>
  <si>
    <t>Bertoni, AG; Foy, CG; Hunter, JC; Quandt, SA; Vitolins, MZ; Whitt-Glover, MC</t>
  </si>
  <si>
    <t>Bertoni, Alain G.; Foy, Capri G.; Hunter, Jaimie C.; Quandt, Sara A.; Vitolins, Mara Z.; Whitt-Glover, Melicia C.</t>
  </si>
  <si>
    <t>A Multilevel Assessment of Barriers to Adoption of Dietary Approaches to Stop Hypertension (DASH) among African Americans of Low Socioeconomic Status</t>
  </si>
  <si>
    <t>JOURNAL OF HEALTH CARE FOR THE POOR AND UNDERSERVED</t>
  </si>
  <si>
    <t>Background. We examined perceptions of Dietary Approaches to Stop Hypertension (DASH) and the food environment among African Americans (AA) with high blood pressure living in two low-income communities and objectively assessed local food outlets. Methods. Focus groups were conducted with 30 AAs; participants discussed DASH and the availability of healthy foods in their community. Sessions were transcribed and themes identified. Fifty-four stores and 114 restaurants were assessed using the Nutrition Environment Measures Survey (NEMS). Results. Common themes included poor availability, quality, and cost of healthy foods; tension between following DASH and feeding other family members; and lack of congruity between their preferred foods and DASH. Food outlets in majority AA census tracts had lower NEMS scores (stores: -11.7, p=.01, restaurants: -8.3, p=.001) compared with majority White areas. Conclusions. Interventions promoting DASH among lower income AAs should reflect the food customs, economic concerns, and food available in communities.</t>
  </si>
  <si>
    <t>Bertoni, Alain/0000-0002-7503-6273</t>
  </si>
  <si>
    <t>1049-2089</t>
  </si>
  <si>
    <t>1548-6869</t>
  </si>
  <si>
    <t>WOS:000297232600009</t>
  </si>
  <si>
    <t>Thomas, BJ</t>
  </si>
  <si>
    <t>Thomas, Brian J.</t>
  </si>
  <si>
    <t>Consumer agency and food retailer choice in an American urban neighborhood</t>
  </si>
  <si>
    <t>JOURNAL OF SOCIAL INCLUSION</t>
  </si>
  <si>
    <t>This study examines the issue of consumer agency within the food system as manifested by food secure and food insecure households in an urban neighborhood in the United States. Using a self-administered mail survey this study examines food retailer perception and shopping behaviour of food secure and insecure households in Lansing, Michigan. Food security represents a useful lens through which to examine the issue of agency since food, while a necessary part of life, is nonetheless something that is difficult to access for a large sector of the population. By examining both food secure and food insecure households, light is shed on some of the factors that lead to the relative ability of each group to successfully and reliably obtain food. In particular, this study focuses on the perception and behaviour of consumers in relation to the decision to shop, or not to shop, at various food retailers. Some theories of consumer behaviour tend to focus either on class related cultural elements which determine taste preferences while other theories focus on structural elements of the food system which force a limited selection onto various social groups. While certainly class culture influences taste preference to some extent, results from this study suggest that structural elements of the food system and economic differences between food secure and food insecure households have a larger influence on store choice than cultural preferences. In fact, both food secure and insecure households indicated similar sets of criteria used in determining store choices. However, in examination of actual shopping behaviours, this study found that food insecure households are more likely to shop at deep discounters and more likely to travel farther to obtain food. These results suggest that structural elements such as food retailer locations limit the range of shopping options of food insecure households when compared to food secure households.</t>
  </si>
  <si>
    <t>1836-8808</t>
  </si>
  <si>
    <t>10.36251/josi.21</t>
  </si>
  <si>
    <t>WOS:000214058000002</t>
  </si>
  <si>
    <t>Braunstein, S; Lavizzo-Mourey, R</t>
  </si>
  <si>
    <t>Braunstein, Sandra; Lavizzo-Mourey, Risa</t>
  </si>
  <si>
    <t>How The Health And Community Development Sectors Are Combining Forces To Improve Health And Well-Being</t>
  </si>
  <si>
    <t>HEALTH AFFAIRS</t>
  </si>
  <si>
    <t>The root causes of poor health experienced by many who live in low-income neighborhoods-such as the lack of access to health care, limited food choices, and exposure to environmental hazards-are well documented, but often go beyond the scope of the health care delivery system. But that is beginning to change. The health sector has begun to collaborate with the community development sector, which for decades has been working in low-income neighborhoods. Encouraging local and national examples of these new partnerships abound. They include an effort in Seattle, Washington, to reduce exposure to allergens and irritants among low-income asthmatic children, and a $500 million federal program to finance the operation of grocery stores in what have previously been urban food deserts. To nurture such efforts, the Robert Wood Johnson Foundation, the Federal Reserve System, and others have sponsored a series of healthy community forums in US cities. In this article we explore the growing partnerships between the health and community development sectors as well as the challenges they face, and we offer policy recommendations that might help them succeed.</t>
  </si>
  <si>
    <t>0278-2715</t>
  </si>
  <si>
    <t>10.1377/hlthaff.2011.0838</t>
  </si>
  <si>
    <t>WOS:000296765500003</t>
  </si>
  <si>
    <t>Lydon, CA; Yi, SC; Mattaini, MA; Williams, WL</t>
  </si>
  <si>
    <t>Lydon, Christina A.; Yi, Sophia C.; Mattaini, Mark A.; Williams, W. Larry</t>
  </si>
  <si>
    <t>HOW FAR DO YOU HAVE TO GO TO GET A CHEESEBURGER AROUND HERE? THE REALITIES OF AN ENVIRONMENTAL DESIGN APPROACH TO CURBING THE CONSUMPTION OF FAST-FOOD</t>
  </si>
  <si>
    <t>BEHAVIOR AND SOCIAL ISSUES</t>
  </si>
  <si>
    <t>Recently, researchers have linked the availability and popularity of energy dense fast-foods to an increasingly obesogenic environment. Such availability has led to both over consumption and under nourishment, especially in lower income neighborhoods that fail to offer healthier alternatives. These food deserts play their part in both the increasing trend of obesity and the climbing costs associated with treating obesity-related disorders. In order to address this issue, food environments could be engineered by employing creative zoning in at-risk areas. Zoning allows municipalities to support developments that promote health, safety, and public welfare; in this context, zoning law could be utilized to support healthy, and more affordable, lifestyles. However, there is currently a lack of both empirical and public support for such an intervention on any scale. These issues could be addressed through the utilization of convenient pilots and the formation of relationships with target communities, culminating in the implementation of small-scale designs and, ultimately, large-scale intervention studies. In doing so, a foundation may be built upon which the development of a legitimate, environmental design approach to targeting obesity may be feasible.</t>
  </si>
  <si>
    <t>1064-9506</t>
  </si>
  <si>
    <t>2376-6786</t>
  </si>
  <si>
    <t>10.5210/bsi.v20i0.3637</t>
  </si>
  <si>
    <t>WOS:000213437400002</t>
  </si>
  <si>
    <t>Ford, Paula B.; Dzewaltowski, David A.</t>
  </si>
  <si>
    <t>Neighborhood Deprivation, Supermarket Availability, and BMI in Low-Income Women: A Multilevel Analysis</t>
  </si>
  <si>
    <t>JOURNAL OF COMMUNITY HEALTH</t>
  </si>
  <si>
    <t>High levels of neighborhood deprivation and lack of access to supermarkets have been associated with increased risk of obesity in women. This multilevel study used a statewide dataset (n = 21,166) of low-income women in the Special Supplemental Nutrition Program for Women, Infants, and Children to determine whether the association between neighborhood deprivation and BMI is mediated by the availability of retail food stores, and whether this relationship varied across the urban rural continuum. Residence in a high deprivation neighborhood was associated with a 0.94 unit increase in BMI among women in metropolitan areas. The relationship between tract deprivation and BMI was not linear among women in micropolitan areas, and no association was observed in rural areas. The presence of supermarkets or other retail food stores did not mediate the association between deprivation and BMI among women residing in any of the study areas. These results suggest that level of urbanity influences the effect of neighborhood condition on BMI among low-income women, and that the availability of supermarkets and other food stores does not directly influence BMI among low-income populations.</t>
  </si>
  <si>
    <t>0094-5145</t>
  </si>
  <si>
    <t>1573-3610</t>
  </si>
  <si>
    <t>10.1007/s10900-011-9377-3</t>
  </si>
  <si>
    <t>WOS:000294298200015</t>
  </si>
  <si>
    <t>Gatrell, JD; Reid, N; Ross, P</t>
  </si>
  <si>
    <t>Gatrell, Jay D.; Reid, Neil; Ross, Paula</t>
  </si>
  <si>
    <t>Local food systems, deserts, and maps: The spatial dynamics and policy implications of food geography</t>
  </si>
  <si>
    <t>10.1016/j.apgeog.2011.01.013</t>
  </si>
  <si>
    <t>WOS:000292537700001</t>
  </si>
  <si>
    <t>Phillips, AL</t>
  </si>
  <si>
    <t>Phillips, Anna Lena</t>
  </si>
  <si>
    <t>Making Better Maps of Food Deserts Neighborhoods with little or no access to healthful food can be located and studied using GIS mapping</t>
  </si>
  <si>
    <t>AMERICAN SCIENTIST</t>
  </si>
  <si>
    <t>0003-0996</t>
  </si>
  <si>
    <t>1545-2786</t>
  </si>
  <si>
    <t>10.1511/2011.90.209</t>
  </si>
  <si>
    <t>WOS:000289494700017</t>
  </si>
  <si>
    <t>Gorgulho, BM; Lipi, M; Marchioni, DML</t>
  </si>
  <si>
    <t>Gorgulho, Bartira Mendes; Lipi, Marisa; Lobo Marchioni, Dirce Maria</t>
  </si>
  <si>
    <t>Nutritional quality of meals served by the cafeteria of a company located in the metropolitan region of Sao Paulo, Brazil</t>
  </si>
  <si>
    <t>REVISTA DE NUTRICAO-BRAZILIAN JOURNAL OF NUTRITION</t>
  </si>
  <si>
    <t>Objective This study assessed the nutritional quality of meals served by the cafeteria of a company located in the metropolitan region of Sao Paulo city Brazil. Methods Thirty percent of the dishes served during one year (242 days) by the said cafeteria were systematically selected and assessed by the Meal Quality Index in accordance with the recommendations of the World Health Organization and Brazilian Ministry of Health. This index consists of five items with a maximum of 20 points each: content of non-starchy vegetables and fruits; carbohydrate content; total fat content; saturated fat content; and within-meal diversity Three-hundred sixty-seven meals grouped into 40 categories according to composition and preparation method were served during the study period. Spearman correlation was used to investigate a possible correlation between the index and nutrients in a meal. Analyses were done by the STATA software with the significance level set at 5%. Results The mean Meal Quality Index score was 64.60 points, with a standard deviation of 21.18. Forty-four percent of the meals were classified as needing improvement and only 25% were classified as appropriate. In addition to rice and beans which are served daily the most common preparations were legumes and fruits (30%), pasta and creams (12%), deep-fried foods (9%) and deserts with cream (8%). The Meal Quality Index correlated positively with vitamin C (r=0.32). Conclusion Although fruits and non-starchy vegetables were always available, the meals need improvement to meet healthy eating recommendations that effectively help to promote good health.</t>
  </si>
  <si>
    <t>Gorgulho, Bartira/I-1283-2016; Marchioni, Dirce Maria/C-6053-2012</t>
  </si>
  <si>
    <t>Gorgulho, Bartira/0000-0002-1714-3548; Marchioni, Dirce Maria/0000-0002-6810-5779</t>
  </si>
  <si>
    <t>1415-5273</t>
  </si>
  <si>
    <t>10.1590/S1415-52732011000300009</t>
  </si>
  <si>
    <t>WOS:000295906300009</t>
  </si>
  <si>
    <t>Leete, L; Bania, N; Sparks-Ibanga, A</t>
  </si>
  <si>
    <t>Leete, Laura; Bania, Neil; Sparks-Ibanga, Andrea</t>
  </si>
  <si>
    <t>Congruence and Coverage: Alternative Approaches to Identifying Urban Food Deserts and Food Hinterlands</t>
  </si>
  <si>
    <t>Recent literature identifies disadvantaged neighborhoods lacking access to healthy food as food deserts where limited food choices may affect health and socioeconomic outcomes. Researchers have applied varying definitions of food deserts, however, making generalizations problematic. We use GIS methods to examine the congruence and coverage of different definitions for Portland, Oregon. Each identifies somewhat different neighborhoods as food deserts, with none accounting for the majority of socioeconomically vulnerable populations living with low food access. To supplement, we introduce the concept of the food hinterland-home to a significant share of the vulnerable population living with low food access.</t>
  </si>
  <si>
    <t>10.1177/0739456X11427145</t>
  </si>
  <si>
    <t>WOS:000303650200008</t>
  </si>
  <si>
    <t>Van Hoesen, J; Bunkley, B; Currier, C</t>
  </si>
  <si>
    <t>Van Hoesen, John; Bunkley, Brandy; Currier, Cody</t>
  </si>
  <si>
    <t>A GIS-based methodology toward refining the concept of rural food deserts: A case study from Rutland County, Vermont</t>
  </si>
  <si>
    <t>There is generally consensus regarding the methodology used to identify and visualize food deserts in urban centers, and to a lesser extent those in rural communities. The primary factor in food desert mapping, however, is distance to food provider without regard for the nutritional value of the food itself. The purpose of this paper is to offer a broader approach toward refining the food desert concept by incorporating a qualitative ranking of food providers based on the likelihood that they offer healthier food options. We apply this technique to Rutland County in rural Vermont by incorporating traditional grocery stores, supermarkets, big-box stores,(1) general stores, and gas stations, and also including smaller food providers such as farmers' markets, co-ops, farm stands, and community supported agriculture operations. This approach could shift the methodology of identifying food deserts away from just using driving time and distance traveled to food providers meeting a minimum square footage. We propose a methodology that calculates distance to different types of food providers that also evaluates whether consumers have access to healthier food options.</t>
  </si>
  <si>
    <t>Van Hoesen, John/0000-0003-2531-3794</t>
  </si>
  <si>
    <t>10.5304/jafscd.2013.032.006</t>
  </si>
  <si>
    <t>WOS:000439859100012</t>
  </si>
  <si>
    <t>Battersby, J</t>
  </si>
  <si>
    <t>Battersby, Jane</t>
  </si>
  <si>
    <t>BEYOND THE FOOD DESERT: FINDING WAYS TO SPEAK ABOUT URBAN FOOD SECURITY IN SOUTH AFRICA</t>
  </si>
  <si>
    <t>. Urban food security is a significant development challenge in sub-Saharan Africa. However, the field is currently under -researched and under-theorized. Urban food insecurity, where it is considered, has been viewed through a development studies lens that views food insecurity as a household-scale problem. There has been significant focus on food deserts in developed countries as one way of engaging with such insecurity. The food deserts research views food insecurity through a social exclusion and food justice lens. This article introduces the food desert concept to provide a conceptual tool to begin to understand the spatial determinants of urban food insecurity, which are not well captured by the existing framings of food security in the region. Using data from a 2008 household food security survey conducted in Cape Town, the paper highlights gaps in the food deserts approach, most significantly its neglect of non-market sources of food and of household decision-making processes. The paper therefore concludes by suggesting a new approach which takes the household's assets, abilities and decision-making as the starting point and overlays this with the market and non-market foodscapes accessed by these households.</t>
  </si>
  <si>
    <t>battersby, jane/P-3065-2019; , Jane/ISS-8007-2023</t>
  </si>
  <si>
    <t>, Jane/0000-0002-8045-1295; Battersby, Jane/0000-0003-3646-9890</t>
  </si>
  <si>
    <t>1468-0467</t>
  </si>
  <si>
    <t>94B</t>
  </si>
  <si>
    <t>10.1111/j.1468-0467.2012.00401.x</t>
  </si>
  <si>
    <t>WOS:000306736100004</t>
  </si>
  <si>
    <t>Paraguay</t>
  </si>
  <si>
    <t>Gartin, M</t>
  </si>
  <si>
    <t>Gartin, Meredith</t>
  </si>
  <si>
    <t>Food deserts and nutritional risk in paraguay</t>
  </si>
  <si>
    <t>AMERICAN JOURNAL OF HUMAN BIOLOGY</t>
  </si>
  <si>
    <t>Objectives: The purpose of this case study in San Lorenzo, Paraguay is to identify a food desert in a developing context and to test if food deserts shape residential obesity risk. This article reviews some of the debate surrounding whether food deserts really exist; and, if so, what are the dietary implications of living in a food desert. Methods: The research is an exploratory/ explanatory design. The author mapped the downtown food retail district and the neighborhood food environment to identify what stores/markets. The author assessed each type of food store using an adapted version of the Nutrition Environment Measure Survey for Stores (NEMS-S) for Paraguay. Body mass index and household characteristics were collected with 68 households in a small neighborhood; and, the author matched the NEMS-S scores to the store reported by households as their primary grocery store for regression tests. Results: The results suggest that a tradeoff exists in the local food environment between food stores which negatively impact obesity risk for local residents. Exposure to this tradeoff appears to worsen as people live longer in the food desert. Thus, the results support the location of a food desert finding in Paraguay. Conclusions: The underlying factors of a food desert extend beyond food access to focus on the issues of justice. A way to improve upon future research to build scholarship on the relationship between deprivation and obesity requires that sample sizes are either large or representative of the population and that the research should be based on multiple neighborhood and city sites. Am. J. Hum. Biol. 24: 296-301, 2012. (C) 2012Wiley Periodicals, Inc.</t>
  </si>
  <si>
    <t>Gartin, Meredith/D-6323-2013</t>
  </si>
  <si>
    <t>Gartin, Meredith/0000-0002-0062-4601</t>
  </si>
  <si>
    <t>1042-0533</t>
  </si>
  <si>
    <t>1520-6300</t>
  </si>
  <si>
    <t>10.1002/ajhb.22270</t>
  </si>
  <si>
    <t>WOS:000302606700006</t>
  </si>
  <si>
    <t>Walker, RE; Block, J; Kawachi, I</t>
  </si>
  <si>
    <t>Walker, Renee E.; Block, Jason; Kawachi, Ichiro</t>
  </si>
  <si>
    <t>Do residents of food deserts express different food buying preferences compared to residents of food oases? A mixed-methods analysis</t>
  </si>
  <si>
    <t>INTERNATIONAL JOURNAL OF BEHAVIORAL NUTRITION AND PHYSICAL ACTIVITY</t>
  </si>
  <si>
    <t>Background: Many people lack access to food stores that provide healthful food. Neighborhoods with poor supermarket access have been characterized as food deserts (as contrast with food oases). This study explored factors influencing food buying practices among residents of food deserts versus food oases in the city of Boston, USA. Methods: We used the mixed-methods approach of concept mapping, which allows participants to identify, list, and organize their perceptions according to importance. Resulting maps visually illustrate priority areas. Results: Sixty-seven low-income adults completed the concept mapping process that identified 163 unique statements (e. g. relating to affordability, taste, and convenience) that influence food buying practices. Multivariate statistical techniques grouped the 163 statements into 8 clusters or concepts. Results showed that average cluster ratings and rankings were similar between residents of food deserts and food oases. Conclusions: The implication of this study pertains to the importance of community resources and emergency food assistance programs that have served to minimize the burden associated with hunger and poor food access among low-income, urban populations.</t>
  </si>
  <si>
    <t>Walker, Renee/AAB-7351-2020; Kawachi, Ichiro/A-8329-2009; Block, Jason/HKV-6253-2023</t>
  </si>
  <si>
    <t>1479-5868</t>
  </si>
  <si>
    <t>APR 10</t>
  </si>
  <si>
    <t>10.1186/1479-5868-9-41</t>
  </si>
  <si>
    <t>WOS:000310276300001</t>
  </si>
  <si>
    <t>Karpyn, A; Young, C; Weiss, S</t>
  </si>
  <si>
    <t>Karpyn, Allison; Young, Candace; Weiss, Stephanie</t>
  </si>
  <si>
    <t>Reestablishing Healthy Food Retail: Changing the Landscape of Food Deserts</t>
  </si>
  <si>
    <t>CHILDHOOD OBESITY</t>
  </si>
  <si>
    <t>The term food desert was formally introduced into the lexicon in 1995 and has come to describe areas with limited access to affordable nutritious foods, particularly areas in lower-income neighborhoods. The definition has led to the development of national and regional maps that focus efforts on equity in food access. Recognition of food deserts also marks a strategic change in public health's approach to obesity prevention. Today's emphasis on prevention has shifted away from individual responsibility to the role of the environment in health promotion. A number of solutions are underway to address food deserts, including public-private financing programs, industry commitments, as well as local and regional efforts to put healthy food within reach. The promise of financing programs to facilitate development of healthy food markets in underserved communities is rooted in their potential to alleviate the grocery gap and address underlying environmental contributors to obesity and diet-related diseases, such as obesity and diabetes. As food desert mapping and related interventions expand, there remains a need for ongoing investigation of impacts and the mechanisms by which impacts are achieved.</t>
  </si>
  <si>
    <t>Karpyn, Allison/N-8289-2015</t>
  </si>
  <si>
    <t>Young, Candace/0000-0002-7145-7863; Karpyn, Allison/0000-0001-9043-5101</t>
  </si>
  <si>
    <t>2153-2168</t>
  </si>
  <si>
    <t>2153-2176</t>
  </si>
  <si>
    <t>10.1089/chi.2011.0113</t>
  </si>
  <si>
    <t>WOS:000208946900010</t>
  </si>
  <si>
    <t>Jiao, JF; Moudon, AV; Ulmer, J; Hurvitz, PM; Drewnowski, A</t>
  </si>
  <si>
    <t>Jiao, Junfeng; Moudon, Anne V.; Ulmer, Jared; Hurvitz, Philip M.; Drewnowski, Adam</t>
  </si>
  <si>
    <t>How to Identify Food Deserts: Measuring Physical and Economic Access to Supermarkets in King County, Washington</t>
  </si>
  <si>
    <t>AMERICAN JOURNAL OF PUBLIC HEALTH</t>
  </si>
  <si>
    <t>Objectives. We explored new ways to identify food deserts. Methods. We estimated physical and economic access to supermarkets for 5 low-income groups in Seattle-King County, Washington. We used geographic information system data to measure physical access: service areas around each supermarket were delineated by ability to walk, bicycle, ride transit, or drive within 10 minutes. We assessed economic access by stratifying supermarkets into low, medium, and high cost. Combining income and access criteria generated multiple ways to estimate food deserts. Results. The 5 low-income group definitions yielded total vulnerable populations ranging from 4% to 33% of the county's population. Almost all of the vulnerable populations lived within a 10-minute drive or bus ride of a low-or medium-cost supermarket. Yet at most 34% of the vulnerable populations could walk to any supermarket, and as few as 3% could walk to a low-cost supermarket. Conclusions. The criteria used to define low-income status and access to supermarkets greatly affect estimates of populations living in food deserts. Measures of access to food must include travel duration and mode and supermarket food costs.</t>
  </si>
  <si>
    <t>Drewnowski, Adam/HCI-4117-2022</t>
  </si>
  <si>
    <t>Jiao, Junfeng/0000-0002-7272-8805</t>
  </si>
  <si>
    <t>0090-0036</t>
  </si>
  <si>
    <t>1541-0048</t>
  </si>
  <si>
    <t>E32</t>
  </si>
  <si>
    <t>E39</t>
  </si>
  <si>
    <t>10.2105/AJPH.2012.300675</t>
  </si>
  <si>
    <t>WOS:000209578400011</t>
  </si>
  <si>
    <t>Schuetz, J; Kolko, J; Meltzer, R</t>
  </si>
  <si>
    <t>Schuetz, Jenny; Kolko, Jed; Meltzer, Rachel</t>
  </si>
  <si>
    <t>Are poor neighborhoods retail deserts?</t>
  </si>
  <si>
    <t>REGIONAL SCIENCE AND URBAN ECONOMICS</t>
  </si>
  <si>
    <t>Poor urban neighborhoods are often referred to as food deserts, lacking in grocery stores and healthy food vendors. However, most empirical studies of food deserts have been small scale, focusing on limited geographies and a narrow range of products. Standard retail location models, which often assume that consumers have identical preferences and are uniformly distributed through space, provide little insight into the relationship between local income and retail patterns. In this paper, we examine the relationship between neighborhood income and retail density for several types of goods and services in 58 large U.S metropolitan areas. We combine detailed data from the National Establishment Time-Series database on retail establishments and employment, by industry category and firm type, with Census data on ZCTA income, poverty and demographics. Results indicate that retail patterns do vary by neighborhood income, along many dimensions. High poverty neighborhoods have lower employment density for retail overall, supermarkets, drugstores, food service and laundry facilities, driven largely by reduced employment in chain establishments. Average establishment size increases with median income for all retail types. Neither income levels nor poverty rates consistently predict retail employment growth, but neighborhoods that experience income upgrading do see larger gains in retail employment. (C) 2011 Elsevier B.V. All rights reserved.</t>
  </si>
  <si>
    <t>0166-0462</t>
  </si>
  <si>
    <t>1879-2308</t>
  </si>
  <si>
    <t>10.1016/j.regsciurbeco.2011.09.005</t>
  </si>
  <si>
    <t>WOS:000300029200024</t>
  </si>
  <si>
    <t>Childs, J; Lewis, LR</t>
  </si>
  <si>
    <t>Childs, Jessica; Lewis, Laura R.</t>
  </si>
  <si>
    <t>Food Deserts and a Southwest Community of Baltimore City</t>
  </si>
  <si>
    <t>FOOD CULTURE &amp; SOCIETY</t>
  </si>
  <si>
    <t>Food deserts lack both efficient transportation systems and stows calving nutritious foods. and the cost of healthy food is generally more expensive than processed. This study is concerned with the presence of Mod deserts in Baltimore. focusing on the Cherry Hill community An adapted ethnographic survey was used to analyze community Mod access and local stows were inventoried. Our results indicate the presence of a Mod desert in this neighborhood. This is of particular interest as Cherry Hill is characterized as a suburban area within the city of Baltimore. Moreover this lower-income neighborhood's access to nutritional Mod options is further complicated by the physical and built environment characteristic of suburbs and contradictory to studies that focus on the dichotomy of inner-city versus suburban access to healthy food. We contribute to a growing body of knowledge concerning unequal food distribution in urban communities and issues of social and health injustice.</t>
  </si>
  <si>
    <t>1552-8014</t>
  </si>
  <si>
    <t>1751-7443</t>
  </si>
  <si>
    <t>10.2752/175174412X13276629245849</t>
  </si>
  <si>
    <t>WOS:000307607900003</t>
  </si>
  <si>
    <t>Developing a Mobile Produce Distribution System for Low-Income Urban Residents in Food Deserts</t>
  </si>
  <si>
    <t>Low-income households in the contemporary city often lack adequate access to healthy foods, like fresh produce, due to a variety of social and spatial barriers that result in neighborhoods being underserved by full-service supermarkets. Because of this, residents commonly resort to purchasing food at fast food restaurants or convenience stores with poor selections of produce. Research has shown that maintaining a healthy diet contributes to disease prevention and overall quality of life. This research seeks to increase low-income residents' access to healthy foods by addressing spatial constraints through the characterization of a mobile market distribution system model that serves in-need neighborhoods. The model optimally locates mobile markets based on the geographic distribution of these residents. Using data from the medium-sized city of Buffalo, New York, results show that, with relatively few resources, the model increases these residents' access to healthy foods, helping to create a healthier city.</t>
  </si>
  <si>
    <t>Widener, Michael/ABH-3668-2020; Metcalf, Sara/I-8593-2019</t>
  </si>
  <si>
    <t>10.1007/s11524-012-9677-7</t>
  </si>
  <si>
    <t>WOS:000309479200001</t>
  </si>
  <si>
    <t>Block, DR; Chávez, N; Allen, E; Ramirez, D</t>
  </si>
  <si>
    <t>Block, Daniel R.; Chavez, Noel; Allen, Erika; Ramirez, Dinah</t>
  </si>
  <si>
    <t>Food sovereignty, urban food access, and food activism: contemplating the connections through examples from Chicago</t>
  </si>
  <si>
    <t>The idea of food sovereignty has its roots primarily in the response of small producers in developing countries to decreasing levels of control over land, production practices, and food access. While the concerns of urban Chicagoans struggling with low food access may seem far from these issues, the authors believe that the ideas associated with food sovereignty will lead to the construction of solutions to what is often called the food desert issue that serve and empower communities in ways that less democratic solutions do not. In Chicago and elsewhere, residents and activists often see and experience racial and economic inequalities through the variety of stores and other food access sites available in their community. The connections between food access, respect, and activism are first considered through a set of statements of Chicagoans living in food access poor areas. We will then discuss these connections through the work and philosophy of activists in Chicago centered in food sovereignty and food justice. Particular focus will be placed on Growing Power, an urban food production, distribution, and learning organization working primarily in Milwaukee and Chicago, and Healthy South Chicago, a community coalition focused on health issues in a working class area of the city.</t>
  </si>
  <si>
    <t>Allen, Erika/GZK-6723-2022</t>
  </si>
  <si>
    <t>10.1007/s10460-011-9336-8</t>
  </si>
  <si>
    <t>WOS:000304140100007</t>
  </si>
  <si>
    <t>Matson, J</t>
  </si>
  <si>
    <t>Matson, John</t>
  </si>
  <si>
    <t>High and Dry in the Food Desert</t>
  </si>
  <si>
    <t>SCIENTIFIC AMERICAN</t>
  </si>
  <si>
    <t>0036-8733</t>
  </si>
  <si>
    <t>10.1038/scientificamerican0512-96</t>
  </si>
  <si>
    <t>WOS:000302978000032</t>
  </si>
  <si>
    <t>Rigby, S; Leone, AF; Kim, H; Betterley, C; Johnson, MA; Kurtz, H; Lee, JS</t>
  </si>
  <si>
    <t>Rigby, Samantha; Leone, Angela F.; Kim, Hwahwan; Betterley, Connie; Johnson, Mary Ann; Kurtz, Hilda; Lee, Jung Sun</t>
  </si>
  <si>
    <t>Food Deserts in Leon County, FL: Disparate Distribution of Supplemental Nutrition Assistance Program-Accepting Stores by Neighborhood Characteristics</t>
  </si>
  <si>
    <t>Objective: Examine whether neighborhood characteristics of racial composition, income, and rurality were related to distribution of Supplemental Nutrition Assistance Program (SNAP)-accepting stores in Leon County, Florida. Design: Cross-sectional; neighborhood and food store data collected in 2008. Setting and Participants: Forty-eight census tracts as proxy of neighborhoods in Leon County, Florida. All stores and SNAP-accepting stores were identified from a commercial business directory and a United States Department of Agriculture SNAP-accepting store list, respectively (n = 288). Main Outcome Measures: Proportion of SNAP-accepting stores across neighborhoods. Analysis: Descriptive statistics to describe distribution of SNAP-accepting stores by neighborhood characteristics. Proportions of SNAP-accepting stores were compared by neighborhood characteristics with Wilcoxon-Mann-Whitney and Kruskal-Wallis tests. Results: Of 288 available stores, 45.1% accepted SNAP benefits. Of the 48 neighborhoods, 16.7% had no SNAP-accepting stores. Proportions of SNAP-accepting grocery stores were significantly different by neighborhood racial composition and income. Primarily black neighborhoods did not have any supermarkets. Results were mixed with regard to distribution of food stores and SNAP-accepting stores by neighborhood racial composition, income, and rurality. Conclusions and Implications: This study suggests disparities in distribution of SNAP-accepting stores across neighborhood characteristics of racial composition, income, and rurality.</t>
  </si>
  <si>
    <t>NOV-DEC</t>
  </si>
  <si>
    <t>10.1016/j.jneb.2011.06.007</t>
  </si>
  <si>
    <t>WOS:000314053500011</t>
  </si>
  <si>
    <t>COMMUNICATION TEACHER</t>
  </si>
  <si>
    <t>1740-4622</t>
  </si>
  <si>
    <t>1740-4630</t>
  </si>
  <si>
    <t>Lucan, SC; Gustafson, A; Pitts, SBJ</t>
  </si>
  <si>
    <t>Lucan, Sean C.; Gustafson, Alison; Pitts, Stephanie B. Jilcott</t>
  </si>
  <si>
    <t>The Concept of Rural Food Deserts Is Still Meaningful</t>
  </si>
  <si>
    <t>Lucan, Sean/B-3815-2009</t>
  </si>
  <si>
    <t>Lucan, Sean/0000-0002-4447-9709</t>
  </si>
  <si>
    <t>10.1089/chi.2012.0063</t>
  </si>
  <si>
    <t>WOS:000208947300010</t>
  </si>
  <si>
    <t>Caspi, CE; Kawachi, I; Subramanian, SV; Adamkiewicz, G; Sorensen, G</t>
  </si>
  <si>
    <t>Caspi, Caitlin E.; Kawachi, Ichiro; Subramanian, S. V.; Adamkiewicz, Gary; Sorensen, Glorian</t>
  </si>
  <si>
    <t>The relationship between diet and perceived and objective access to supermarkets among low-income housing residents</t>
  </si>
  <si>
    <t>SOCIAL SCIENCE &amp; MEDICINE</t>
  </si>
  <si>
    <t>In the U.S., supermarkets serve as an important source of year-round produce (Chung &amp; Myers, 1999), and yet access to supermarkets may be scarce in food deserts, or poor, urban areas that lack sources of healthy, affordable food (Cummins &amp; Macintyre, 2002). This study examined objective distance to the nearest supermarket and participant-report of supermarket access in relation to fruit and vegetable intake. Street-network distance to the closest supermarket was calculated using GIS mapping. Perceived access was assessed by a survey question asking whether participants had a supermarket within walking distance of home. Cross-sectional survey data were collected from 828 low-income housing residents in three urban areas in greater-Boston. Generalized estimating equations were used to estimate the association between perceived and objective supermarket access and diet. Fruit and vegetable consumption was low (2.63 servings/day). Results suggest that most low-income housing residents in greater-Boston do not live in food deserts, as the average distance to a supermarket was 0.76 km (range 0.13-1.22 km). Distance to a supermarket was not associated with fruit and vegetable intake (p = 0.22). Perceived supermarket access was strongly associated with increased fruit and vegetable intake (0.5 servings/day) after controlling for socio-demographic covariates (p &lt; 0.0001). Patterns of mismatch between perceived and objective measures revealed that mismatch between the two measures were high (31.45%). Those who did not report a supermarket within walking distance from home despite the objective presence of a supermarket within 1 km consumed significantly fewer fruits and vegetables (0.56 servings/day) than those with a supermarket who reported one, even after controlling for socio-demographic variables (p = 0.0008). Perceived measures of the food environment may be more strongly related to dietary behaviors than objective ones, and may incorporate components of food access not captured in objective measures. (C) 2012 Elsevier Ltd. All rights reserved.</t>
  </si>
  <si>
    <t>Kawachi, Ichiro/A-8329-2009</t>
  </si>
  <si>
    <t>Adamkiewicz, Gary/0000-0001-5397-3015</t>
  </si>
  <si>
    <t>0277-9536</t>
  </si>
  <si>
    <t>10.1016/j.socscimed.2012.05.014</t>
  </si>
  <si>
    <t>WOS:000307697600013</t>
  </si>
  <si>
    <t>Lee, SH; Hoffman, VA; Bleich, SN; Gittelsohn, J</t>
  </si>
  <si>
    <t>Lee, Seung Hee; Hoffman, Vanessa A.; Bleich, Sara N.; Gittelsohn, Joel</t>
  </si>
  <si>
    <t>Frequency of Visiting and Food Dollars Spent at Carryouts Among Low-Income, Urban African American Adults</t>
  </si>
  <si>
    <t>Americans are eating out more frequently and spending more money on food consumed away from home. Though a growing body of research has examined consumer behavior at franchised fast-food restaurants, little attention has focused on carryouts (food establishments selling ready-to-eat food and beverages for off-premises consumption). Low-income, urban African American adults eat out an average of 4.1 times each week and 78% were at local carryout restaurants (3.2 times each week). At each carryout visit, they spend an average of $10.30. Given the frequency of visiting and food dollars spent at carryouts, this may be an important venue for intervening to improve dietary habits among low-income African American adults.</t>
  </si>
  <si>
    <t>10.1080/19320248.2012.735220</t>
  </si>
  <si>
    <t>WOS:000214660900010</t>
  </si>
  <si>
    <t>Foundations Aim To Foster Nourishment And Banish 'Food Deserts'</t>
  </si>
  <si>
    <t>10.1377/hlthaff.2012.0367</t>
  </si>
  <si>
    <t>WOS:000303873100030</t>
  </si>
  <si>
    <t>Guszak, I; Grünhagen, M</t>
  </si>
  <si>
    <t>Guszak, Irena; Gruenhagen, Marko</t>
  </si>
  <si>
    <t>Food Deserts in Urban Neighborhoods: Evidence from a Transitional Market</t>
  </si>
  <si>
    <t>JOURNAL OF MACROMARKETING</t>
  </si>
  <si>
    <t>Guszak, Irena/KHZ-6687-2024</t>
  </si>
  <si>
    <t>0276-1467</t>
  </si>
  <si>
    <t>WOS:000311458600058</t>
  </si>
  <si>
    <t>Rosing, H</t>
  </si>
  <si>
    <t>Rosing, Howard</t>
  </si>
  <si>
    <t>Demystifying the local: Considerations for higher education engagement with community food systems</t>
  </si>
  <si>
    <t>Many universities and colleges have started to channel resources toward understanding and supporting small-scale food systems development in low-income communities. These efforts are often embedded into institutional sustainability initiatives that incorporate new curricula, research agendas, and community engagement. Students, staff, and faculty increasingly engage in community-based research, service-learning opportunities, internships, practicum and/or pro bono technical assistance in support of local food projects. These forms of engagement frequently operate in urban sectors where access to fresh food is challenged, for example, by historical patterns of racial segregation and social exclusion. Drawing on insights from ongoing anthropological research in Chicago on the role of higher education institutions in supporting community food systems development, this commentary presents a short set of considerations for higher education institutions that engage in local food projects within low-income communities. The author suggests that prior to such engagement, academics more fully comprehend how communities perceive local and alternative food initiatives, and that higher education institutions formulate outreach initiatives that embed food systems development within a community development and social justice framework.</t>
  </si>
  <si>
    <t>10.5304/jafscd.2012.024.005</t>
  </si>
  <si>
    <t>WOS:000439858200006</t>
  </si>
  <si>
    <t>Hartley, D; Anderson, N; Fox, K; Lenardson, J</t>
  </si>
  <si>
    <t>Hartley, David; Anderson, Nathaniel; Fox, Kimberley; Lenardson, Jennifer</t>
  </si>
  <si>
    <t>Redirecting the Conversation on Rural Food Deserts: Reply to Lucan et al.</t>
  </si>
  <si>
    <t>Lenardson, Jennifer/K-4560-2019</t>
  </si>
  <si>
    <t>10.1089/chi.2012.0069</t>
  </si>
  <si>
    <t>WOS:000208947300011</t>
  </si>
  <si>
    <t>Kirkpatrick, SI</t>
  </si>
  <si>
    <t>Kirkpatrick, Sharon I.</t>
  </si>
  <si>
    <t>Understanding and Addressing Barriers to Healthy Eating among Low-Income Americans</t>
  </si>
  <si>
    <t>JOURNAL OF THE ACADEMY OF NUTRITION AND DIETETICS</t>
  </si>
  <si>
    <t>Kirkpatrick, Sharon/HRC-4792-2023</t>
  </si>
  <si>
    <t>Kirkpatrick, Sharon/0000-0001-9896-5975</t>
  </si>
  <si>
    <t>2212-2672</t>
  </si>
  <si>
    <t>2212-2680</t>
  </si>
  <si>
    <t>10.1016/j.jand.2012.02.009</t>
  </si>
  <si>
    <t>WOS:000304131200006</t>
  </si>
  <si>
    <t>Oberholtzer, L; Dimitri, C; Schumacher, G</t>
  </si>
  <si>
    <t>Oberholtzer, Lydia; Dimitri, Carolyn; Schumacher, Gus</t>
  </si>
  <si>
    <t>Linking farmers, healthy foods, and underserved consumers: Exploring the impact of nutrition incentive programs on farmers and farmers' markets</t>
  </si>
  <si>
    <t>The number of farmers' markets in the United States has increased rapidly over the last 20 years. They have begun to attract a great deal of attention for their potential to provide consumers in rural and urban food deserts with fresh fruits and vegetables. Incentive programs targeting federal nutrition benefit customers at farmers' markets are new and rapidly growing programs that seek to address the problems of access and affordability for these consumers, as well as enhance the viability of participating markets and farmers. This article relies on data from markets providing nutrition incentive programming in 2010 and a survey of participating farmers in order to study federal nutrition benefit and incentive usage at the markets and to provide preliminary results about the type of farmers and markets that might benefit most from incentive programming. The farmers' market data show that Supplemental Nutrition Assistance Program (SNAP) redemption has increased substantially (usually doubling or more annually) in markets offering incentives. The analysis of farmer surveys revealed that both farmer and market characteristics are important to the impact of incentives on participating farmer sales. Farmers who were more likely to report increased sales from incentives were those with a higher proportion of market gross sales accounted for by fruits and vegetables; who depend on individual farmers' markets for a higher percentage of farm sales; who sell products at small or medium-sized markets; or who are very satisfied with the implementation of incentive programming at their markets. As these are preliminary results of new programming, future research needs are addressed.</t>
  </si>
  <si>
    <t>10.5304/jafscd.2012.024.002</t>
  </si>
  <si>
    <t>WOS:000439858200005</t>
  </si>
  <si>
    <t>Gu, S; Paul, KB; Nixon, K; Duschack, M</t>
  </si>
  <si>
    <t>Groening, G</t>
  </si>
  <si>
    <t>Gu, S.; Paul, K. B.; Nixon, K.; Duschack, M.</t>
  </si>
  <si>
    <t>Urban Farming and Gardening Taking Roots in Inner Cities</t>
  </si>
  <si>
    <t>XXVIII INTERNATIONAL HORTICULTURAL CONGRESS ON SCIENCE AND HORTICULTURE FOR PEOPLE (IHC2010): INTERNATIONAL SYMPOSIUM ON ADVANCES IN ORNAMENTALS, LANDSCAPE AND URBAN HORTICULTURE</t>
  </si>
  <si>
    <t>Acta Horticulturae</t>
  </si>
  <si>
    <t>AUG 22-27, 2010</t>
  </si>
  <si>
    <t>Lisbon, PORTUGAL</t>
  </si>
  <si>
    <t>Int Soc Hort Sci (ISHS)</t>
  </si>
  <si>
    <t>When the wealthier city dwellers moved out to suburbs leaving the less fortunate ones behind, many neighborhoods became blighted, their tax base declined, leaving the properties and the vacant lots totally uncared for. We see this scene repeated in the inner city areas of the two largest metropolitan cities (St. Louis and Kansas City) in the state of Missouri, USA. The lack of security, increased vandalism coupled with low purchasing power of the residents have forced neighborhood grocery stores to close down and move elsewhere, thus making these communities virtual food deserts. Focusing on the low-income, socially disadvantaged population in Missouri, the Innovative Small Farmers' Outreach Program (ISFOP) at Lincoln University Cooperative Extension works with urban gardeners/farmers and residents and assists them in alleviating some of the problems. The goal of ISFOP's urban agriculture component is to improve the management of urban farms and gardens, increase the supply of fresh fruits and vegetables in these communities, and improve the health and well-being of these citizens. The ISFOP staff works one-on-one with the farmers, home gardeners and community leaders and offers them information and education on managing land, growing nutritious fruits and vegetables for home consumption and selling the surplus to make a little extra money. For those city dwellers that do not have an appropriate garden spot, we help them set up community gardens. Our efforts are already paying dividends; we see many inner city folks taken up gardening as a hobby and enjoy eating what they grow, and those farming in the cities are making viable incomes from their operations.</t>
  </si>
  <si>
    <t>0567-7572</t>
  </si>
  <si>
    <t>978-90-66055-25-4</t>
  </si>
  <si>
    <t>WOS:000313517700137</t>
  </si>
  <si>
    <t>Self, JL; Handforth, B; Hartman, J; McAuliffe, C; Noznesky, E; Schwei, RJ; Whitaker, L; Wyatt, AJ; Girard, AW</t>
  </si>
  <si>
    <t>Self, Julie L.; Handforth, Becky; Hartman, Janelle; McAuliffe, Corey; Noznesky, Elizabeth; Schwei, Rebecca J.; Whitaker, Laura; Wyatt, Amanda J.; Girard, Amy Webb</t>
  </si>
  <si>
    <t>Community-engaged learning in food systems and public health</t>
  </si>
  <si>
    <t>Food preferences, systems, and policies influence the health of individuals and communities both directly, through food consumption choices, and indirectly, through environmental, economic, and social impacts. To aid student understanding of these complex determinants of food choice, a student-driven, community-engaged learning course on food systems and food choices was developed. Guided by the socio-ecological model for health and the goals of the Emory Sustainability Initiative and supported by the Center for Community Partnerships (CFCP), the course objectives, curriculum, and activities were determined by the students in collaboration with the faculty advisor and community partners. Two central components of the course were student-led learning modules and community-engaged research on food systems. The four learning modules included: (1) determinants of individual food preference and choice; (2) food and agriculture systems; (3) food access and food justice; and (4) agricultural policy. Community research projects described the role of farmers' markets, community supported agriculture, conventional markets, community gardens, and farm-to-table restaurants in the production and distribution of food in metro Atlanta, with an emphasis on locally produced fruits, vegetables, meats, and milk. Where possible the projects mapped the reach of these distribution models to low-income communities and food deserts, and identified strategies to improve access to healthy food options in these communities. The course culminated in a student-organized symposium for community members and in research reports for community partners. The symposium drew diverse participants, including growers, farmers' market managers, advocacy groups, public-health scientists, policy-makers, students, and academicians. Discussions with symposium participants assisted in refining the research reports for community partners and helped identify strategies and topics for future collaborative efforts and course improvements. A grant from Emory's CFCP facilitated collaboration with community partners, community research, and dissemination of research findings.</t>
  </si>
  <si>
    <t>Schwei, Rebecca/AFK-6580-2022; Girard, Amy/J-7999-2013</t>
  </si>
  <si>
    <t>Schwei, Rebecca/0000-0002-6208-5703</t>
  </si>
  <si>
    <t>FAL</t>
  </si>
  <si>
    <t>10.5304/jafscd.2012.031.006</t>
  </si>
  <si>
    <t>WOS:000439858700011</t>
  </si>
  <si>
    <t>Valdez, Z; Dean, WR; Sharkey, JR</t>
  </si>
  <si>
    <t>Valdez, Zulema; Dean, Wesley R.; Sharkey, Joseph R.</t>
  </si>
  <si>
    <t>Mobile and home-based vendors' contributions to the retail food environment in rural South Texas Mexican-origin settlements</t>
  </si>
  <si>
    <t>A growing concern with high rates of obesity and overweight among immigrant minority populations in the US has focused attention on the availability and accessibility to healthy foods in such communities. Small-scale vending in rural, impoverished and underserved areas, however, is generally overlooked: yet, this type of informal activity and source for food is particularly important in such environs, or food desserts, where traditional forms of work and mainstream food outlets are limited or even absent. This exploratory study investigates two types of small-scale food vending that take place in rural colonias, or Mexican-origin settlements along the South Texas border with Mexico: mobile and home-based. Using a convenience sample of 23 vendors who live and work in Texas colonias, this study identifies the characteristics associated with mobile and home-based food vendors and their businesses and its contributions to the rural food environment. Findings reveal that mobile and home-based vending provides a variety of food and beverage options to colonia residents, and suggests that home-based vendors contribute a greater assortment of food options, including some healthier food items, than mobile food vendors, which offer and sell a limited range of products. Findings may contribute to the development of innovative policy solutions and interventions aimed at increasing healthy food options or reducing health disparities in immigrant communities. (C) 2012 Elsevier Ltd. All rights reserved.</t>
  </si>
  <si>
    <t>Dean, Wesley/0000-0003-1096-4711</t>
  </si>
  <si>
    <t>1095-8304</t>
  </si>
  <si>
    <t>10.1016/j.appet.2012.04.012</t>
  </si>
  <si>
    <t>WOS:000309310000003</t>
  </si>
  <si>
    <t>Meenar, MR; Hoover, BM</t>
  </si>
  <si>
    <t>Meenar, Mahbubur R.; Hoover, Brandon M.</t>
  </si>
  <si>
    <t>Community food security via urban agriculture: Understanding people, place, economy, and accessibility from a food justice perspective</t>
  </si>
  <si>
    <t>This paper examines the role of urban agriculture (UA) projects in relieving food insecurity in lower-income neighborhoods of post-industrial U.S. cities, using Philadelphia as a case study. Based on food justice literature and mixed-methods such as GIS, survey, field observations, and interviews, we discuss how neighborhoods, nearby residents, and the local food economy interact with UA projects. Our findings suggest that, although UA projects occupy a vital place in the fight against community food insecurity in disadvantaged inner-city neighborhoods, there are debates and concerns associated with the movement. These concerns include geographic, economic, and informational accessibility of UA projects; social exclusion in the movement; spatial mismatch between UA participants and neighborhood socioeconomic and racial profiles; distribution of fresh produce to populations under poverty and hunger; and UA's economic contributions in underprivileged neighborhoods. Finally, we outline future research directions that are significant to understanding the practice of UA.</t>
  </si>
  <si>
    <t>Meenar, Mahbubur/J-9418-2019</t>
  </si>
  <si>
    <t>Meenar, Mahbubur/0000-0002-0869-3249</t>
  </si>
  <si>
    <t>10.5304/jafscd.2012.031.013</t>
  </si>
  <si>
    <t>WOS:000439858700013</t>
  </si>
  <si>
    <t>Alviola, PA; Nayga, RM; Thomsen, M</t>
  </si>
  <si>
    <t>Alviola, Pedro A.; Nayga, Rodolfo M., Jr.; Thomsen, Michael</t>
  </si>
  <si>
    <t>Food Deserts and Childhood Obesity</t>
  </si>
  <si>
    <t>APPLIED ECONOMIC PERSPECTIVES AND POLICY</t>
  </si>
  <si>
    <t>We utilize a panel data set from 2007 to 2009 on the state of Arkansas to identify and determine the effect of food deserts on school district obesity rates. We define food deserts as low-income areas with limited food access. Using both classical panel data models and spatial error models, we find no statistically significant relationship between school district obesity rates and the existence of food deserts in Arkansas. This finding is consistent across different model specifications, in spatial, panel or cross-sectional analysis, and with or without urban school districts in the data.</t>
  </si>
  <si>
    <t>Alviola IV, Pedro/0000-0002-5519-5787</t>
  </si>
  <si>
    <t>2040-5790</t>
  </si>
  <si>
    <t>2040-5804</t>
  </si>
  <si>
    <t>10.1093/aepp/pps035</t>
  </si>
  <si>
    <t>WOS:000315159000007</t>
  </si>
  <si>
    <t>Behjat, A; Koc, M; Ostry, A</t>
  </si>
  <si>
    <t>Brebbia, CA; Popov, V</t>
  </si>
  <si>
    <t>Behjat, A.; Koc, M.; Ostry, A.</t>
  </si>
  <si>
    <t>The importance of food retail stores in identifying food deserts in urban settings</t>
  </si>
  <si>
    <t>FOOD AND ENVIRONMENT II: THE QUEST FOR A SUSTAINABLE FUTURE</t>
  </si>
  <si>
    <t>WIT Transactions on Ecology and the Environment</t>
  </si>
  <si>
    <t>APR 22-24, 2013</t>
  </si>
  <si>
    <t>Budapest, HUNGARY</t>
  </si>
  <si>
    <t>Wessex Inst Technol,WIT Transact Ecol &amp; Environm,Int Journal Sustainable Dev &amp; Planning</t>
  </si>
  <si>
    <t>While food deserts in urban places have been fairly well studied in North America and Europe, there is little consensus on the best conceptual and operational definition for food deserts. In most of these studies researchers concentrate on mainstream grocery stores and supermarkets as the only sources of healthy and affordable food options especially in cities with diverse ethnic population. The purpose of this study is to expand this usual approach to food desert studies by investigating the inclusion of ethnic food stores and specialty stores as sources of healthy food options in a multi-ethinic Toronto neighbourhood. The Englemount-Lawrence neighbourhood was selected for this study as it has been identified as a food desert in previous studies in Toronto. An in-store survey was conducted in order to identify ethnic and specialty stores which supply healthy and affordable food options based on US Department of Agriculture dietary guidelines. Using Geographic Information System (GIS) analysis, all qualified ethnic food stores in the study area were geocoded into a neighbourhood map and a buffer of 1000m was drawn around each. We found out that ethnic food stores supplying healthy and culturally-accepted food options are evenly dispersed across the Englemount-Lawrence neighbourhood. We conclude that, unlike in previous studies, this neighbourhood is not a food desert. Furthermore, failure to use an inclusive set of healthy food stores and culturally acceptable food choices, in neighbourhood studies of food deserts can significantly alter the results in the study area and hence mislead food planners and policymakers in decision-making.</t>
  </si>
  <si>
    <t>Koc, Mustafa/ABA-5359-2020</t>
  </si>
  <si>
    <t>1743-3541</t>
  </si>
  <si>
    <t>978-1-84564-702-5</t>
  </si>
  <si>
    <t>10.2495/FENV130091</t>
  </si>
  <si>
    <t>WOS:000346259700009</t>
  </si>
  <si>
    <t>Geographies of capital formation and rescaling: A historical-geographical approach to the food desert problem</t>
  </si>
  <si>
    <t>CANADIAN GEOGRAPHIES-GEOGRAPHIES CANADIENNES</t>
  </si>
  <si>
    <t>Although the food desert concept has captured the public imagination and spurred public policy efforts in many North American cities, the term has been critiqued by academics for being definitionally and methodologically vague, and for providing an incomplete picture of the complexity of food access. Rather than dismiss the study of urban, inner-city food deserts, however, scholars can study disparities in retail food access through a historical, critical political economy lens to understand underserved retail landscapes as a product of capital formation and rescaling over time. The purpose of this article is to conduct such an analysis, using the case study of a low-income community in Kingston, Ontario. Using historical research and qualitative interviews, the major finding of this analysis is that the physical accessibility of retail food appears to have declined over time in relation to the capitalization of the retail food sector. An imperfect relationship can be outlined over three phases of Canadian urban economic history to suggest that the food desert problem emerged largely in the transition from a decentralized, small-scale, and neighbourhood-embedded retail food industry to the scaled-up, disembedded industry that now dominates the landscape. This industry-level rescaling is contributing to a new urban politics of class and consumption through subtle, everyday activities such as food shopping.</t>
  </si>
  <si>
    <t>0008-3658</t>
  </si>
  <si>
    <t>1541-0064</t>
  </si>
  <si>
    <t>10.1111/j.1541-0064.2012.00454.x</t>
  </si>
  <si>
    <t>WOS:000319522300003</t>
  </si>
  <si>
    <t>Weatherspoon, D; Oehmke, J; Dembélé, A; Coleman, M; Satimanon, T; Weatherspoon, L</t>
  </si>
  <si>
    <t>Weatherspoon, Dave; Oehmke, James; Dembele, Assa; Coleman, Marcus; Satimanon, Thasanee; Weatherspoon, Lorraine</t>
  </si>
  <si>
    <t>Price and Expenditure Elasticities for Fresh Fruits in an Urban Food Desert</t>
  </si>
  <si>
    <t>This study addresses the knowledge gap concerning the demand for fresh fruit in an urban food desert, where healthy foods are scarce by definition. Using register data from a non-profit greengrocer in Detroit-one of America's largest and most severe food deserts-expenditure and price elasticities of fresh fruits are estimated. The results show that, if urban food desert consumers are given access to normally priced produce of acceptable quality, they will purchase it. Expenditure was found to play a major role in determining fruit demand. The food desert consumers were also found to be more price responsive than the average US consumer. The policy implications are clear: introducing neighbourhood stores providing access to good quality produce at competitive prices could be an important component of increasing fruit consumption.</t>
  </si>
  <si>
    <t>10.1177/0042098012448555</t>
  </si>
  <si>
    <t>WOS:000312548000007</t>
  </si>
  <si>
    <t>McPhail, D; Chapman, GE; Beagan, BL</t>
  </si>
  <si>
    <t>McPhail, Deborah; Chapman, Gwen E.; Beagan, Brenda L.</t>
  </si>
  <si>
    <t>The rural and the rotund? A critical interpretation of food deserts and rural adolescent obesity in the Canadian context</t>
  </si>
  <si>
    <t>Resting on the notion that rural spaces are food deserts, rural adolescents are increasingly regarded as a problem population in Western obesity narratives. Using qualitative data gleaned from interviews with 51 teenage participants from rural areas across Canada, this paper focuses on the ways in which obesity is constructed as a rural disease in the Canadian context, demonstrating in particular how discourses of food deserts and related rural obesity rely on classist imaginings of obesity as a working-class embodiment. The paper will further question the understanding of the rural as a food desert, showing the ways in which rural teens acquire fresh, healthy foods in part through an informal economy of food growing and sharing. (C) 2013 Elsevier Ltd. All rights reserved.</t>
  </si>
  <si>
    <t>Beagan, Brenda/0000-0003-2533-2987</t>
  </si>
  <si>
    <t>10.1016/j.healthplace.2013.03.009</t>
  </si>
  <si>
    <t>WOS:000320648900017</t>
  </si>
  <si>
    <t>Budzynska, K; West, P; Savoy-Moore, RT; Lindsey, D; Winter, M; Newby, PK</t>
  </si>
  <si>
    <t>Budzynska, Katarzyna; West, Patricia; Savoy-Moore, Ruth T.; Lindsey, Darlene; Winter, Michael; Newby, P. K.</t>
  </si>
  <si>
    <t>A food desert in Detroit: associations with food shopping and eating behaviours, dietary intakes and obesity</t>
  </si>
  <si>
    <t>PUBLIC HEALTH NUTRITION</t>
  </si>
  <si>
    <t>Objective: Currently 67% of the US population is overweight or obese and obesity is associated with several chronic medical conditions. Geographic areas where individuals lack access to healthy foods have been termed 'food deserts'. The study aim was to examine if area of residence within Metro Detroit was associated with dietary intake, food and shopping behaviours, and BMI. Design: Cross-sectional study. Settings: Participants were recruited in the waiting area of four primary-care clinics. Subjects: Individuals (n 1004) completed a questionnaire comprising four sections: demographics; personal health status including self-reported height and weight; a modified diet, transportation and shopping survey; and a subscale from the Diet and Health Knowledge Survey. Results: Seventy-four per cent of participants were female and the mean age was 46.7 (SD 15.0) years. In univariate analyses, living in Detroit was associated with being African American, unemployment, less education, no regular exercise, worse health self-rating and obesity (P&lt;0.0005 for all). Participants living in Detroit had a 3.06 (95% CI 1.91, 4.21) kg/m(2) larger BMI compared with people living outside the city (P&lt;0.0005) in univariate analyses, but the effect was attenuated when adjusted for demographics, disease status, shopping and eating behaviours, dietary intakes and diet knowledge (beta = -0.46 kg/m(2), 95% CI -2.23, 1.30 kg/m(2), P = 0.60). Conclusions: Overweight and obesity are highly prevalent both inside (82.9%) and outside (72.8%) the city of Detroit, presenting a major public health problem. However, living in this food desert was not significantly associated with BMI after potential covariates were considered.</t>
  </si>
  <si>
    <t>1368-9800</t>
  </si>
  <si>
    <t>1475-2727</t>
  </si>
  <si>
    <t>10.1017/S1368980013000967</t>
  </si>
  <si>
    <t>WOS:000326889000003</t>
  </si>
  <si>
    <t>Choi, Y; Suzuki, T</t>
  </si>
  <si>
    <t>Choi, Yuran; Suzuki, Tsutomu</t>
  </si>
  <si>
    <t>Food deserts, activity patterns, &amp; social exclusion: The case of Tokyo, Japan</t>
  </si>
  <si>
    <t>This study attempts to identify areas with a high level of discrepancy in the probability for an individual to exceed the threshold of walking time for grocery shopping. It is based on an assumption that a higher discrepancy is associated with more relative disadvantages for socially excluded people, the elderly, with no car and unemployed. A geographically weighted logistic model that incorporates individual constraints and spatial accessibility is developed to yield a probability, capturing the spatial variation of relations of factors. In the city of Tokyo, the north-eastern area shows a significant discrepancy for the socially excluded group. The distribution of high level of discrepancy differs compared to that of the area with low accessibility. This study's methodology and results provide convincing evidence that in determining food desert areas, relative accessibility estimated with personal attributes should be taken into account. (C) 2013 Elsevier Ltd. All rights reserved.</t>
  </si>
  <si>
    <t>Suzuki, Tsutomu/L-9832-2014</t>
  </si>
  <si>
    <t>Suzuki, Tsutomu/0000-0002-4501-5762</t>
  </si>
  <si>
    <t>10.1016/j.apgeog.2013.05.009</t>
  </si>
  <si>
    <t>WOS:000324156400009</t>
  </si>
  <si>
    <t>LeDoux, TF; Vojnovic, I</t>
  </si>
  <si>
    <t>LeDoux, Timothy F.; Vojnovic, Igor</t>
  </si>
  <si>
    <t>Going outside the neighborhood: The shopping patterns and adaptations of disadvantaged consumers living in the lower eastside neighborhoods of Detroit, Michigan</t>
  </si>
  <si>
    <t>This research employs household survey data and Geographic Information Systems (GIS) to explore the core assumption underlying much of the food desert discourse that socially and economically disadvantaged residents shop in their immediate neighborhood food environment. Findings indicate that disadvantaged consumers living on the lower eastside of Detroit, Michigan bypass their neighborhood food environments, which are disproportionately composed of convenience and party stores, to shop at independent, discount and regional supermarkets located in other parts of the city and in the suburbs. These trends hold despite various economic and physical constraints to their mobility. These findings complicate past assumptions that socially and economically disadvantaged residents living in a food desert shop within their neighborhood environment. (C) 2012 Elsevier Ltd. All rights reserved.</t>
  </si>
  <si>
    <t>LeDoux, Timothy/ABB-9859-2021</t>
  </si>
  <si>
    <t>10.1016/j.healthplace.2012.09.010</t>
  </si>
  <si>
    <t>WOS:000312951400001</t>
  </si>
  <si>
    <t>Ma, XG; Battersby, SE; Bell, BA; Hibbert, JD; Barnes, TL; Liese, AD</t>
  </si>
  <si>
    <t>Ma, Xiaoguang; Battersby, Sarah E.; Bell, Bethany A.; Hibbert, James D.; Barnes, Timothy L.; Liese, Angela D.</t>
  </si>
  <si>
    <t>Variation in low food access areas due to data source inaccuracies</t>
  </si>
  <si>
    <t>Several spatial measures of community food access identifying so called food deserts have been developed based on geospatial information and commercially-available, secondary data listings of food retail outlets. It is not known how data inaccuracies influence the designation of Census tracts as areas of low access. This study replicated the U.S. Department of Agriculture Economic Research Service (USDA ERS) food desert measure and the Centers for Disease Control and Prevention (CDC) non-healthier food retail tract measure in two secondary data sources (InfoUSA and Dun &amp; Bradstreet) and reference data from an eight-county field census covering 169 Census tracts in South Carolina. For the USDA ERS food deserts measure accuracy statistics for secondary data sources were 94% concordance, 50-65% sensitivity, and 60-64% positive predictive value (PPV). Based on the CDC non-healthier food retail tracts both secondary data demonstrated 88-91% concordance, 80-86% sensitivity and 78-82% PPV. While inaccuracies in secondary data sources used to identify low food access areas may be acceptable for largescale surveillance, verification with field work is advisable for local community efforts aimed at identifying and improving food access. (C) 2013 Elsevier Ltd. All rights reserved.</t>
  </si>
  <si>
    <t>Ma, Xiaoguang/ABI-4962-2020; Barnes, Timothy/KFS-9359-2024; Bell, Bethany/AAV-6917-2021</t>
  </si>
  <si>
    <t>Barnes, Timothy L./0000-0003-1428-4609</t>
  </si>
  <si>
    <t>10.1016/j.apgeog.2013.08.014</t>
  </si>
  <si>
    <t>WOS:000329882700013</t>
  </si>
  <si>
    <t>Donald, B</t>
  </si>
  <si>
    <t>Donald, Betsy</t>
  </si>
  <si>
    <t>Food retail and access after the crash: rethinking the food desert problem</t>
  </si>
  <si>
    <t>JOURNAL OF ECONOMIC GEOGRAPHY</t>
  </si>
  <si>
    <t>This article reviews Neil Wrigley's significant contributions to food desert research and how his work informs current debates in the USA around unhealthy foodscapes and what to do about them. After an update on the current U.S. food policy environment, the article reviews the controversies surrounding locating big food retail in underserviced areas. It argues that the food access problem can only move forward if three areas are addressed. First, economic geographers must return to a serious engagement in crucial evidence-based 'before/after' retail interventions as Wrigley and his UK researchers did almost 15 years ago. Second, current research must not be done in isolation to the context of the rapidly changing global retail environment and the multiple ways people now access their food. Third, solutions must also address the broader issues of affordability and need and the particular U.S. style governance regime that limits what personal responsibility can do.</t>
  </si>
  <si>
    <t>1468-2702</t>
  </si>
  <si>
    <t>1468-2710</t>
  </si>
  <si>
    <t>10.1093/jeg/lbs064</t>
  </si>
  <si>
    <t>WOS:000315222800003</t>
  </si>
  <si>
    <t>Larson, C; Haushalter, A; Buck, T; Campbell, D; Henderson, T; Schlundt, D</t>
  </si>
  <si>
    <t>Larson, Celia; Haushalter, Alisa; Buck, Tracy; Campbell, David; Henderson, Trevor; Schlundt, David</t>
  </si>
  <si>
    <t>Development of a Community-Sensitive Strategy to Increase Availability of Fresh Fruits and Vegetables in Nashville's Urban Food Deserts, 2010-2012</t>
  </si>
  <si>
    <t>Background Food deserts, areas that lack full-service grocery stores, may contribute to rising rates of obesity and chronic diseases among low-income and racial/ethnic minority residents. Our corner store project, part of the Centers for Disease Control and Prevention's Communities Putting Prevention to Work initiative, aimed to increase availability of healthful foods in food deserts in Nashville, Tennessee. Community Context We identified 4 food deserts in which most residents are low-income and racially and ethnically diverse. Our objectives were to develop an approach to increase availability of fresh fruits and vegetables, low-fat or nonfat milk, and 100% whole-wheat bread in Nashville's food deserts and to engage community members to inform our strategy. Methods Five corner stores located in food deserts met inclusion criteria for our intervention. We then conducted community listening sessions, proprietor surveys, store audits, and customer-intercept surveys to identify needs, challenges to retailing the products, and potential intervention strategies. Outcome Few stores offered fresh fruits, fresh vegetables, low-fat or nonfat milk, or 100% whole-wheat bread, and none stocked items from all 4 categories. Major barriers to retailing healthful options identified by community members are mistrust of store owners, history of poor-quality produce, and limited familiarity with healthful options. Store owners identified neighborhood crime as the major barrier. We used community input to develop strategies. Interpretation Engaging community residents and understanding neighborhood context is critical to developing strategies that increase access to healthful foods in corner stores.</t>
  </si>
  <si>
    <t>10.5888/pcd10.130008</t>
  </si>
  <si>
    <t>WOS:000329392200017</t>
  </si>
  <si>
    <t>Andrews, M; Bhatta, R; Ploeg, MV</t>
  </si>
  <si>
    <t>Andrews, Margaret; Bhatta, Rhea; Ploeg, Michele Ver</t>
  </si>
  <si>
    <t>An Alternative to Developing Stores in Food Deserts: Can Changes in SNAP Benefits Make a Difference?</t>
  </si>
  <si>
    <t>In the search for policies to reduce the effects of limited food access, little consideration has been given to how economic incentives could be used to make it easier for low-income families to access existing healthy food retailers. Using county-level, administrative data on redemption of Supplemental Nutrition Assistance Program (SNAP) benefits by store type from May 2007 to May 2010, this paper investigates aggregate responses of SNAP participants to economic and policy changes. Results show that SNAP benefit increases, in general, are associated with a greater percentage of redemptions at superstores. However, other circumstances associated with the large increase in benefits enacted in April 2009 as a part of the stimulus bill reverse the positive effect. Estimates are stable across a number of specifications that also control for gas prices, store-type density, local unemployment and state policies. Results suggest that economic incentives deserve further consideration as an alternative to store development in food desert communities.</t>
  </si>
  <si>
    <t>Ver Ploeg, Michele/0000-0001-8476-7281</t>
  </si>
  <si>
    <t>10.1093/aepp/pps042</t>
  </si>
  <si>
    <t>WOS:000315159000009</t>
  </si>
  <si>
    <t>Hardin-Fanning, F</t>
  </si>
  <si>
    <t>Hardin-Fanning, F.</t>
  </si>
  <si>
    <t>Adherence to a Mediterranean diet in a rural Appalachian food desert</t>
  </si>
  <si>
    <t>Introduction: Rural Appalachian food deserts have disproportionately high cardiovascular disease (CVD) rates. The Mediterranean diet, consisting of plant-based dishes prepared with unsaturated fatty acids, contributes to decreased risk of CVD. Several factors can affect dietary choices in rural food deserts. The purpose of this exploratory study was to identify predisposing, reinforcing and enabling factors that affect eating a Mediterranean diet in a rural Appalachian food desert with disproportionately high rates of cardiovascular disease. The PRECEDE-PROCEED model was used as an assessment framework in this study. Methods: Volunteers (n=43) were recruited from four churches in a rural Appalachian county to participate in this mixed methods convergent parallel design study. During each of four sessions with 8-12 participants each, a Mediterranean-style meal was prepared by a local caterer and included plant-based dishes prepared with unsaturated fatty acids. The nature of a Mediterranean diet was explained to participants using an illustrated pamphlet. Nominal group process was used to determine predisposing, reinforcing and enabling factors that would affect adherence to a Mediterranean diet. Multivariate ANOVA and t-tests, using SPSS 18, were performed to determine factors associated with potential future adoption and adherence to a Mediterranean diet among a sample of rural residents and assess whether the factors varied based on age, gender and socioeconomic status. All p values of &lt;= 0.05 were considered significant. Results: Factors affecting future adherence to a Mediterranean diet included difficulty changing personal habits, limited access to healthy foods, cost, difficulty of preparation, limited knowledge of the health benefits of foods, family attitudes toward food and difficulty determining how to incorporate healthy foods into meals. Younger participants and those with lower incomes were more likely to identify food cost as a barrier to adherence compared to those who were older with higher incomes. Participants with lower educational levels were more likely to report family members would be hesitant to try a Mediterranean diet. Women were more likely than men to report an understanding of the health impact of certain foods as motivation to adopt and adhere to a Mediterranean diet. Conclusion: Multiple factors were reported as influencing dietary habits in this sample of rural Appalachian residents. Several of the factors reported are amenable to behavioral interventions. Although Appalachia has more residents per square kilometer than the rest of the country, the population density is not uniform across the region. Because many Appalachians live in sparsely populated counties, rurality plays a significant role in factors that affect dietary choice. Interventions that address barriers related to limited knowledge of nutrition, ease of preparation and changing personal habits as well as promote locally available foods, while considering issues specific to a rural population, may lead to sustained dietary changes.</t>
  </si>
  <si>
    <t>HARDINFANNING, FRANCES/KVF-4987-2024</t>
  </si>
  <si>
    <t>Hardin-Fanning, Frances/0000-0002-4325-6423</t>
  </si>
  <si>
    <t>WOS:000322364800021</t>
  </si>
  <si>
    <t>Appelhans, BM; Lynch, EB; Martin, MA; Nackers, LM; Cail, V; Woodrick, N</t>
  </si>
  <si>
    <t>Appelhans, Bradley M.; Lynch, Elizabeth B.; Martin, Molly A.; Nackers, Lisa M.; Cail, Vernon; Woodrick, Nicole</t>
  </si>
  <si>
    <t>Feasibility and Acceptability of Internet Grocery Service in an Urban Food Desert, Chicago, 2011-2012</t>
  </si>
  <si>
    <t>We explored the feasibility and acceptability of an Internet grocery service (IGS) as an approach to improving food access in urban neighborhoods. In our pilot study, caregivers residing in a documented Chicago food desert (N = 34, 79% ethnic minority) received a voucher to use a commercial IGS to purchase groceries for their household. Caregivers most frequently purchased fruits, vegetables, meats, and caloric beverages, and endorsed 4 factors as potentially important determinants of future IGS use. IGS programs could have a role in improving urban food access if they have competitive prices, provide rapid delivery, and incorporate strategies to discourage purchasing of discretionary caloric beverages.</t>
  </si>
  <si>
    <t>Lynch, Elizabeth/0000-0003-0575-711X</t>
  </si>
  <si>
    <t>10.5888/pcd10.120299</t>
  </si>
  <si>
    <t>WOS:000329391200001</t>
  </si>
  <si>
    <t>Zachary, DA; Palmer, AM; Beckham, SW; Surkan, PJ</t>
  </si>
  <si>
    <t>Zachary, Drew A.; Palmer, Anne M.; Beckham, Sarah W.; Surkan, Pamela J.</t>
  </si>
  <si>
    <t>A Framework for Understanding Grocery Purchasing in a Low-Income Urban Environment</t>
  </si>
  <si>
    <t>QUALITATIVE HEALTH RESEARCH</t>
  </si>
  <si>
    <t>Research demonstrates that food desert environments limit low-income shoppers' ability to purchase healthy foods, thereby increasing their likelihood of diet-related illnesses. We sought to understand how individuals in an urban American food desert make grocery-purchasing decisions, and specifically why unhealthy purchases arise. Analysis is based on ethnographic data from participant observation, 37 in-depth interviews, and three focus groups with low-income, primarily African American shoppers with children. We found participants had detailed knowledge of and preference for healthy foods, but the obligation to consistently provide food for their families required them to apply specific decision criteria which, combined with structural qualities of the supermarket environment, increased unhealthy purchases and decreased healthy purchases. Applying situated cognition theory, we constructed an emic model explaining this widely shared grocery-purchasing decision process and its implications. This context-specific understanding of behavior suggests that multifaceted, system-level approaches to intervention are needed to increase healthy purchasing in food deserts.</t>
  </si>
  <si>
    <t>Cole, S Wilson/AAD-1992-2021</t>
  </si>
  <si>
    <t>Cole, Sam Wilson/0000-0002-9694-3091; Surkan, Pamela/0000-0002-0334-5931</t>
  </si>
  <si>
    <t>1049-7323</t>
  </si>
  <si>
    <t>1552-7557</t>
  </si>
  <si>
    <t>10.1177/1049732313479451</t>
  </si>
  <si>
    <t>WOS:000319678500008</t>
  </si>
  <si>
    <t>Trebbin, A; Franz, M; Hassler, M</t>
  </si>
  <si>
    <t>Trebbin, Anika; Franz, Martin; Hassler, Markus</t>
  </si>
  <si>
    <t>Wholesale cooperations for small supermarkets in rural areas - the example of Central Hesse, Germany</t>
  </si>
  <si>
    <t>ZEITSCHRIFT FUR WIRTSCHAFTSGEOGRAPHIE</t>
  </si>
  <si>
    <t>Food retailing in the rural regions of Germany is undergoing dynamic changes. The growth of average sales area and the consolidation of shops result in an increase of those areas where supermarkets can only be reached through long car drives. Here, food deserts might be developing. However, a new system of collaboration between regional wholesale companies and the big German retail cooperatives Edeka and Rewe prevents the development of such areas of undersupply and opens new perspectives for the small supermarkets in the case study region of Central Hesse.</t>
  </si>
  <si>
    <t>Trebbin, Anika/A-2247-2012</t>
  </si>
  <si>
    <t>Trebbin, Anika/0000-0001-5435-0717; Franz, Martin/0000-0002-1187-5166</t>
  </si>
  <si>
    <t>0044-3751</t>
  </si>
  <si>
    <t>2365-7693</t>
  </si>
  <si>
    <t>WOS:000324223000003</t>
  </si>
  <si>
    <t>New Orleans, LA</t>
  </si>
  <si>
    <t>Whitley, S</t>
  </si>
  <si>
    <t>Whitley, Sarah</t>
  </si>
  <si>
    <t>Changing Times in Rural America: Food Assistance and Food Insecurity in Food Deserts</t>
  </si>
  <si>
    <t>JOURNAL OF FAMILY SOCIAL WORK</t>
  </si>
  <si>
    <t>Poverty and hunger are increasingly significant issues facing the United States. An additional trend, the consolidation in food retail, also contributes to food insecurity. This qualitative study of rural food insecure households investigates how assistance services and retail consolidation affect hunger for households in a changing rural environment. The data shows disparities exist in the amount of food assistance available based on household levels of social integration and social capital, leaving less connected residents experiencing hunger.</t>
  </si>
  <si>
    <t>Whitley, Sarah/HJI-9632-2023</t>
  </si>
  <si>
    <t>1052-2158</t>
  </si>
  <si>
    <t>1540-4072</t>
  </si>
  <si>
    <t>10.1080/10522158.2012.736080</t>
  </si>
  <si>
    <t>WOS:000217770500004</t>
  </si>
  <si>
    <t>Alkon, AH; Block, D; Moore, K; Gillis, C; DiNuccio, N; Chavez, N</t>
  </si>
  <si>
    <t>Alkon, Alison Hope; Block, Daniel; Moore, Kelly; Gillis, Catherine; DiNuccio, Nicole; Chavez, Noel</t>
  </si>
  <si>
    <t>Foodways of the urban poor</t>
  </si>
  <si>
    <t>GEOFORUM</t>
  </si>
  <si>
    <t>In the past decade, progressive public health advocates and food justice activists have increasingly argued that food deserts, which they define as neighborhoods lacking available healthy foods, are responsible for the diet-related health problems that disproportionately plague low-income communities of color. This well meaning approach is a marked improvement over the victim-blaming that often accompanies popular portrayals of health disparities in that it attempts to shift the emphasis from individual eaters to structural issues of equitable development and the supply of health-inducing opportunities. However, we argue that even these supply-side approaches fail to take into account the foodways - cultural, social and economic food practices, habits and desires - of those who reside in so-called food deserts. In this paper, we present five independently conducted studies from Oakland and Chicago that investigate how low-income people eat, where and how they shop, and what motivates their food choices. Our data reveals that cost, not lack of knowledge or physical distance, is the primary barrier to healthy food access, and that low-income people employ a wide variety of strategies to obtain the foods they prefer at prices they can afford. This paper speaks to academic debates on food systems, food movements and food cultures. We hope that progressive policy makers, planners and food justice activists will also draw on it to ensure that their interventions match the needs, skills and desires of those they seek to serve. (C) 2013 Elsevier Ltd. All rights reserved.</t>
  </si>
  <si>
    <t>0016-7185</t>
  </si>
  <si>
    <t>1872-9398</t>
  </si>
  <si>
    <t>10.1016/j.geoforum.2013.04.021</t>
  </si>
  <si>
    <t>WOS:000323689500013</t>
  </si>
  <si>
    <t>Dubowitz, T; Ghosh-Dastidar, M; Steiner, E; Escarce, JJ; Collins, RL</t>
  </si>
  <si>
    <t>Dubowitz, Tamara; Ghosh-Dastidar, Madhumita (Bonnie); Steiner, Elizabeth; Escarce, Jose J.; Collins, Rebecca L.</t>
  </si>
  <si>
    <t>Are Our Actions Aligned With Our Evidence? The Skinny on Changing the Landscape of Obesity</t>
  </si>
  <si>
    <t>OBESITY</t>
  </si>
  <si>
    <t>Recent debate about the role of food deserts in the United States (i.e., places that lack access to healthy foods) has prompted discussion on policies being enacted, including efforts that encourage the placement of full-service supermarkets into food deserts. Other initiatives to address obesogenic neighborhood features include land use zoning and parks renovations. Yet, there is little evidence to demonstrate that such policies effect change. While we suspect most researchers and policymakers would agree that effective neighborhood change could be a powerful tool in combating obesity, we desperately need strong and sound evidence to guide decisions about where and how to invest.</t>
  </si>
  <si>
    <t>Steiner, Elizabeth/0000-0002-5586-8494</t>
  </si>
  <si>
    <t>1930-7381</t>
  </si>
  <si>
    <t>1930-739X</t>
  </si>
  <si>
    <t>10.1002/oby.20294</t>
  </si>
  <si>
    <t>WOS:000322087600022</t>
  </si>
  <si>
    <t>Solow, AR; Beet, AR</t>
  </si>
  <si>
    <t>Solow, Andrew R.; Beet, Andrew R.</t>
  </si>
  <si>
    <t>A Bayesian approach to finding groups in a food web</t>
  </si>
  <si>
    <t>ISRAEL JOURNAL OF ECOLOGY &amp; EVOLUTION</t>
  </si>
  <si>
    <t>A food web describes the feeding links between species in a community. The species in many food webs are organized into groups of highly linked species that are weakly linked to species in other groups. A Bayesian approach to identifying such groups in an observed food web is described. This approach extends a previous non-Bayesian one that does not exploit information about the relatively high density of links within groups and relatively low density between groups. Under the new approach, this information is encoded through prior distributions for within- and between-group link densities. The approach is shown to work well on simulated food webs. Results are presented of the application of the method to the Coachella Valley desert food web.</t>
  </si>
  <si>
    <t>Beet, Andy/0000-0001-8270-7090</t>
  </si>
  <si>
    <t>1565-9801</t>
  </si>
  <si>
    <t>2224-4662</t>
  </si>
  <si>
    <t>10.1080/15659801.2013.820391</t>
  </si>
  <si>
    <t>WOS:000327389000005</t>
  </si>
  <si>
    <t>Alviola, PA; Nayga, RM; Thomsen, MR; Wang, ZY</t>
  </si>
  <si>
    <t>Alviola, Pedro A.; Nayga, Rodolfo M., Jr.; Thomsen, Michael R.; Wang, Zhongyi</t>
  </si>
  <si>
    <t>DETERMINANTS OF FOOD DESERTS</t>
  </si>
  <si>
    <t>JAN, 2013</t>
  </si>
  <si>
    <t>San Diego, CA</t>
  </si>
  <si>
    <t>Allied Social Sci Assoc</t>
  </si>
  <si>
    <t>1467-8276</t>
  </si>
  <si>
    <t>10.1093/ajae/aat029</t>
  </si>
  <si>
    <t>WOS:000328253700017</t>
  </si>
  <si>
    <t>Quinlan, JJ</t>
  </si>
  <si>
    <t>Quinlan, Jennifer J.</t>
  </si>
  <si>
    <t>Foodborne Illness Incidence Rates and Food Safety Risks for Populations of Low Socioeconomic Status and Minority Race/Ethnicity: A Review of the Literature</t>
  </si>
  <si>
    <t>INTERNATIONAL JOURNAL OF ENVIRONMENTAL RESEARCH AND PUBLIC HEALTH</t>
  </si>
  <si>
    <t>While foodborne illness is not traditionally tracked by race, ethnicity or income, analyses of reported cases have found increased rates of some foodborne illnesses among minority racial/ethnic populations. In some cases (Listeria, Yersinia) increased rates are due to unique food consumption patterns, in other cases (Salmonella, Shigella, Campylobacter) it is unclear why this health disparity exists. Research on safe food handling knowledge and behaviors among low income and minority consumers suggest that there may be a need to target safe food handling messages to these vulnerable populations. Another possibility is that these populations are receiving food that is less safe at the level of the retail outlet or foodservice facility. Research examining the quality and safety of food available at small markets in the food desert environment indicates that small corner markets face unique challenges which may affect the quality and potential safety of perishable food. Finally, a growing body of research has found that independent ethnic foodservice facilities may present increased risks for foodborne illness. This review of the literature will examine the current state of what is known about foodborne illness among, and food safety risks for, minority and low socioeconomic populations, with an emphasis on the United States and Europe.</t>
  </si>
  <si>
    <t>1660-4601</t>
  </si>
  <si>
    <t>10.3390/ijerph10083634</t>
  </si>
  <si>
    <t>WOS:000330526700036</t>
  </si>
  <si>
    <t>Chen, X; Clark, J</t>
  </si>
  <si>
    <t>Chen, Xiang; Clark, Jill</t>
  </si>
  <si>
    <t>Interactive three-dimensional geovisualization of space-time access to food</t>
  </si>
  <si>
    <t>A majority of literature about food deserts is focused on geographic access to food retailers by a buffered distance differentiating high and low access. An overlooked facet in this representation is that food acquisition is not only geographically dictated, but it is also temporally constrained. Food retailers invariably have limited opening hours that create a temporal restriction for shoppers. In this paper, a three-dimensional (3D) construct was proposed to delineate the limited food access to a retailer location across space and over its time of operation. Food retailer data in Columbus, OH, USA were collected for examining the variation of food access on both spatial and temporal scales. This study also employed the technique of interactive 3D modeling in a geographic information system (GIS) to visualize the food environment to delimit where and when food is accessible on a daily basis. The interactive 3D geovisualization (visualization of geographic information) of space-time access contributed to improving the representation of food environment and exploring the inequity of food access across space and over time. The development of this geovisualization context for food science studies could assist public health professionals and government stakeholders in understanding the effect of temporal access and improving food access for regions with limited operation hours in policy formulation. (C) 2013 Elsevier Ltd. All rights reserved.</t>
  </si>
  <si>
    <t>Clark, Jill/A-1661-2013; Chen, Xiang/F-8556-2015</t>
  </si>
  <si>
    <t>Chen, Xiang/0000-0002-5045-9253</t>
  </si>
  <si>
    <t>10.1016/j.apgeog.2013.05.012</t>
  </si>
  <si>
    <t>WOS:000324156400008</t>
  </si>
  <si>
    <t>Agent-based modeling of policies to improve urban food access for low-income populations</t>
  </si>
  <si>
    <t>Despite advances in medical technology and public health practices over the past few decades, there has been a steady increase in the prevalence of chronic diseases like type 2 diabetes among low-income urban residents in the US. For this population, maintaining a diet consisting of nutritious foods is complicated by a number of physical and social barriers. In cities, a coalescence of social, spatial, and economic factors influence the availability of healthy food in any given place. The urban food environment contextualizes the structural and individual-level norms that drive daily decision-making about what to eat. Understanding and acting on the processes that reduce these residents' access to healthy foods will make for a healthier urban landscape. This paper advances the discussion of food deserts by using an agent-based model to simulate the impact of various policy interventions on low-income households' consumption of fresh fruits and vegetables. Using a simulated population of low-income households in Buffalo, NY, initialized with demographic and geographic data from the US Census and the City of Buffalo, a baseline scenario is established. Four different scenarios are explored in contrast to the baseline, including increasing the frequency that households shop for groceries, increasing the probability convenience stores stock fresh produce, and implementing a mobile market distribution system. The paper concludes by analyzing the effectiveness of the varying strategies, and discussing policy implications. (c) 2013 Elsevier Ltd. All rights reserved.</t>
  </si>
  <si>
    <t>10.1016/j.apgeog.2013.01.003</t>
  </si>
  <si>
    <t>WOS:000319642100001</t>
  </si>
  <si>
    <t>Breyer, B; Voss-Andreae, A</t>
  </si>
  <si>
    <t>Breyer, Betsy; Voss-Andreae, Adriana</t>
  </si>
  <si>
    <t>Food mirages: Geographic and economic barriers to healthful food access in Portland, Oregon</t>
  </si>
  <si>
    <t>This paper investigated the role of grocery store prices in structuring food access for low-income households in Portland, Oregon. We conducted a detailed healthful foods market basket survey and developed an index of store cost based on the USDA Thrifty Food Plan. Using this index, we estimated the difference in street-network distance between the nearest low-cost grocery store and the nearest grocery store irrespective of cost. Spatial regression of this metric in relation to income, poverty, and gentrification at the census tract scale lead to a new theory regarding food access in the urban landscape. Food deserts are sparse in Portland, but food mirages are abundant, particularly in gentrifying areas where poverty remains high. In a food mirage, grocery stores are plentiful but prices are beyond the means of low-income households, making them functionally equivalent to food deserts in that a long journey to obtain affordable, nutritious food is required in either case. Results suggested that evaluation of food environments should, at a minimum, consider both proximity and price in assessing healthy food access for low-income households. (C) 2013 Elsevier Ltd. All rights reserved.</t>
  </si>
  <si>
    <t>Breyer, Betsy/0000-0001-6355-1203</t>
  </si>
  <si>
    <t>10.1016/j.healthplace.2013.07.008</t>
  </si>
  <si>
    <t>WOS:000326985300017</t>
  </si>
  <si>
    <t>Appelhans, BM; Lynch, E; Martin, M; Nackers, L; Cail, V; Woodrick, N</t>
  </si>
  <si>
    <t>Appelhans, Bradley M.; Lynch, Elizabeth; Martin, Molly; Nackers, Lisa; Cail, Vernon; Woodrick, Nicole</t>
  </si>
  <si>
    <t>FORMATIVE RESEARCH ON INTERNET GROCERY SERVICE WITH CAREGIVERS IN A CHICAGO FOOD DESERT</t>
  </si>
  <si>
    <t>ANNALS OF BEHAVIORAL MEDICINE</t>
  </si>
  <si>
    <t>0883-6612</t>
  </si>
  <si>
    <t>1532-4796</t>
  </si>
  <si>
    <t>A-101</t>
  </si>
  <si>
    <t>S27</t>
  </si>
  <si>
    <t>WOS:000209928000103</t>
  </si>
  <si>
    <t>Born, B</t>
  </si>
  <si>
    <t>Born, Branden</t>
  </si>
  <si>
    <t>A research agenda for food system transformation through autonomous community-based food projects</t>
  </si>
  <si>
    <t>The focus of much of the research that examines the food system coming from the planning and policy fields is empirical and reductionist, following a rational technocratic planning epistemology. One critical failing in this approach is a general reliance on the state and its close ties to capital through a global neoliberal economic philosophy that is entirely enmeshed with the food system. This research thus examines methodological approaches to identifying and measuring food deserts, obesegenic environments, and the like, and proposes solutions that tinker with the current system, such as the inclusion of grocery stores in food deserts. Such a research approach will not lead to a radical transformation of the food system. Those who seek a fundamentally different food system based on democratic and ecological principles need to look elsewhere for solutions. Fortunately, examples to study are everywhere once one knows what to look for. Following the theoretical work of Deleuze and Guattari, Virno, Graeber, and Holland, a five-year research design would begin to identify, understand, and determine how to assist and connect examples of community-based programs that collectively represent an exodus from the current food system. Such a program would need to recognize reformist ideas and research agendas while clearly delineating an alternative long-term strategy based in a distinctly oppositional, nonstate, radically democratic approach to building a new food system.</t>
  </si>
  <si>
    <t>10.5304/jafscd.2013.034.026</t>
  </si>
  <si>
    <t>WOS:000439859800025</t>
  </si>
  <si>
    <t>Newbold, B; Watson, S; Mackay, K; Isaacs, S</t>
  </si>
  <si>
    <t>Newbold, Bruce; Watson, Susannah; Mackay, Kevin; Isaacs, Sandy</t>
  </si>
  <si>
    <t>Exploring the Relationship between Food Access and Foodborne Illness by Using Spatial Analysis</t>
  </si>
  <si>
    <t>JOURNAL OF FOOD PROTECTION</t>
  </si>
  <si>
    <t>There is some evidence that neighborhood deprivation increases residents' risk of foodborne illnesses. Because urban areas with the least available access to adequate amounts of nutritious or affordable food options (or food deserts) also tend to be the most deprived areas within a city, it is hypothesized that food access and foodborne illness risk are linked. However, the complexity of tracking numbers and sources of gastrointestinal (GI) illnesses often leads researchers to speculate about reasons for disproportionate rates of pathogen outbreaks among demographic groups. This study explores the suitability of existing data to examine associations between food deserts and the spatial distribution of GI illnesses in Hamilton, Ontario, Canada. A spatial analysis by using GIS software methodology was used to identify and map food retail outlets and accessibility, as well as GI illness outbreaks and sales of antidiarrhea, antinausea, and rehydration products (used as a proxy for GI cases) within the city, based on available data. Statistical analysis of the maps shows no statistical relationship between location, access to food outlets, and rates of GI illness. The analysis points to shortfalls and gaps in the existing data, which leaves us unable to draw conclusions either supporting or refuting our hypothesis. This article includes recommendations to improve the current system of illness reporting and to continue to refine the definition and process of mapping food access issues. A more comprehensive set of data would enable municipalities to more easily identify groups most at risk, depending on exposures and the type of pathogen, and reduce the occurrence of foodborne disease.</t>
  </si>
  <si>
    <t>0362-028X</t>
  </si>
  <si>
    <t>1944-9097</t>
  </si>
  <si>
    <t>10.4315/0362-028X.JFP-13-027</t>
  </si>
  <si>
    <t>WOS:000326085500015</t>
  </si>
  <si>
    <t>Dubowitz, T; Ghosh-Dastidar, B; Cohen, D; Steiner, E; Beckman, R; Hunter, G; Collins, R</t>
  </si>
  <si>
    <t>Dubowitz, Tamara; Ghosh-Dastidar, Bonnie; Cohen, Deborah; Steiner, Elizabeth; Beckman, Robin; Hunter, Gerald; Collins, Rebecca</t>
  </si>
  <si>
    <t>DISTANCE TO FULL-SERVICE SUPERMARKETS: IS LOCATION OF FOOD DESERT RESIDENTS' SHOPPING ASSOCIATED WITH DIETARY QUALITY?</t>
  </si>
  <si>
    <t>AMERICAN JOURNAL OF EPIDEMIOLOGY</t>
  </si>
  <si>
    <t>0002-9262</t>
  </si>
  <si>
    <t>JUN 15</t>
  </si>
  <si>
    <t>S73</t>
  </si>
  <si>
    <t>WOS:000319870300290</t>
  </si>
  <si>
    <t>Dimitri, C; Oberholtzer, L; Nischan, M</t>
  </si>
  <si>
    <t>Dimitri, Carolyn; Oberholtzer, Lydia; Nischan, Michel</t>
  </si>
  <si>
    <t>Reducing the Geographic and Financial Barriers to Food Access: Perceived Benefits of Farmers' Markets and Monetary Incentives</t>
  </si>
  <si>
    <t>Consumers living in food deserts lack geographic access to food; those same consumers are often low-income and thus face additional constraints to purchasing foods. New programs address the geographic and financial aspects of food access. One program, administered by Wholesome Wave, pairs financial incentives and healthy food purchases. Analysis of consumer survey data showed statistical evidence that consumers from areas with low food access, who were also income constrained, were the most likely to perceive that their consumption was higher. The findings point to the promise of the combination of markets and incentives for reducing barriers to healthy food consumption.</t>
  </si>
  <si>
    <t>10.1080/19320248.2013.840547</t>
  </si>
  <si>
    <t>WOS:000214661300004</t>
  </si>
  <si>
    <t>COMMUNITY DEVELOPMENT AND THE INFLUENCE OF NEW FOOD RETAIL SOURCES ON THE PRICE AND AVAILABILITY OF NUTRITIOUS FOOD</t>
  </si>
  <si>
    <t>Studies have demonstrated links between the accessibility of food and multiple health outcomes. Policymakers engaged in local community development may use public health concerns as a strategy to procure funding for food retail initiatives. Few studies to date have demonstrated the impact that a new food retailer can have on geographic and economic access to nutritious food in a community, evidence which could support the case for new food retail. This paper examines the price and availability of food before and after the opening of two new grocery stores in a former food desert in Flint, Michigan. The results indicate a substantial improvement in both geographic and economic food accessibility, and show no statistical difference between prices at average grocery stores and the new stores. Discussion suggests that investment in poorer neighborhoods can be beneficial to the local population and the community at large by creating a local multiplier effect through increased spending in the community.</t>
  </si>
  <si>
    <t>Arku, Godwin/0000-0001-7720-1554; Gilliland, Jason/0000-0002-2909-2178</t>
  </si>
  <si>
    <t>10.1111/j.1467-9906.2012.00624.x</t>
  </si>
  <si>
    <t>WOS:000329837800005</t>
  </si>
  <si>
    <t>Ghosh, D; Guha, R</t>
  </si>
  <si>
    <t>Ghosh, Debarchana (Debs); Guha, Rajarshi</t>
  </si>
  <si>
    <t>What are we 'tweeting' about obesity? Mapping tweets with topic modeling and Geographic Information System</t>
  </si>
  <si>
    <t>CARTOGRAPHY AND GEOGRAPHIC INFORMATION SCIENCE</t>
  </si>
  <si>
    <t>Public health related tweets are difficult to identify in large conversational datasets like Twitter.com. Even more challenging is the visualization and analyses of the spatial patterns encoded in tweets. This study has the following objectives: how can topic modeling be used to identify relevant public health topics such as obesity on Twitter.com? What are the common obesity related themes? What is the spatial pattern of the themes? What are the research challenges of using large conversational datasets from social networking sites? Obesity is chosen as a test theme to demonstrate the effectiveness of topic modeling using Latent Dirichlet Allocation (LDA) and spatial analysis using Geographic Information System (GIS). The dataset is constructed from tweets (originating from the United States) extracted from Twitter.com on obesity-related queries. Examples of such queries are 'food deserts', 'fast food', and 'childhood obesity'. The tweets are also georeferenced and time stamped. Three cohesive and meaningful themes such as 'childhood obesity and schools', 'obesity prevention', and 'obesity and food habits' are extracted from the LDA model. The GIS analysis of the extracted themes show distinct spatial pattern between rural and urban areas, northern and southern states, and between coasts and inland states. Further, relating the themes with ancillary datasets such as US census and locations of fast food restaurants based upon the location of the tweets in a GIS environment opened new avenues for spatial analyses and mapping. Therefore the techniques used in this study provide a possible toolset for computational social scientists in general, and health researchers in specific, to better understand health problems from large conversational datasets.</t>
  </si>
  <si>
    <t>Guha, Rajarshi/C-9579-2009</t>
  </si>
  <si>
    <t>1523-0406</t>
  </si>
  <si>
    <t>10.1080/15230406.2013.776210</t>
  </si>
  <si>
    <t>WOS:000321452400004</t>
  </si>
  <si>
    <t>Gibson, CA; Endicott, D; Pritchard, CC</t>
  </si>
  <si>
    <t>Gibson, Cheryl A.; Endicott, Diana; Pritchard, Corie C.</t>
  </si>
  <si>
    <t>Improving Access in Food Deserts: A Case Study in an Urban Midwestern Neighborhood</t>
  </si>
  <si>
    <t>FASEB JOURNAL</t>
  </si>
  <si>
    <t>APR 20-24, 2013</t>
  </si>
  <si>
    <t>Boston, MA</t>
  </si>
  <si>
    <t>ASPET,British Pharmacol Soc (BPS)</t>
  </si>
  <si>
    <t>0892-6638</t>
  </si>
  <si>
    <t>WOS:000319883500513</t>
  </si>
  <si>
    <t>Reed, M; Dancy, B; Holm, K; Wilbur, J; Fogg, L</t>
  </si>
  <si>
    <t>Reed, Monique; Dancy, Barbara; Holm, Karyn; Wilbur, JoEllen; Fogg, Louis</t>
  </si>
  <si>
    <t>Eating Behaviors Among Early Adolescent African American Girls and Their Mothers</t>
  </si>
  <si>
    <t>JOURNAL OF SCHOOL NURSING</t>
  </si>
  <si>
    <t>African American (AA) girls aged 10-12 living in urban communities designated as food deserts have a significantly greater prevalence of overweight and obesity than girls that age in the general population. The purpose of our study was (a) to examine the agreement in nutritional intake between AA girls aged 10-12 and their mothers and (b) to determine if the girls' weight categories were associated with their or their mothers demographic characteristics, eating behaviors, nutritional intake, and health problem. A cross-sectional descriptive study was conducted in predominantly low-income AA communities in Chicago. Forty-three dyads of early adolescent AA girls and their mothers responded to food frequency and eating habits questionnaires. There was a strong and significant correlation between mother's and daughter's kilocalories consumed (r = .61). Our study suggests that interventions aimed at improving eating behaviors in early adolescent AA girls should include their mothers.</t>
  </si>
  <si>
    <t>1059-8405</t>
  </si>
  <si>
    <t>1546-8364</t>
  </si>
  <si>
    <t>10.1177/1059840513491784</t>
  </si>
  <si>
    <t>WOS:000329758400007</t>
  </si>
  <si>
    <t>Liese, AD; Barnes, TL; Lamichhane, AP; Hibbert, JD; Colabianchi, N; Lawson, AB</t>
  </si>
  <si>
    <t>Liese, Angela D.; Barnes, Timothy L.; Lamichhane, Archana P.; Hibbert, James D.; Colabianchi, Natalie; Lawson, Andrew B.</t>
  </si>
  <si>
    <t>Characterizing the Food Retail Environment: Impact of Count, Type, and Geospatial Error in 2 Secondary Data Sources</t>
  </si>
  <si>
    <t>Objective: Commercial listings of food retail outlets are increasingly used by community members and food policy councils and in multilevel intervention research to identify areas with limited access to healthier food. This study quantified the amount of count, type, and geospatial error in 2 commercial data sources. Methods: InfoUSA and Dun and Bradstreet were compared with a validated field census and validity statistics were calculated. Results: Considering only completeness, Dun and Bradstreet data undercounted 24% of existing supermarkets and grocery stores, and InfoUSA, 29%. In addition, considering accuracy of outlet type assignment increased the undercount error to 42% and 39%, respectively. Marked overcount existed as well, and only 43% of existing supermarkets were correctly identified with respect to presence, outlet type, and location. Conclusions and Implications: Relying exclusively on secondary data to characterize the food environment will result in substantial error. Whereas extensive data cleaning can offset some error, verification of outlets with a field census is still the method of choice.</t>
  </si>
  <si>
    <t>Colabianchi, Natalie/AAX-4395-2020; Barnes, Timothy/KFS-9359-2024</t>
  </si>
  <si>
    <t>Colabianchi, Natalie/0000-0002-7951-9475; Barnes, Timothy L./0000-0003-1428-4609</t>
  </si>
  <si>
    <t>SEP-OCT</t>
  </si>
  <si>
    <t>10.1016/j.jneb.2013.01.021</t>
  </si>
  <si>
    <t>WOS:000324751400009</t>
  </si>
  <si>
    <t>Lamont, WJ</t>
  </si>
  <si>
    <t>Jett, L</t>
  </si>
  <si>
    <t>Lamont, W. J., Jr.</t>
  </si>
  <si>
    <t>High Tunnel Construction and Production in a Large Metropolitan City</t>
  </si>
  <si>
    <t>INTERNATIONAL SYMPOSIUM ON HIGH TUNNEL HORTICULTURAL CROP PRODUCTION</t>
  </si>
  <si>
    <t>OCT 16-19, 2011</t>
  </si>
  <si>
    <t>State College, PA</t>
  </si>
  <si>
    <t>In partnership with community based organizations, personnel from the Department of Plant Science at Penn State University and Philadelphia County Cooperative Extension Office and through funding supplied by two USDA's Specialty Crops Block Grants administered by the Pennsylvania Department of Agriculture assisted with the purchase and/or construction of high tunnels. The goal was to provide hands-on training on construction, production and operation of these high tunnels to produce vegetable crops for an extended season even winter production of greens and other cool season such as root crops. This tend would help eliminate the food deserts that exist in the City of Philadelphia and to provide more fresh and nutritious specialty crops (vegetables/small fruits) to the underserved populations thus fighting obesity especially childhood obesity and the associated health ramifications. Urban farming is a rapidly growing and expanding movement in the United States and in particular Philadelphia. Half the population of the United States resides in or around urban areas and urban farming could contribute to increased food security, food safety, workforce development and entrepreneurship.</t>
  </si>
  <si>
    <t>978-90-66053-79-3</t>
  </si>
  <si>
    <t>WOS:000324543700005</t>
  </si>
  <si>
    <t>D'Ambrosio, JG; Faul, AC; Fields, M; Yankeelov, PA; Collins, W; Gordon, B</t>
  </si>
  <si>
    <t>D'Ambrosio, J. G.; Faul, A. C.; Fields, M.; Yankeelov, P. A.; Collins, W.; Gordon, B.</t>
  </si>
  <si>
    <t>FOOD DESERTS AND HEALTHY LIVING FOR OLDER ADULTS WITH DIABETES</t>
  </si>
  <si>
    <t>GERONTOLOGIST</t>
  </si>
  <si>
    <t>Collins, Wanda/HGB-9803-2022; Fox, Nick/AAE-1849-2021</t>
  </si>
  <si>
    <t>0016-9013</t>
  </si>
  <si>
    <t>1758-5341</t>
  </si>
  <si>
    <t>WOS:000327442103388</t>
  </si>
  <si>
    <t>Matson, J; Thayer, J</t>
  </si>
  <si>
    <t>Matson, James; Thayer, Jeremiah</t>
  </si>
  <si>
    <t>The role of food hubs in food supply chains</t>
  </si>
  <si>
    <t>The dramatic rise of the local foods market and the need for sustainable local food value chains has correspondingly led to innovative solutions designed to meet this burgeoning demand. Food hubs are just one of the local entities increasing in number across the U.S. and being used to facilitate a closer connection between producers and consumers. Despite their popularity and increasing numbers, there exists comparatively little systematic research regarding food hubs; for example, investigation into the primary impetus for the formation of food hubs and local food chains, best practices, demonstrated impacts on the community, coexistence with current food supply chains, food safety, and the long-term viability of such entities have been explored only minimally in current literature. This commentary provides a brief context to present relevant questions for further research in the emerging trend of food hubs.</t>
  </si>
  <si>
    <t>10.5304/jafscd.2013.034.004</t>
  </si>
  <si>
    <t>WOS:000439859800006</t>
  </si>
  <si>
    <t>Kazemzadeh, M</t>
  </si>
  <si>
    <t>Kazemzadeh, Max</t>
  </si>
  <si>
    <t>Postnational technollaboration within the postbiotanical village (an Apophenoetic Prophecy)</t>
  </si>
  <si>
    <t>TECHNOETIC ARTS</t>
  </si>
  <si>
    <t>Postnational, or after or more than national, is a world that connects the international with the local. Technollaboration, is how creative digital communities use technology to improve methods and environments for collaboration. Postbiotanical, after or more than biotanical, represents the future of human-centric collectives around farming and urban living and sustainability. Village, is ambiguous and raises the question how large is local, and how does a village-centric view impact the way we treat each other? Art traditionally functions as an environment for philosophical and creative activity that works to secure its borders from intruding dictatorial ethics, ideology, politics or dogma that might sully its aim to maintain its open arduous exploration of the clash between image and meaning, icon and significance, or perception and identity in reference to culture and history. Integrating technology into this discourse introduces a milieu of associations, expectations and conclusions about how technological innovation, practices and products should be steered, which can also influence what we both make and teach. The web has since evolved into a pervasively instantaneous space for more involved forms of communication (Google hangout), content sharing (SVN), publishing (blogs), community building (messageboards, Facebook), creative performance (Isadora) and more. Now creative interactive initiatives are not limited to merely making a statement or triggering a semiotic synapse, but rather can have a social impact, enacting, mobilizing and serving as a resource for the public. Telematic Art that includes the activities surrounding Digital Communities and their behaviour, does not merely provide an environment to discuss social issues, but embodies social interaction in ways in which new forms of collective expression can be realized. The development of telematics tools is empowering for the public while serving as a medium that influences how individuals interact. Between DIY/DIWO models, open source hardware, software, and creation initiatives, practivist initiatives, creative hacking ideologies, immersion, and web-based communication tools to localize the international collaborative workshop, I believe our formats for education and exchange are becoming more collective and empowering, and with the inclusion of digital social collaboration initiatives seen in myriad examples of Telematic Art, there exists the potential to motivate a mindset desiring new shifts in perception and making with the goals of serving the global community in significant and direct ways.</t>
  </si>
  <si>
    <t>1477-965X</t>
  </si>
  <si>
    <t>1758-9533</t>
  </si>
  <si>
    <t>10.1386/tear.11.3.253_1</t>
  </si>
  <si>
    <t>WOS:000416701500008</t>
  </si>
  <si>
    <t>Küpper, P; Eberhardt, W</t>
  </si>
  <si>
    <t>Kupper, Patrick; Eberhardt, Winfried</t>
  </si>
  <si>
    <t>Village shops: outdated or revived model? Relevance for local supply, social functions and economic viability</t>
  </si>
  <si>
    <t>STUDIES IN AGRICULTURAL ECONOMICS</t>
  </si>
  <si>
    <t>An increasing number of villages in many countries do not have any local supplier at all. In the retail sector of Germany, the large supermarket companies require at least 5,000 inhabitants in the catchment area to run a shop. The aim of this paper is to describe the contribution of village shops to local supply and social life as well as to assess their economic viability. Therefore, findings from a telephone survey of approximately 100 shop operators in Germany are presented. The results show the limited supply and social function of the shops as well as their precarious economic situation. Many shops only offer a small range of goods so that the coverage of basic needs is difficult and they are mostly visited for supplementary purchases. Most village shops provide a snack area as a meeting place, but these are relatively seldom used. The findings indicate that permanent public and civic support is required to sustain many small shops in small villages. Because of the market conditions, however, public initiatives cannot halt the trend towards increasing numbers of 'food deserts'; at best they can slow down the process. Where village shops cannot be sustained economically, home delivery services, mobile supermarkets or improved mobility services are feasible options for assuring local supply for less mobile people.</t>
  </si>
  <si>
    <t>Küpper, Patrick/ABA-4278-2020</t>
  </si>
  <si>
    <t>1418-2106</t>
  </si>
  <si>
    <t>10.7896/j.1229</t>
  </si>
  <si>
    <t>WOS:000217123000006</t>
  </si>
  <si>
    <t>Sage, JL; McCracken, VA; Sage, RA</t>
  </si>
  <si>
    <t>Sage, Jeremy L.; McCracken, Vicki A.; Sage, Rayna A.</t>
  </si>
  <si>
    <t>BRIDGING THE GAP: DO FARMERS' MARKETS HELP ALLEVIATE IMPACTS OF FOOD DESERTS?</t>
  </si>
  <si>
    <t>McCracken, Vicki/AAA-1854-2020</t>
  </si>
  <si>
    <t>10.1093/ajae/aat031</t>
  </si>
  <si>
    <t>WOS:000328253700019</t>
  </si>
  <si>
    <t>Widener, MJ; Farber, S; Neutens, T; Horner, MW</t>
  </si>
  <si>
    <t>Widener, Michael J.; Farber, Steven; Neutens, Tijs; Horner, Mark W.</t>
  </si>
  <si>
    <t>Using urban commuting data to calculate a spatiotemporal accessibility measure for food environment studies</t>
  </si>
  <si>
    <t>Improving spatial access to healthy foods in urban regions is recognized as an important component of reducing the prevalence of chronic illness and achieving better health outcomes. Previously, researchers exploring this domain have calculated accessibility measures derived from the travel cost from home locations to nearby food stores. This approach disregards additional opportunities that present themselves as residents move throughout the city. A time-geographic accessibility measure is utilized to explore how single-occupancy automobile commuting affords access to supermarkets. Results show residents in some TAZs have more access when accounting for their commuting behavior than when measuring access from their home. This finding suggests more nuanced calculations of accessibility are necessary to fully understand which urban populations have greater access to healthy food. (C) 2013 Elsevier Ltd. All rights reserved.</t>
  </si>
  <si>
    <t>Neutens, Tijs/A-8623-2015; Widener, Michael/ABH-3668-2020; Farber, Steven/L-9356-2013</t>
  </si>
  <si>
    <t>Widener, Michael/0000-0003-3312-6710; Farber, Steven/0000-0002-3870-5984</t>
  </si>
  <si>
    <t>10.1016/j.healthplace.2013.01.004</t>
  </si>
  <si>
    <t>WOS:000317266200001</t>
  </si>
  <si>
    <t>Pitts, SBJ; Bringolf, KR; Lloyd, CL; McGuirt, JT; Lawton, KK; Morgan, J</t>
  </si>
  <si>
    <t>Pitts, Stephanie B. Jilcott; Bringolf, Karamie R.; Lloyd, Cameron L.; McGuirt, Jared T.; Lawton, Katherine K.; Morgan, Jo</t>
  </si>
  <si>
    <t>Formative Evaluation for a Healthy Corner Store Initiative in Pitt County, North Carolina: Engaging Stakeholders for a Healthy Corner Store Initiative, Part 2</t>
  </si>
  <si>
    <t>Introduction We examined the feasibility of increasing access to healthful food in corner stores to inform a Communities Putting Prevention to Work (CPPW) initiative by engaging stakeholders (corner store owners and customers) in a formative evaluation. Methods Qualitative interviews were conducted with corner store owners and managers (n = Customer intercept surveys (n = 179) were also conducted with customers of 9 stores. Corner stores were located in rural food deserts (municipalities without a chain supermarket) and in low-income, urban municipalities in eastern North Carolina. Interviews were transcribed verbatim and double-coded. Qualitative themes related to feasibility of increasing access to healthful foods were extracted. Shopping patterns of rural and urban customers were compared by using t tests. Results Corner store owners were willing to stock more healthful foods, but they perceived that customer demand for these foods was low. Rural customers reported more frequently shopping at corner stores than urban customers and more frequently stated that the reason they do not eat more fruits and vegetables is that the stores in which they shop do not sell them. Most customers reported they would be very or somewhat likely to purchase fresh produce at a corner store. Conclusion Corner stores may be an important source of food for rural and low-income residents and thus a good place in which to intervene. The results of this formative evaluation were used to plan and evaluate a CPPW healthy corner store initiative.</t>
  </si>
  <si>
    <t>10.5888/pcd10.120319</t>
  </si>
  <si>
    <t>WOS:000329392200012</t>
  </si>
  <si>
    <t>Too much food and too little sidewalk? Problematizing the obesogenic environment thesis</t>
  </si>
  <si>
    <t>ENVIRONMENT AND PLANNING A-ECONOMY AND SPACE</t>
  </si>
  <si>
    <t>The obesogenic environment thesis is that increased prevalence of obesity is because people are surrounded by cheap, fast, nutritionally inferior food and a built environment that discourages physical activity. This thesis has animated various planning, advocacy, and educational interventions to address these obesogenic qualities. However, studies designed to test the thesis have generated inconclusive or marginal results, and the more robust findings may be based on spurious correlations. Part of the problem is methodological: researchers embed many assumptions in their models and derive causality from unexamined correlation. As such, they neglect the possibility that features of the built environment may be as much an effect of sociospatial patterning as a cause. In addition, in embedding taken-for-granted assumptions about the causes of obesity-namely, the energy-balance model these studies foreclose alternative explanations, including the possible role of environmental toxins. This approach to studying the obesogenic environment is a textbook example of problem closure, in which a specific definition of a problem and socially acceptable solutions are used to frame the study of the problem's causes and consequences.</t>
  </si>
  <si>
    <t>1472-3409</t>
  </si>
  <si>
    <t>10.1068/a45130</t>
  </si>
  <si>
    <t>WOS:000316035100013</t>
  </si>
  <si>
    <t>JOURNAL OF ETHNOBIOLOGY</t>
  </si>
  <si>
    <t>0278-0771</t>
  </si>
  <si>
    <t>2162-4496</t>
  </si>
  <si>
    <t>FAL-WIN</t>
  </si>
  <si>
    <t>Kyureghian, G; Nayga, RM; Bhattacharya, S</t>
  </si>
  <si>
    <t>Kyureghian, Gayaneh; Nayga, Rodolfo M., Jr.; Bhattacharya, Suparna</t>
  </si>
  <si>
    <t>The Effect of Food Store Access and Income on Household Purchases of Fruits and Vegetables: A Mixed Effects Analysis</t>
  </si>
  <si>
    <t>This paper combines national-level retail food availability information with data on actual purchases to determine the effect that availability of different types of food stores and income have on fruit and vegetable purchases. The results of our mixed effects analysis suggest that the densities of supermarkets and other retail outlets in metropolitan statistical areas do not have significant effects on household fruit and vegetable purchases. Income, however, has a positive significant effect on fruit and vegetable purchases. Results also indicate that while neither food access nor income account for the variability in fruit and vegetable purchases, the interaction of these terms has a small but significant impact indicating that policy actions designed to address access and affordability issues in isolation are not likely to succeed.</t>
  </si>
  <si>
    <t>10.1093/aepp/pps043</t>
  </si>
  <si>
    <t>WOS:000315159000005</t>
  </si>
  <si>
    <t>Leschewski, AM; Weatherspoon, DD</t>
  </si>
  <si>
    <t>Leschewski, Andrea Marie; Weatherspoon, Dave D.</t>
  </si>
  <si>
    <t>Fast Food Restaurant Pricing Strategies in Michigan Food Deserts</t>
  </si>
  <si>
    <t>INTERNATIONAL FOOD AND AGRIBUSINESS MANAGEMENT REVIEW</t>
  </si>
  <si>
    <t>The academic literature primarily focuses on the lack of access to affordable, healthy food in food deserts. However, the behavior of the fast food firms in terms of promotions and pricing within food deserts is not well understood. This study uses food desert - non-food desert match design of census blocks to determine how the pricing strategies of fast food restaurant managers in Michigan food deserts differ by location, ownership, and restaurant characteristics. Results show that while restaurants located in food deserts and non-food deserts offer similar amenities, have similar ownership structures, and have similar business approaches, higher prices are charged for select food items at restaurants located in food deserts.</t>
  </si>
  <si>
    <t>Leschewski, Andrea/0000-0003-0376-6776</t>
  </si>
  <si>
    <t>1559-2448</t>
  </si>
  <si>
    <t>A</t>
  </si>
  <si>
    <t>WOS:000331998100009</t>
  </si>
  <si>
    <t>Frndak, SE</t>
  </si>
  <si>
    <t>Frndak, Seth E.</t>
  </si>
  <si>
    <t>JOURNAL OF PUBLIC HEALTH RESEARCH</t>
  </si>
  <si>
    <t>Background. This ecological study examines the relationship between food desert prevalence and academic achievement at the school district level. Design and methods. Sample included 232 suburban and urban school districts in New York State. Multiple open-source databases were merged to obtain: 4th grade science, English and math scores, school district demographic composition (NYS Report Card), regional socioeconomic indicators (American Community Survey), school district quality (US Common Core of Data), and food desert data (USDA Food Desert Atlas). Multiple regression models assessed the percentage of variation in achievement scores explained by food desert variables, after controlling for additional predictors. Results. The proportion of individuals living in food deserts significantly explained 4th grade achievement scores, after accounting for additional predictors. School districts with higher proportions of individuals living in food desert regions demonstrated lower 4th grade achievement across science, English and math. Conclusions. Food deserts appear to be related to academic achievement at the school district level among urban and suburban regions. Further research is needed to better understand how food access is associated with academic achievement at the individual level.</t>
  </si>
  <si>
    <t>Frndak, Seth/0000-0002-2049-2204</t>
  </si>
  <si>
    <t>2279-9028</t>
  </si>
  <si>
    <t>2279-9036</t>
  </si>
  <si>
    <t>10.4081/jphr.2014.319</t>
  </si>
  <si>
    <t>WOS:000214686900006</t>
  </si>
  <si>
    <t>Krizan, F; Bilková, K; Zubriczky, G; Riska, M; Barlík, P</t>
  </si>
  <si>
    <t>Krizan, Frantisek; Bilkova, Kristina; Zubriczky, Gabriel; Riska, Martin; Barlik, Peter</t>
  </si>
  <si>
    <t>IDENTIFICATION AND MAPPING OF FOOD DESERTS IN RURAL AREAS: A CASE STUDY FROM SLOVAKIA</t>
  </si>
  <si>
    <t>GEOGRAPHIA TECHNICA</t>
  </si>
  <si>
    <t>The paper focuses on answers to these questions: What are food deserts? How to analyze food deserts? Where are food deserts? Is there some practical significance to identify them? Food deserts were mapped in the rural villages of functional urban region of Bratislava. The binary accessibility measure using GIS tools was applied to identify food deserts.</t>
  </si>
  <si>
    <t>Bilkova, Kristina/0000-0002-8912-4450; Krizan, Frantisek/0000-0003-4969-4587</t>
  </si>
  <si>
    <t>1842-5135</t>
  </si>
  <si>
    <t>2065-4421</t>
  </si>
  <si>
    <t>WOS:000219420500006</t>
  </si>
  <si>
    <t>Widener, MJ; Shannon, J</t>
  </si>
  <si>
    <t>Widener, Michael J.; Shannon, Jerry</t>
  </si>
  <si>
    <t>When are food deserts? Integrating time into research on food accessibility</t>
  </si>
  <si>
    <t>The food desert concept is used as a means for defining regions as having inadequate spatial and socioeconomic access to vendors selling nutritious foods. This primarily aggregate-level and static method for understanding the food environment is commonly used by researchers and policy makers seeking to improve health outcomes of those affected by reduced access. However, recent research findings have brought the association between living in a food desert and adverse health outcomes into question. In this viewpoint, we put forward the idea that the food desert concept, and food accessibility research more generally, should be expanded to include a temporal component, and note potential avenues for future research. (C) 2014 Elsevier Ltd. All rights reserved,</t>
  </si>
  <si>
    <t>Widener, Michael/ABH-3668-2020</t>
  </si>
  <si>
    <t>Shannon, Jerry/0000-0001-9145-6561; Widener, Michael/0000-0003-3312-6710</t>
  </si>
  <si>
    <t>10.1016/j.healthplace.2014.07.011</t>
  </si>
  <si>
    <t>WOS:000345527200001</t>
  </si>
  <si>
    <t>Pine, A; Bennett, J</t>
  </si>
  <si>
    <t>Pine, Adam; Bennett, John</t>
  </si>
  <si>
    <t>Food access and food deserts: the diverse methods that residents of a neighborhood in Duluth, Minnesota use to provision themselves</t>
  </si>
  <si>
    <t>COMMUNITY DEVELOPMENT</t>
  </si>
  <si>
    <t>Using data from a survey of residents living in a United States Department of Agriculture defined food desert in Duluth, Minnesota, this article examines the diverse ways that people living in a neighborhood without a grocery store feed themselves. We found that there is no singular experience of living in a food desert. Many neighborhood residents were highly mobile and shopped at a wide variety of local grocery stores, and a small group of neighborhood residents without cars relied on public transit, neighborhood convenience stores, and borrowing vehicles in order to provision themselves. These coping strategies were expensive and time-consuming, especially for the most vulnerable members of the community such as single parents and those without cars. We use the variety of experiences of people living in a food desert to propose interventions that would help improve food access in the community.</t>
  </si>
  <si>
    <t>1557-5330</t>
  </si>
  <si>
    <t>1944-7485</t>
  </si>
  <si>
    <t>10.1080/15575330.2014.930501</t>
  </si>
  <si>
    <t>WOS:000212564300003</t>
  </si>
  <si>
    <t>Wang, HL; Qiu, F; Swallow, B</t>
  </si>
  <si>
    <t>Wang, Haoluan; Qiu, Feng; Swallow, Brent</t>
  </si>
  <si>
    <t>Can community gardens and farmers' markets relieve food desert problems? A study of Edmonton, Canada</t>
  </si>
  <si>
    <t>This article integrates community gardens and farmers' markets into a spatial analysis of food deserts in the City of Edmonton, Canada. Our results show that community gardens and farmers' markets can improve fresh food accessibility and help relieve food desert problems to some extent, especially for mature, inner-suburban neighborhoods. However, based on the minimum road network distance and high need indicators, four neighborhoods throughout the city can still be considered as food deserts even after farmers' markets and community gardens are taken into consideration. Regression results reveal that community gardens tend to cluster with supermarkets, so that neighborhoods that have poor access to supermarkets also tend to have limited access to community gardens. (C) 2014 Elsevier Ltd. All rights reserved.</t>
  </si>
  <si>
    <t>Wang, Haoluan/IFC-9795-2023</t>
  </si>
  <si>
    <t>Qiu, Feng/0000-0001-8273-8567; Wang, Haoluan/0000-0001-8414-528X</t>
  </si>
  <si>
    <t>10.1016/j.apgeog.2014.09.010</t>
  </si>
  <si>
    <t>WOS:000346891500013</t>
  </si>
  <si>
    <t>Shannon, J</t>
  </si>
  <si>
    <t>Shannon, Jerry</t>
  </si>
  <si>
    <t>Food deserts: Governing obesity in the neoliberal city</t>
  </si>
  <si>
    <t>PROGRESS IN HUMAN GEOGRAPHY</t>
  </si>
  <si>
    <t>Studies of food deserts', neighborhoods in which healthy food is expensive and/or difficult to find, have received much recent political attention. These studies reflect the popularity of a social ecology in public health, rising concerns over an obesity epidemic', and the increasing ease of spatial analysis using geographic information systems (GIS). This paper critically examines these areas, arguing that work on food deserts is a spatialized form of neoliberal paternalism that bounds health problems within low-income communities. Alternative analyses of the urban food landscape, based on work in political ecology and critical GIS, may suggest more equitable paths forward.</t>
  </si>
  <si>
    <t>Shannon, Jerry/0000-0001-9145-6561</t>
  </si>
  <si>
    <t>0309-1325</t>
  </si>
  <si>
    <t>1477-0288</t>
  </si>
  <si>
    <t>10.1177/0309132513484378</t>
  </si>
  <si>
    <t>WOS:000332616600004</t>
  </si>
  <si>
    <t>Grauel, K; Chambers, KJ</t>
  </si>
  <si>
    <t>Grauel, Katie; Chambers, Kimberlee J.</t>
  </si>
  <si>
    <t>FOOD DESERTS AND MIGRANT FARMWORKERS: ASSESSING FOOD ACCESS IN OREGON'S WILLAMETTE VALLEY</t>
  </si>
  <si>
    <t>Food insecurity, often correlated with food deserts, affects migrant and seasonal farmworkers (MSFW) at greater rates than other populations. Our research evaluates the food desert experiences of MSFW communities in Oregon's Willamette Valley. Through GIS mapping, interviews with MSFW, and food retailer inventories, our research helps elucidate the degree to which the geographical distribution of food retailers and the products they carry affects MSFW. Access to food retailers was assessed for distances of 0.25, 1.5, 5, and 10 miles. Mapping locations of registered MSFW labor camps (n=62) and food retailers (n=215) in the Willamette Valley revealed access to a food retailer within 0.25 mile for one labor camp and 1.5 miles for 46% of camps. All MSFW camps had access to a food retailer within 5 miles. Our research further suggests that using distance alone to determine food deserts may be deceptive as these numbers do not show the types of food retailers and challenges that MSFW in rural labor camps, who often lack access to personal vehicles and public transit, encounter when shopping for nutritionally and culturally appropriate foods. Migrant and seasonal farmworkers in the Willamette Valley experience significant physical and economic barriers to food access, especially culturally appropriate foods.</t>
  </si>
  <si>
    <t>10.2993/0278-0771-34.2.228</t>
  </si>
  <si>
    <t>WOS:000338635400005</t>
  </si>
  <si>
    <t>LeClair, MS; Aksan, AM</t>
  </si>
  <si>
    <t>LeClair, Mark S.; Aksan, Anna-Maria</t>
  </si>
  <si>
    <t>Redefining the food desert: combining GIS with direct observation to measure food access</t>
  </si>
  <si>
    <t>As public and private resources are increasingly being directed towards the elimination of food deserts in urban areas, proper measurement of food access is essential. Amelioration has been approached through the use of farmers markets, virtual grocery stores, and corner store programs, but properly situating these assets in neighborhoods in need requires localized data on both the location and content of food outlets and the populations served. This paper examines the reliability of current techniques for identifying food deserts, and identifies some of the flaws in those approaches. Information derived from geographic information systems (GIS) mapping is the predominant means of determining food availability. In this study, food access in Bridgeport, CT, is examined utilizing both computer-based GIS mapping and on-the-ground observations. While the GIS output indicates generalized food accessibility issues, supplementation by survey data reduces the geographic extent of the food desert problem. Still, nearly 60,000 people (40 % of the population) reside in neighborhoods served only by small retailers who provide few healthy food options, and those at inflated prices. The high opportunity cost of travelling by bus to a major grocery store may outweigh the direct cost savings, and residents choose to consume locally available but unhealthy foods.</t>
  </si>
  <si>
    <t>Aksan, Anna-Maria/GON-8090-2022</t>
  </si>
  <si>
    <t>10.1007/s10460-014-9501-y</t>
  </si>
  <si>
    <t>WOS:000344799700001</t>
  </si>
  <si>
    <t>Weatherspoon, DD; Oehmke, JF; Coleman, MA; Weatherspoon, LJ</t>
  </si>
  <si>
    <t>Weatherspoon, Dave D.; Oehmke, James F.; Coleman, Marcus A.; Weatherspoon, Lorraine J.</t>
  </si>
  <si>
    <t>Understanding Consumer Preferences for Nutritious Foods: Retailing Strategies in a Food Desert</t>
  </si>
  <si>
    <t>Demand and access to affordable, nutritious food are major concerns in food deserts. Primary data from Detroit, Michigan was analyzed to understand demand for fresh fruits and vegetables (FFV) as a proxy for determining the factors that influence healthy food consumption. Logistic analysis showed that those who could not afford FFV, or share food with others had a lower propensity to consume FFV and that consumers who shop frequently, eat healthy, are food secure, or are able to travel to suburban supermarkets had a higher propensity to consume FFV. Recommendations for policy makers and retailer strategies are detailed.</t>
  </si>
  <si>
    <t>WOS:000331998100005</t>
  </si>
  <si>
    <t>Liese, AD; Hibbert, JD; Ma, XG; Bell, BA; Battersby, SE</t>
  </si>
  <si>
    <t>Liese, Angela D.; Hibbert, James D.; Ma, Xiaoguang; Bell, Bethany A.; Battersby, Sarah E.</t>
  </si>
  <si>
    <t>Where Are the Food Deserts? An Evaluation of Policy-Relevant Measures of Community Food Access in South Carolina</t>
  </si>
  <si>
    <t>Several recent US policies target spatial access to healthier food retailers. We evaluated 2 measures of community food access developed by 2 different agencies using a 2009 food environment validation study in South Carolina as a reference. Whereas the US Department of Agriculture Economic Research Service's (USDA ERS) measure designated 22.5% of census tracts as food deserts, the Centers for Disease Control and Prevention's (CDC) measure designated 29.0% as non-healthier retail tracts; 71% of tracts were designated consistently between USDA ERS and CDC. Our findings suggest a need for greater harmonization of these measures of community food access.</t>
  </si>
  <si>
    <t>Bell, Bethany/AAV-6917-2021; Ma, Xiaoguang/ABI-4962-2020</t>
  </si>
  <si>
    <t>10.1080/19320248.2013.873009</t>
  </si>
  <si>
    <t>WOS:000214695300002</t>
  </si>
  <si>
    <t>Molina-Saldarriaga, CA; Restrepo-Yepes, OC; Giraldo-Ramírez, DP</t>
  </si>
  <si>
    <t>Molina-Saldarriaga, Cesar Augusto; Restrepo-Yepes, Olga Cecilia; Giraldo-Ramirez, Diana Patricia</t>
  </si>
  <si>
    <t>FOOD DESERTS: CONCEPTUAL APPROACHES TO LEGAL STUDIES OF THE PROBLEM OF HUNGER</t>
  </si>
  <si>
    <t>RATIO JURIS</t>
  </si>
  <si>
    <t>The protection of the right to food in the Colombian context has not been clear. The nature of the Law and its scope of protection force to study strategies that overcome the one-dimensional views of the legal discipline about its recognition, protection and warranty. The studies on the foodstuff phenomena have given appearance to the term 'Food Deserts'. This offers important points of reflection related to the Wright to Food; nevertheless, in Colombia, such studies on the topic are inexistent. From a survey of the art state on food deserts, it is analyzed the it relation to the Right to food, aiming to the analyze the importance of studies an strategies of attention, those with an holistic and interdisciplinary, from the wright to take care of food problems. It is concluded that the foodstuff related phenomena are complex, and those require multidimensional approaches and the transformation of the legal culture to take care of food problems.</t>
  </si>
  <si>
    <t>Molina-Saldarriaga, César/AFO-8194-2022; Restrepo-Yepes, Olga/J-3776-2016</t>
  </si>
  <si>
    <t>1794-6638</t>
  </si>
  <si>
    <t>JUL-DEC</t>
  </si>
  <si>
    <t>10.24142/raju.v9n19a3</t>
  </si>
  <si>
    <t>WOS:000210446900004</t>
  </si>
  <si>
    <t>Farber, S; Morang, MZ; Widener, MJ</t>
  </si>
  <si>
    <t>Farber, Steven; Morang, Melinda Z.; Widener, Michael J.</t>
  </si>
  <si>
    <t>Temporal variability in transit-based accessibility to supermarkets</t>
  </si>
  <si>
    <t>Food desert studies attempt to identify geographic areas in which people lack access to sources of healthy food. While academic and policy research often defines access to food stores using simple Euclidean distance or road network metrics, dense urban areas with large public transit systems call for more sophisticated methods of determining access. It is particularly important to understand the level of access the transit-dependent population has to healthy food vendors, as their mobility is largely constrained by the routes and scheduling of their local public transportation system. In this study, we analyze public transit access to supermarkets in Cincinnati, Ohio. Using General Transit Feed Specification (GTFS) data from the Southwest Ohio Regional Transit Authority (SORTA) and the Transit Authority of Northern Kentucky (TANK) and custom ArcGIS tools, we calculate the time it takes to travel from each Cincinnati census block to its nearest supermarkets at different times of the day. This transit-travel-time matrix allows us to investigate food deserts that change shape based on the time of day considered and to calculate the temporal variability in block-level access. Also, by combining this time-dependent analysis with census data on race, income, and age, we search for disparities in average levels of accessibility. The results of this analysis identify the areas and subpopulations in Cincinnati with the greatest need for improved access to healthy food stores and will demonstrate how schedule-dependent transportation can be factored into measures of accessibility. Ultimately, this study paints a more complete and realistic picture of food deserts in Cincinnati and helps policy-makers better target interventions aimed at mitigating their effects. (C) 2014 Elsevier Ltd. All rights reserved.</t>
  </si>
  <si>
    <t>Widener, Michael/ABH-3668-2020; Farber, Steven/ABE-6061-2021; Farber, Steven/L-9356-2013</t>
  </si>
  <si>
    <t>Farber, Steven/0000-0002-3870-5984; Widener, Michael/0000-0003-3312-6710</t>
  </si>
  <si>
    <t>10.1016/j.apgeog.2014.06.012</t>
  </si>
  <si>
    <t>WOS:000342529700014</t>
  </si>
  <si>
    <t>Li, KY; Cromley, EK; Fox, AM; Horowitz, CR</t>
  </si>
  <si>
    <t>Li, Kathleen Y.; Cromley, Ellen K.; Fox, Ashley M.; Horowitz, Carol R.</t>
  </si>
  <si>
    <t>Evaluation of the Placement of Mobile Fruit and Vegetable Vendors to Alleviate Food Deserts in New York City</t>
  </si>
  <si>
    <t>Introduction In 2008, the New York City (NYC) health department licensed special mobile produce vendors (Green Carts) to increase access to fruits and vegetables in neighborhoods with the lowest reported fruit and vegetable consumption and the highest obesity rates. Because economic incentives may push vendors to locate in more trafficked, less produce-deprived areas, we examined characteristics of areas with and without Green Carts to explore whether Carts are positioned to reach the intended populations. Methods Using ArcGIS software, we mapped known NYC Green Cart locations noted through 2013 and generated a list of potential (candidate) sites where Carts could have located. We compared the food environment (via categorizing healthy or unhealthy food stores using federal classification codes corroborated by online storefront images) and other factors that might explain Cart location (eg, demographic, business, neighborhood characteristics) near actual and candidate sites descriptively and inferentially. Results Seven percent of Green Carts (n = 265) were in food deserts (no healthy stores within one-quarter mile) compared with 36% of candidate sites (n = 644, P &lt; .001). Most Carts (78%) were near 2 or more healthy stores. Green Carts had nearly 60 times the odds of locating near subway stops (P &lt;.001), were closer to large employers (odds ratio [OR], 6.4; P &lt; .001), other food stores (OR, 14.1; P &lt; .001), and in more populous tracts (OR, 2.9, P &lt;. 01) compared with candidate sites. Conclusion Green Carts were rarely in food deserts and usually had multiple healthy stores nearby, suggesting that Carts may not be serving the neediest neighborhoods. Exploration of Carts' benefits in non-food desert areas is needed, but incentivizing vendors to locate in still-deprived places may increase program impact.</t>
  </si>
  <si>
    <t>Fox, Ashley/JXM-3309-2024</t>
  </si>
  <si>
    <t>Fox, Ashley/0000-0003-4106-7853; Li, Kathleen/0000-0001-5268-5628</t>
  </si>
  <si>
    <t>E158</t>
  </si>
  <si>
    <t>10.5888/pcd11.140086</t>
  </si>
  <si>
    <t>WOS:000343522400008</t>
  </si>
  <si>
    <t>Food Desertification: Situating Choice and Class Relations within an Urban Political Economy of Declining Food Access</t>
  </si>
  <si>
    <t>STUDIES IN SOCIAL JUSTICE</t>
  </si>
  <si>
    <t>While food deserts create whole sets of tangible consequences for people living within them, the problem has yet to be the subject of much normative, in-depth evaluation as an urban political economy of food access. This paper provides a critical analysis of a specific food desert and its responses, drawing on a case study of the low-income, spatially segregated North End of the small city of Kingston, Ontario, Canada. The main thrust of the paper is that the food desert remains a useful yet underexplored phenomenon through which to reveal the complexities and tensions surrounding the treatment of choice in a classed society. Understood as an urban political economy of declining food access, the food desert phenomenon reveals capital's complex role in the promotion or violation of dignity through the urban geographies of acquiring food for oneself, family, or household. Through the data presented here, the article also argues for a collective pause among critical scholars to radicalize, rather than reject, the role of consumer choice in a more just food system, and for further normative engagement with urban landscapes of retail consolidation.</t>
  </si>
  <si>
    <t>1911-4788</t>
  </si>
  <si>
    <t>10.26522/ssj.v8i2.1034</t>
  </si>
  <si>
    <t>WOS:000219800400006</t>
  </si>
  <si>
    <t>Majnik, A; Gunn, V; Fu, Q; Lane, RH</t>
  </si>
  <si>
    <t>Majnik, Amber; Gunn, Veronica; Fu, Qi; Lane, Robert H.</t>
  </si>
  <si>
    <t>Epigenetics: an accessible mechanism through which to track and respond to an obesogenic environment</t>
  </si>
  <si>
    <t>EXPERT REVIEW OF ENDOCRINOLOGY &amp; METABOLISM</t>
  </si>
  <si>
    <t>Obesity and its consequences impact everyone. Obesity occurs because of an interaction between an obesogenic environment and genetics. In order to confront obesity, we must understand the contribution of each of these components. Environmental influences on obesity include our extrinsic environment, such as food deserts, as well as our intrinsic environment, like perinatal exposures. Epigenetics provides a biological mechanism to reveal the accumulation of extrinsic and intrinsic environmental exposures from fetal life to adulthood. Human and animal studies demonstrate changes in epigenetic modifications which are associated with an obesogenic environment. Furthermore, evidence exists in humans and animal models that suggest environmental epigenetics may serve as a biomarker or a target for intervention. To successfully target obesity, we must intervene on an environmental as well as genetic level. Combating food deserts for example will help to change the extrinsic environment, while targeting epigenetic modification remains a goal for changing our biology.</t>
  </si>
  <si>
    <t>Fu, Qi/HTT-2030-2023</t>
  </si>
  <si>
    <t>1744-6651</t>
  </si>
  <si>
    <t>1744-8417</t>
  </si>
  <si>
    <t>10.1586/17446651.2014.949241</t>
  </si>
  <si>
    <t>WOS:000420064400007</t>
  </si>
  <si>
    <t>Lane, RH</t>
  </si>
  <si>
    <t>Lane, Robert H.</t>
  </si>
  <si>
    <t>Fetal Programming, Epigenetics, and Adult Onset Disease</t>
  </si>
  <si>
    <t>CLINICS IN PERINATOLOGY</t>
  </si>
  <si>
    <t>How early life events program adult disease is undergoing a transition from the broad field of maternal malnutrition to the current relevant issues of food deserts and prematurity. Although many adult diseases and morbidities associate with various early life events and programming, the morbidities of insulin resistance, cardiovascular disease, and obesity seem to be common end points of many early life events despite potential confounders.</t>
  </si>
  <si>
    <t>0095-5108</t>
  </si>
  <si>
    <t>1557-9840</t>
  </si>
  <si>
    <t>+</t>
  </si>
  <si>
    <t>10.1016/j.clp.2014.08.006</t>
  </si>
  <si>
    <t>WOS:000346216900007</t>
  </si>
  <si>
    <t>Hilbert, N; Evans-Cowley, J; Reece, J; Rogers, C; Ake, W; Hoy, C</t>
  </si>
  <si>
    <t>Hilbert, Nathan; Evans-Cowley, Jennifer; Reece, Jason; Rogers, Christy; Ake, Wendy; Hoy, Casey</t>
  </si>
  <si>
    <t>Mapping the cost of a balanced diet, as a function of travel time and food price</t>
  </si>
  <si>
    <t>We present a new method for analyzing spatial variation in the cost of a balanced diet, as an alternative to food desert classification. Our specific hypothesis is that the cost of a balanced diet varies according to where one lives, as a function of travel and food item costs. We collected price data for the USDA Thrifty Food Plan from approximately 30 percent of food retail outlets of various kinds in the three Gulf Coast counties of Mississippi, and these prices were extrapolated to the remaining stores. Transportation costs were calculated for both driving by automobile and the combination of walking and public transportation by bus, accounting for both the shoppers' time and the cost of automobile mileage. We developed a traveling purchaser problem algorithm to estimate the lowest-cost combination of travel and food costs for purchasing all items in the Thrifty Food Plan for each residential parcel in the study area, and mapped the resulting costs and examined their variation. Estimated costs varied more because of transportation costs than food prices, and ranged from US$109 to US$215 for automobile travel and from US$111 to US$439 for a combination of walking and public transportation. In general, costs were lowest in the more populated areas near the coast and higher in more rural areas further inland. Results of this analysis demonstrate that the cost of acquiring a balanced diet varies considerably and more or less continuously. Food is not equally cheap for all; it depends on where one lives. For any given location, an estimate of the cost of a balanced diet, including both food price and transportation, is more useful than a classification as food desert or not in understanding access issues and needs. Furthermore, policy alternatives that are intended to influence access should be evaluated based on how much they influence costs, and for whom, depending on where people live.</t>
  </si>
  <si>
    <t>Reece, Jason/AAF-2383-2019</t>
  </si>
  <si>
    <t>10.5304/jafscd.2014.051.010</t>
  </si>
  <si>
    <t>WOS:000439886200010</t>
  </si>
  <si>
    <t>Zepeda, L; Reznickova, A; Lohr, L</t>
  </si>
  <si>
    <t>Zepeda, Lydia; Reznickova, Anna; Lohr, Luanne</t>
  </si>
  <si>
    <t>Overcoming challenges to effectiveness of mobile markets in US food deserts</t>
  </si>
  <si>
    <t>The purpose of this research is to investigate whether mobile food markets may be effective in facilitating healthy food choices in food deserts. We investigate who does and does not use mobile food markets and why, and whether mobile markets have the potential to alter attitudes and food choices, and if so, how? We use a focus group study at four sites in the US to ask groups of mobile market shoppers and non-shoppers about their shopping, cooking, and eating attitudes and behaviors. We find that mobile market shoppers eat significantly more servings of fruits and vegetables, however, both shoppers and non-shoppers perceive fruits and vegetables as luxury items, and both groups lack knowledge about what is a serving and what is the recommended number of servings per day. Both groups identified the following needs for mobile markets to be more successful increased awareness and advertising; affordability; improved convenience by offering more stops and hours, as well as greater variety of items for one-stop shopping; emphasis on value and service; and building trust within communities. (C) 2014 Elsevier Ltd. All rights reserved.</t>
  </si>
  <si>
    <t>Lohr, Luanne/0000-0003-4756-2599; Zepeda, Lydia/0000-0002-0950-2344</t>
  </si>
  <si>
    <t>AUG 1</t>
  </si>
  <si>
    <t>10.1016/j.appet.2014.03.026</t>
  </si>
  <si>
    <t>WOS:000337879900008</t>
  </si>
  <si>
    <t>Ken, I</t>
  </si>
  <si>
    <t>Ken, Ivy</t>
  </si>
  <si>
    <t>Profit in the Food Desert: Walmart Stakes its Claim</t>
  </si>
  <si>
    <t>THEORY IN ACTION</t>
  </si>
  <si>
    <t>Efforts to ensure that people in all neighborhoods have access to healthy, affordable food are essential in the movement for food justice. An organization called the Partnership for a Healthier America has taken on food access as one of its five core areas, and because this organization has the backing of high-profile state representatives and considerable resources, its efforts matter. The Partnership's biggest accomplishments to date involve negotiating meaningful commitments from private-sector actors, including the biggest food retailer in the United States, Walmart. In this paper I examine the terms of Walmart's pledge to the Partnership for a Healthier America, and question whether the commitment from this massive corporation is likely to contribute to or obstruct actual food justice. I argue that the relationships this non-profit organization cultivates between the state and the private-sector insulate an entity such as Walmart from regulatory scrutiny, and generate positive publicity and good will for a company that may be doing little more than expanding its market. (C) 2014 by The Transformative Studies Institute. All rights reserved.</t>
  </si>
  <si>
    <t>Ken, Ivy/ITV-2359-2023</t>
  </si>
  <si>
    <t>Ken, Ivy/0000-0002-5447-1524</t>
  </si>
  <si>
    <t>1937-0229</t>
  </si>
  <si>
    <t>1937-0237</t>
  </si>
  <si>
    <t>10.3798/tia.1937-0237.14025</t>
  </si>
  <si>
    <t>WOS:000442926100002</t>
  </si>
  <si>
    <t>Ghosh-Dastidar, B; Cohen, D; Hunter, G; Zenk, SN; Huang, C; Beckman, R; Dubowitz, T</t>
  </si>
  <si>
    <t>Ghosh-Dastidar, Bonnie; Cohen, Deborah; Hunter, Gerald; Zenk, Shannon N.; Huang, Christina; Beckman, Robin; Dubowitz, Tamara</t>
  </si>
  <si>
    <t>Distance to Store, Food Prices, and Obesity in Urban Food Deserts</t>
  </si>
  <si>
    <t>Background: Lack of access to healthy foods may explain why residents of low-income neighborhoods and African Americans in the U.S. have high rates of obesity. The findings on where people shop and how that may influence health are mixed. However, multiple policy initiatives are underway to increase access in communities that currently lack healthy options. Few studies have simultaneously measured obesity, distance, and prices of the store used for primary food shopping. Purpose: To examine the relationship among distance to store, food prices, and obesity. Methods: The Pittsburgh Hill/Homewood Research on Eating, Shopping, and Health study conducted baseline interviews with 1,372 households between May and December 2011 in two low-income, majority African American neighborhoods without a supermarket. Audits of 16 stores where participants reported doing their major food shopping were conducted. Data were analyzed between February 2012 and February 2013. Results: Distance to store and prices were positively associated with obesity (p&lt;0.05). When distance to store and food prices were jointly modeled, only prices remained significant (p&lt;0.01), with higher prices predicting a lower likelihood of obesity. Although low- and high-price stores did not differ in availability, they significantly differed in their display and marketing of junk foods relative to healthy foods. Conclusions: Placing supermarkets in food deserts to improve access may not be as important as simultaneously offering better prices for healthy foods relative to junk foods, actively marketing healthy foods, and enabling consumers to resist the influence of junk food marketing. (C) 2014 American Journal of Preventive Medicine</t>
  </si>
  <si>
    <t>Zennk, Shannon/D-4096-2018</t>
  </si>
  <si>
    <t>Zennk, Shannon/0000-0003-2409-7022</t>
  </si>
  <si>
    <t>10.1016/j.amepre.2014.07.005</t>
  </si>
  <si>
    <t>WOS:000343673800006</t>
  </si>
  <si>
    <t>Widener, MJ; Li, WW</t>
  </si>
  <si>
    <t>Widener, Michael J.; Li, Wenwen</t>
  </si>
  <si>
    <t>Using geolocated Twitter data to monitor the prevalence of healthy and unhealthy food references across the US</t>
  </si>
  <si>
    <t>Mining the social media outlet Twitter for geolocated messages provides a rich database of information on people's thoughts and sentiments about myriad topics, like public health. Examining this spatial data has been particularly useful to researchers interested in monitoring and mapping disease outbreaks, like influenza. However, very little has been done to utilize this massive resource to examine other public health issues. This paper uses an advanced data-mining framework with a novel use of social media data retrieval and sentiment analysis to understand how geolocated tweets can be used to explore the prevalence of healthy and unhealthy food across the contiguous United States. Additionally, tweets are associated with spatial data provided by the US Department of Agriculture (USDA) of low-income, low-access census tracts (e.g. food deserts), to examine whether tweets about unhealthy foods are more common in these disadvantaged areas. Results show that these disadvantaged census tracts tend to have both a lower proportion of tweets about healthy foods with a positive sentiment, and a higher proportion of unhealthy tweets in general. These findings substantiate the methods used by the USDA to identify regions that are at risk of having low access to healthy foods. (C) 2014 Elsevier Ltd. All rights reserved.</t>
  </si>
  <si>
    <t>Widener, Michael/ABH-3668-2020; Li, Wenwen/I-8671-2016</t>
  </si>
  <si>
    <t>10.1016/j.apgeog.2014.07.017</t>
  </si>
  <si>
    <t>WOS:000343689900018</t>
  </si>
  <si>
    <t>Larchet, N</t>
  </si>
  <si>
    <t>Larchet, Nicolas</t>
  </si>
  <si>
    <t>Learning from the Corner Store FOOD REFORMERS AND THE BLACK URBAN POOR IN A SOUTHERN US CITY</t>
  </si>
  <si>
    <t>The problem of changing food habits has once again become a major public issue in the past decade in the United States. One of the main strategies developed by food reformers to change popular eating habits is to increase access to fresh food in poor urban areas identified as food deserts, in an attempt to address the obesity epidemic and to revitalize the local economy by creating healthy, sustainable environments. Based on a participant observation study in a large city in the Southeastern United States, I will start by discussing two of these initiatives: a farmers' market and a Community Supported Agriculture program. Although both were located in underserved communities, they failed to reach their poor black residents, attracting instead a clientele of white middle class professionals. To account for the urban poor's resistance to alternative food practices, I then turn to the results of an ethnographic study of consumption practices in an inner-city convenience store, where economic constraints and distinction strategies help to shape its customers' tastes for energy-dense, high-calorie foods. While these data are consistent with quantitative studies underlying the importance of economic access over physical access to food, the ethnographic method has the advantage of bringing food consumption back into its social setting, allowing it to reveal its significance in the competition for status and respectability, which take on different meanings in different classes and cultures.</t>
  </si>
  <si>
    <t>10.2752/175174414X13948130848386</t>
  </si>
  <si>
    <t>WOS:000340215300004</t>
  </si>
  <si>
    <t>Vandebroek, I; Balick, MJ</t>
  </si>
  <si>
    <t>Vandebroek, Ina; Balick, Michael J.</t>
  </si>
  <si>
    <t>Lime for Chest Congestion, Bitter Orange for Diabetes: Foods as Medicines in the Dominican Community in New York City</t>
  </si>
  <si>
    <t>Lime for Chest Congestion, Bitter Orange for Diabetes: Foods as Medicines in the Dominican Community in New York City. Several plants serve a dual purpose as foods and medicines in the Dominican immigrant community in New York City. Data show that foods used for self-medication by this community are plants that are well known and readily available in an urban environment, such as lime, bitter orange, garlic, cinnamon, onion and shallot, coconut, watercress, ginger, soursop, and radish. These plants are significant for Dominicans in New York City for treatment of non-communicable diseases, colloquially called lifestyle diseases (such as diabetes, obesity, high cholesterol, hypertension, and asthma/chest congestion), self-limiting diseases (including common cold, flu, cough, acute bronchitis), and female reproductive health (such as vaginal infections and infertility). Our findings emphasize the contemporary role of traditional medicine as an alternative and parallel healthcare system that dynamically adapts to current urban epidemiological trends. The double use of foods as medicines has important implications for urban outreach projects, such as Green Carts and community gardens, that play a role in disease prevention of vulnerable populations, especially those living in areas identified as food deserts.</t>
  </si>
  <si>
    <t>Vandebroek, Ina/AAI-6382-2020</t>
  </si>
  <si>
    <t>Vandebroek, Ina/0000-0002-1663-0045</t>
  </si>
  <si>
    <t>1874-9364</t>
  </si>
  <si>
    <t>10.1007/s12231-014-9268-5</t>
  </si>
  <si>
    <t>WOS:000338127300005</t>
  </si>
  <si>
    <t>Hall, J</t>
  </si>
  <si>
    <t>Hall, Julia</t>
  </si>
  <si>
    <t>The control of food among schoolchildren who have been racially and economically marginalized across the cityscape</t>
  </si>
  <si>
    <t>JOURNAL OF EDUCATION POLICY</t>
  </si>
  <si>
    <t>This analysis involves an investigation of the corporate control of food in relation to low income and culturally dominated schoolchildren in cities. This includes an exploration of the problem as expressed globally and historically in relation to transnational policy networks. Since corporate growth always necessitates controlling the direction of what people talk about on the ground, I additionally critique the emerging popularity of the policy-linked language of food deserts' and food security.' I reveal these terms as postcolonial constructs, forged out of the tradition that those with power control both material and mental production. Given the economic struggles now felt by the middle classes, I contend such language seeks to contain this growing anxiety. Lastly, I review some widespread failed efforts to address the problem of lack of access to healthy and affordable food among marginalized urban communities. All of these attempts are shaped as part of broader and evolving policy networks and in this research include progressive resistance collectives, policies as commodities, and big box failures. I focus here on city initiatives in particular given the ongoing urban implosion taking place in much of the world as people continue to lose their access to land. Although I consider conditions in the USA, these arguments can be applied in various ways to other contexts.</t>
  </si>
  <si>
    <t>0268-0939</t>
  </si>
  <si>
    <t>1464-5106</t>
  </si>
  <si>
    <t>10.1080/02680939.2013.869622</t>
  </si>
  <si>
    <t>WOS:000340165500005</t>
  </si>
  <si>
    <t>Martin, KS; Ghosh, D; Page, M; Wolff, M; McMinimee, K; Zhang, MY</t>
  </si>
  <si>
    <t>Martin, Katie S.; Ghosh, Debarchana; Page, Martha; Wolff, Michele; McMinimee, Kate; Zhang, Mengyao</t>
  </si>
  <si>
    <t>What Role Do Local Grocery Stores Play in Urban Food Environments? A Case Study of Hartford-Connecticut</t>
  </si>
  <si>
    <t>PLOS ONE</t>
  </si>
  <si>
    <t>Introduction: Research on urban food environments emphasizes limited access to healthy food, with fewer large supermarkets and higher food prices. Many residents of Hartford, Connecticut, which is often considered a food desert, buy most of their food from small and medium-sized grocery stores. We examined the food environment in greater Hartford, comparing stores in Hartford to those in the surrounding suburbs, and by store size (small, medium, and large). Methods: We surveyed all small (over 1,000 ft(2)), medium, and large-sized supermarkets within a 2-mile radius of Hartford (36 total stores). We measured the distance to stores, availability, price and quality of a market basket of 25 items, and rated each store on internal and external appearance. Geographic Information System (GIS) was used for mapping distance to the stores and variation of food availability, quality, and appearance. Results: Contrary to common literature, no significant differences were found in food availability and price between Hartford and suburban stores. However, produce quality, internal, and external store appearance were significantly lower in Hartford compared to suburban stores (all p&lt;0.05). Medium-sized stores had significantly lower prices than small or large supermarkets (p&lt;0.05). Large stores had better scores for internal (p&lt;0.05), external, and produce quality (p&lt;0.01). Most Hartford residents live within 0.5 to 1 mile distance to a grocery store. Discussion: Classifying urban areas with few large supermarkets as 'food deserts' may overlook the availability of healthy foods and low prices that exist within small and medium-sized groceries common in inner cities. Improving produce quality and store appearance can potentially impact the food purchasing decisions of low-income residents in Hartford.</t>
  </si>
  <si>
    <t>1932-6203</t>
  </si>
  <si>
    <t>APR 9</t>
  </si>
  <si>
    <t>e94033</t>
  </si>
  <si>
    <t>10.1371/journal.pone.0094033</t>
  </si>
  <si>
    <t>WOS:000334339000071</t>
  </si>
  <si>
    <t>Gjesfjeld, CD; Jung, JK</t>
  </si>
  <si>
    <t>Gjesfjeld, Christopher; Jung, Jin-Kyu</t>
  </si>
  <si>
    <t>Teaching Poverty With Geographic Visualization and Geographic Information Systems (GIS): A Case Study of East Buffalo and Food Access</t>
  </si>
  <si>
    <t>JOURNAL OF TEACHING IN SOCIAL WORK</t>
  </si>
  <si>
    <t>Although various methods have been used to teach about poverty in the social work classroom (e.g., quantitative, historical, and qualitative), the use of geographic visualization and geographic information systems (GIS) has become a relatively new method. In our analysis of food access on the East Side of Buffalo, New York, we demonstrate the unequal access that predominately African American areas of Buffalo have to grocery stores when compared to communities with a smaller proportion of African American residents. We attempt to demonstrate how geovisualization can be used to teach poverty to social work students differently than traditional methods. We note three specific advantages for its use in teaching about poverty. First, spatial information encourages ecological and systems thinking. Second, geovisualization can aid social workers in identifying specific community needs to stakeholders, because maps are accessible and easily understood. Finally, new GIS technologies are accessible to the student and may require less sophisticated and esoteric training.</t>
  </si>
  <si>
    <t>Gjesfjeld, Christopher/0000-0003-2227-286X</t>
  </si>
  <si>
    <t>0884-1233</t>
  </si>
  <si>
    <t>1540-7349</t>
  </si>
  <si>
    <t>10.1080/08841233.2014.955944</t>
  </si>
  <si>
    <t>WOS:000210575200006</t>
  </si>
  <si>
    <t>Wight, RA; Killham, J</t>
  </si>
  <si>
    <t>Wight, R. Alan; Killham, Jennifer</t>
  </si>
  <si>
    <t>Food mapping: a psychogeographical method for raising food consciousness</t>
  </si>
  <si>
    <t>JOURNAL OF GEOGRAPHY IN HIGHER EDUCATION</t>
  </si>
  <si>
    <t>Food mapping is a new, participatory, interdisciplinary pedagogical approach to learning about our modern food systems. This method is inspired by the Situationist International's practice of the derive and draws from the discourses of critical geography, the food movement's research on food deserts, and participatory action research. Using a critical food lens, this experiential exercise encourages participants to look beyond their plates and think about the health, economic, and ecological impacts of food. This ethnographic activity produces user-generated data and has the potential to transform participants' understanding of how agricultural practices effect other societal institutions.</t>
  </si>
  <si>
    <t>0309-8265</t>
  </si>
  <si>
    <t>1466-1845</t>
  </si>
  <si>
    <t>APR 3</t>
  </si>
  <si>
    <t>10.1080/03098265.2014.900744</t>
  </si>
  <si>
    <t>WOS:000335198500011</t>
  </si>
  <si>
    <t>ECOLOGY OF FOOD AND NUTRITION</t>
  </si>
  <si>
    <t>0367-0244</t>
  </si>
  <si>
    <t>1543-5237</t>
  </si>
  <si>
    <t>JAN 2</t>
  </si>
  <si>
    <t>Gill, L; Rudkin, S</t>
  </si>
  <si>
    <t>Gill, Len; Rudkin, Simon</t>
  </si>
  <si>
    <t>Deconstructing supermarket intervention effects on fruit and vegetable consumption in areas of limited retail access: evidence from the Seacroft Study</t>
  </si>
  <si>
    <t>Concern about diet and access to healthy foodstuffs is felt worldwide. The introduction of large retailers, with low prices and wide product ranges, to poor access areas has been seen as a solution. We apply quantile regression to data related to one such opening, the Seacroft Intervention Study in the United Kingdom, allowing consideration at different levels of the fruit and vegetable consumption distribution. For residents with easy access to the new store, captured using Ordnance Survey Integrated Transport Network for improved representation of shoppers' journeys, a significant average increase of half a portion per day was found, increasing to 0.7 portions or more for households with no car access. However moving away from the average effects considered in the literature thus far, shopping at the new store is significant only for those at the top end of the distribution and, importantly, not for those whose diets were previously poor. Attitudes to healthy eating, relative cost of fruit and vegetables, and deprivation are shown to be key factors at lower intake levels. Access remains a significant determinant of consumption. Hence we urge caution in accepting the conclusion that new supermarkets can benefit all, and suggest that policy makers should consider more targeted measures to help improve the worst diets.</t>
  </si>
  <si>
    <t>Rudkin, Simon/0000-0001-8622-7318</t>
  </si>
  <si>
    <t>10.1068/a45675</t>
  </si>
  <si>
    <t>WOS:000345690000010</t>
  </si>
  <si>
    <t>Cummins, S; Flint, E; Matthews, SA</t>
  </si>
  <si>
    <t>Cummins, Steven; Flint, Ellen; Matthews, Stephen A.</t>
  </si>
  <si>
    <t>New Neighborhood Grocery Store Increased Awareness Of Food Access But Did Not Alter Dietary Habits Or Obesity</t>
  </si>
  <si>
    <t>National and local policies to improve diet in low-income US populations include increasing physical access to grocery stores and supermarkets in underserved neighborhoods. In a pilot study that evaluated the impacts of opening a new supermarket in a Philadelphia community considered a food desert-part of the Pennsylvania Fresh Food Financing Initiative-we found that the intervention moderately improved residents' perceptions of food accessibility. However, it did not lead to changes in reported fruit and vegetable intake or body mass index. The effectiveness of interventions to improve physical access to food and reduce obesity by encouraging supermarkets to locate in underserved areas therefore remains unclear. Nevertheless, the present findings suggest that simply improving a community's retail food infrastructure may not produce desired changes in food purchasing and consumption patterns. Complementary policy changes and interventions may be needed to help consumers bridge the gap between perception and action. The replication of our findings in other settings and research into the factors that influence community residents' receptivity to improved food access are urgently required.</t>
  </si>
  <si>
    <t>Matthews, Stephen/GRR-7264-2022; Cummins, Steven/C-1230-2009; Matthews, Stephen/P-6906-2017</t>
  </si>
  <si>
    <t>Cummins, Steven/0000-0002-3957-4357; Matthews, Stephen/0000-0002-1645-4854</t>
  </si>
  <si>
    <t>10.1377/hlthaff.2013.0512</t>
  </si>
  <si>
    <t>WOS:000331407800015</t>
  </si>
  <si>
    <t>Monardo, B; Palazzo, AL</t>
  </si>
  <si>
    <t>Bevilacqua, C; Calabro, F; Spina, LD</t>
  </si>
  <si>
    <t>Monardo, Bruno; Palazzo, Anna Laura</t>
  </si>
  <si>
    <t>Challenging Inclusivity Urban Agriculture and Community Involvement in San Diego</t>
  </si>
  <si>
    <t>NEW METROPOLITAN PERSPECTIVES: THE INTEGRATED APPROACH OF URBAN SUSTAINABLE DEVELOPMENT</t>
  </si>
  <si>
    <t>Advanced Engineering Forum</t>
  </si>
  <si>
    <t>MAY 06-08, 2014</t>
  </si>
  <si>
    <t>Reggio Calabria, ITALY</t>
  </si>
  <si>
    <t>Evaluat &amp; Econ Appraisal Lab,Mediterranean Univ Reggio Calabria, Commercial Local Urban Districts Res Lab</t>
  </si>
  <si>
    <t>In recent years, destiny of cities has proven to be connected to efficiency and resilience of their 'Green Infrastructures', related agri-forestry strategies and health and food security policies. Policy-makers are increasingly dealing with such issues by means of specific sectorial measures including food system arrangements for health and sustainability, even in order to preserve fringe areas threatened by urban growth. Across the US, where 'food deserts' heavily shape access to fresh, local and healthy food, the growing consumers' demand is being addressed by Urban Agriculture practices giving new perspectives to blighted zones of the post-crisis cities and tackling social malaise related to the massive migration. The 'New Roots Community Farm' in City Heights neighbourhood, San Diego, California, shows an intriguing potential, matching social inclusion and physical-economic redevelopment.</t>
  </si>
  <si>
    <t>MONARDO, BRUNO/ABF-7070-2020; palazzo, anna/Z-2955-2019</t>
  </si>
  <si>
    <t>2234-9898</t>
  </si>
  <si>
    <t>978-3-03835-105-4</t>
  </si>
  <si>
    <t>10.4028/www.scientific.net/AEF.11.356</t>
  </si>
  <si>
    <t>WOS:000352075200053</t>
  </si>
  <si>
    <t>Sohi, I; Bell, BA; Liu, JH; Battersby, SE; Liese, AD</t>
  </si>
  <si>
    <t>Sohi, Inderbir; Bell, Bethany A.; Liu, Jihong; Battersby, Sarah E.; Liese, Angela D.</t>
  </si>
  <si>
    <t>Differences in Food Environment Perceptions and Spatial Attributes of Food Shopping Between Residents of Low and High Food Access Areas</t>
  </si>
  <si>
    <t>Objective: To explore potential differences in food shopping behaviors and healthy food availability perceptions between residents living in areas with low and high food access. Design: A cross-sectional telephone survey to assess food shopping behaviors and perceptions. Data from an 8-county food environment field census used to define the Centers for Disease Control and Prevention (CDC) healthier food retail tract and US Department of Agriculture Economic Research Service food desert measure. Participants: A total of 968 residents in 8 South Carolina counties. Main Outcome Measures: Residents' food shopping behaviors and healthy food availability perceptions. Analysis: Linear and logistic regression. Results: Compared with residents in high food access areas, residents in low food access areas traveled farther to their primary food store (US Department of Agriculture Economic Research Service: 8.8 vs 7.1 miles, P = .03; CDC: 9.2 vs 6.1 miles, P &lt; .001), accumulated more total shopping miles per week (CDC: 28.0 vs 15.4 miles; P &lt; .001), and showed differences in perceived healthy food availability (P &lt; .001) and shopping access (P &lt; .001). Conclusions and Implications: These findings lend support to ongoing community and policy interventions aimed at reducing food access disparities.</t>
  </si>
  <si>
    <t>Bell, Bethany/AAV-6917-2021; Liu, Jihong/Q-1364-2015</t>
  </si>
  <si>
    <t>Liu, Jihong/0000-0001-8685-3036</t>
  </si>
  <si>
    <t>10.1016/j.jneb.2013.12.006</t>
  </si>
  <si>
    <t>WOS:000342135300005</t>
  </si>
  <si>
    <t>Santo, R; Yong, R; Palmer, A</t>
  </si>
  <si>
    <t>Santo, Raychel; Yong, Rachel; Palmer, Anne</t>
  </si>
  <si>
    <t>Collaboration meets opportunity: The Baltimore Food Policy Initiative</t>
  </si>
  <si>
    <t>As cities across the nation seek to improve healthy food access, this participant observer case study highlights how one midsized city successfully developed a collaborative infrastructure to understand and address inequity in healthy food access. We trace the genesis and evolution of Baltimore's Food Policy Task Force, the hiring of a food policy director, and the establishment of the Baltimore Food Policy Initiative, which is an intergovernmental partnership to increase access to healthy, affordable foods in urban food deserts. While some cities have approached food access issues through community coalitions pressuring city government or government edicts, Baltimore successfully identified its need, used available research to drive and inform action, established priorities, and acted expeditiously with a focus on sustainability. This case study is relevant and applicable for those seeking to influence change in local food policy in midsized urban settings.</t>
  </si>
  <si>
    <t>Santo, Raychel/0000-0002-7091-6263</t>
  </si>
  <si>
    <t>10.5304/jafscd.2014.043.012</t>
  </si>
  <si>
    <t>WOS:000439873400015</t>
  </si>
  <si>
    <t>Salinas, JJ; Abdelbary, B; Klaas, K; Tapia, B; Sexton, K</t>
  </si>
  <si>
    <t>Salinas, Jennifer J.; Abdelbary, Bassent; Klaas, Kelly; Tapia, Beatriz; Sexton, Ken</t>
  </si>
  <si>
    <t>Socioeconomic Context and the Food Landscape in Texas: Results from Hotspot Analysis and Border/Non-Border Comparison of Unhealthy Food Environments</t>
  </si>
  <si>
    <t>Purpose: The purpose of this paper is to describe the food landscape of Texas using the CDC's Modified Retail Food Environment (mRFEI) and to make comparisons by border/non-border. Methods: The Modified Retail Food Environment index (mRFEI (2008)) is an index developed by the CDC that measures what percent of the total food vendors in a census track sell healthy food. The range of values is 0 (unhealthy areas with limited access to fruits and vegetables) to (100-Healthy). These data were linked to 2010 US Census socioeconomic and ethnic concentration data. Spatial analysis and GIS techniques were applied to assess the differences between border and non-border regions. Variables of interest were mRFEI score, median income, total population, percent total population less than five years, median age, % receiving food stamps, % Hispanic, and % with a bachelor degree. Results: Findings from this study reveal that food environment in Texas tends to be characteristic of a food desert. Analysis also demonstrates differences by border/non-border location and percent of the population that is foreign born and by percent of families who receive food stamps. Conclusions: Identifying the relationship between socioeconomic disparity, ethnic concentration and mRFEI score could be a fundamental step in improving health in disadvantage communities, particularly those on the Texas-Mexico border.</t>
  </si>
  <si>
    <t>10.3390/ijerph110605640</t>
  </si>
  <si>
    <t>WOS:000338662600006</t>
  </si>
  <si>
    <t>Kalichman, SC; Hernandez, D; Cherry, C; Kalichman, MO; Washington, C; Grebler, T</t>
  </si>
  <si>
    <t>Kalichman, Seth C.; Hernandez, Dominica; Cherry, Chauncey; Kalichman, Moira O.; Washington, Christopher; Grebler, Tamar</t>
  </si>
  <si>
    <t>Food Insecurity and Other Poverty Indicators Among People Living with HIV/AIDS: Effects on Treatment and Health Outcomes</t>
  </si>
  <si>
    <t>Health disparities in access to antiretroviral therapy (ART) as well as the demands of long-term medication adherence have meant the full benefits of HIV treatment are often not realized. In particular, food insecurity has emerged as a robust predictor of ART non-adherence. However, research is limited in determining whether food insecurity uniquely impedes HIV treatment or if food insecurity is merely a marker for poverty that interferes more broadly with treatment. This study examined indicators of poverty at multiple levels in a sample of 364 men and 157 women living with HIV recruited through an offering of a free holiday food basket. Results showed that 61 % (N = 321) of participants had experienced at least one indicator of food insecurity in the previous month. Multivariate analyses showed that food insecurity was closely tied to lack of transportation. In addition, food insecurity was associated with lacking access to ART and poor ART adherence after adjusting for neighbourhood poverty, living in an area without a supermarket (food desert), education, stable housing, and reliable transportation. Results therefore affirm previous research that has suggested food insecurity is uniquely associated with poor ART adherence and calls for structural interventions that address basic survival needs among people living with HIV, especially food security.</t>
  </si>
  <si>
    <t>10.1007/s10900-014-9868-0</t>
  </si>
  <si>
    <t>WOS:000344606900016</t>
  </si>
  <si>
    <t>What does SNAP benefit usage tell us about food access in low-income neighborhoods?</t>
  </si>
  <si>
    <t>Current GIS based research on food access has focused primarily on the proximity of food sources to places of residence in low-income communities, with relatively little attention given to actual practices of food procurement. This project addresses this issue by using dasymetric mapping techniques to develop fine scale estimates of benefit usage for the Supplemental Nutrition Assistance Program (SNAP) in the Twin Cities of Minneapolis and St. Paul, Minnesota, drawing from existing zip code level data on benefit distribution and redemptions. Based on this data, this research shows that while supermarkets receive almost all SNAP benefits in suburban areas, these stores have a smaller share of all SNAP redemptions in low-income core neighborhoods. In these latter areas, both convenience stores and midsized grocers (e.g., discount grocers, food cooperatives, ethnic markets) play a much larger role in residents' food shopping, even when supermarkets are also present. In addition, these core neighborhoods have a net outflow of SNAP dollars, meaning that residents of these areas receive more in benefits than is spent at neighborhood food retailers. This finding confirms existing research showing that low-income residents often travel outside their neighborhoods to get food, regardless of the presence or absence of supermarkets. Rather than simply increasing the number of large food outlets in low-access areas, this research suggests that efforts to improve food access and community health must take into account the geographically complex ways residents interact with the food system. (C) 2014 Elsevier Ltd. All rights reserved.</t>
  </si>
  <si>
    <t>1873-5347</t>
  </si>
  <si>
    <t>10.1016/j.socscimed.2014.02.021</t>
  </si>
  <si>
    <t>WOS:000335202900011</t>
  </si>
  <si>
    <t>Horner, MW; Wood, BS</t>
  </si>
  <si>
    <t>Horner, Mark W.; Wood, Brittany S.</t>
  </si>
  <si>
    <t>Capturing individuals' food environments using flexible space-time accessibility measures</t>
  </si>
  <si>
    <t>Within the geography, transportation, and public health communities there has been intense interest in better understanding the linkages between health outcomes such as obesity rates and people's access to healthy foods. In this nexus, personal access to healthy food is shaped by a number of individual and geographical factors including people's time available for shopping, the quality of proximal food vendors (e.g. supermarkets vs. convenience stores), and the nature of the transportation systems available to facilitate mobility. Building on recent research in disaggregate accessibility modeling, including that of time geography, this paper describes an individual-level modeling approach for quantifying peoples' food environments. The approach works by measuring the accessibility people have to local food shopping opportunities given their activity patterns and available time budgets. Individuals' food accessibility may be compared to one another and the underlying mobility afforded by the transportation system is accounted for. Moreover, the individual-level measure is such that it may be resolved to places, whereby the aggregation and mapping of multiple individuals' food accessibility experiences is possible. Hence, possible 'deserts' or areas of inaccessibility may be identified through a bottom-up analysis of the travel and mobility experience of a representative sample of individuals. These ideas are demonstrated with spatial data from a smaller urban area in Florida. Results show that individual and place-based differences in food accessibility may be delineated with the metrics. (C) 2014 Elsevier Ltd. All rights reserved.</t>
  </si>
  <si>
    <t>10.1016/j.apgeog.2014.03.007</t>
  </si>
  <si>
    <t>WOS:000337859500011</t>
  </si>
  <si>
    <t>Li, KY; Fox, A; Cromley, EK; Horowitz, C</t>
  </si>
  <si>
    <t>Li, Kathleen Y.; Fox, Ashley; Cromley, Ellen K.; Horowitz, Carol</t>
  </si>
  <si>
    <t>NEW YORK CITY GREEN CARTS: IS THE PROGRAM ALLEVIATING FOOD DESERTS?</t>
  </si>
  <si>
    <t>JOURNAL OF GENERAL INTERNAL MEDICINE</t>
  </si>
  <si>
    <t>APR 23-26, 2014</t>
  </si>
  <si>
    <t>Soc Gen Internal Med</t>
  </si>
  <si>
    <t>0884-8734</t>
  </si>
  <si>
    <t>1525-1497</t>
  </si>
  <si>
    <t>S155</t>
  </si>
  <si>
    <t>WOS:000340996201003</t>
  </si>
  <si>
    <t>Cannuscio, CC; Hillier, A; Karpyn, A; Glanz, K</t>
  </si>
  <si>
    <t>Cannuscio, Carolyn C.; Hillier, Amy; Karpyn, Allison; Glanz, Karen</t>
  </si>
  <si>
    <t>The social dynamics of healthy food shopping and store choice in an urban environment</t>
  </si>
  <si>
    <t>To respond to the high prevalence of obesity and its associated health consequences, recent food research and policy have focused on neighborhood food environments, especially the links between health and retail mix, proximity of food outlets, and types of foods available. In addition, the social environment exerts important influences on food-related behaviors, through mechanisms like role-modeling, social support, and social norms. This study examined the social dynamics of residents' health-related food-shopping behaviors in 2010-11 in urban Philadelphia, where we conducted 25 semi-structured resident interviews the foundation for this paper in addition to 514 structured interviews and a food environment audit. In interviews, participants demonstrated adaptability and resourcefulness in their food shopping; they chose to shop at stores that met a range of social needs. Those needs ranged from practical financial considerations, to fundamental issues of safety, to mundane concerns about convenience, and juggling multiple work and family responsibilities. The majority of participants were highly motivated to adapt their shopping patterns to accommodate personal financial constraints. In addition, they selectively shopped at stores frequented by people who shared their race/ethnicity, income and education, and they sought stores where they had positive interactions with personnel and proprietors. In deciding where to shop in this urban context, participants adapted their routines to avoid unsafe places and the threat of violence. Participants also discussed the importance of convenient stores that allowed for easy parking, accommodation of physical disabilities or special needs, and integration of food shopping into other daily activities like meeting children at school. Food research and policies should explicitly attend to the social dynamics that influence food-shopping behavior. In our social relationships, interactions, and responsibilities, there are countless opportunities to influence and also to improve health. (C) 2014 Elsevier Ltd. All rights reserved.</t>
  </si>
  <si>
    <t>Karpyn, Allison/0000-0001-9043-5101</t>
  </si>
  <si>
    <t>10.1016/j.socscimed.2014.10.005</t>
  </si>
  <si>
    <t>WOS:000345820600002</t>
  </si>
  <si>
    <t>Wilde, P; Llobrera, J; Ploeg, MV</t>
  </si>
  <si>
    <t>Wilde, Parke; Llobrera, Joseph; Ploeg, Michele Ver</t>
  </si>
  <si>
    <t>Population Density, Poverty, and Food Retail Access in the United States: An Empirical Approach</t>
  </si>
  <si>
    <t>This article uses a random sample of census block groups to describe the adequacy of the local food retail environment in the continental United States. It builds upon simple empirical relationships between population density, poverty rates, vehicle access, and proximity to the nearest supermarket. In contrast with the conventional wisdom, the results show that high-poverty block groups had closer proximity to the nearest supermarket than other block groups did, on average: 85.6% of high-poverty block groups had a supermarket within 1 mile, while 76.8% of lower-poverty block groups had a supermarket within this distance. Population density is a strong predictor of proximity to the nearest supermarket. Block groups with very high population density generally had very close proximity to a nearest supermarket. In block groups lacking a nearby supermarket, rates of automobile access generally were quite high (more than 95%), although this still leaves almost 5% of the population in these areas lacking both an automobile and a nearby supermarket.</t>
  </si>
  <si>
    <t>; Wilde, Parke/B-6011-2009</t>
  </si>
  <si>
    <t>Ver Ploeg, Michele/0000-0001-8476-7281; Wilde, Parke/0000-0002-9596-9230</t>
  </si>
  <si>
    <t>WOS:000331998100010</t>
  </si>
  <si>
    <t>Posner, SF</t>
  </si>
  <si>
    <t>Posner, Samuel F.</t>
  </si>
  <si>
    <t>Outstanding Student Research: Li et al on Investigating the Placement of Green Carts to Improve Access to Healthful Foods in Food Deserts</t>
  </si>
  <si>
    <t>E157</t>
  </si>
  <si>
    <t>10.5888/pcd11.140338</t>
  </si>
  <si>
    <t>WOS:000343522400019</t>
  </si>
  <si>
    <t>Gordon-Larsen, P</t>
  </si>
  <si>
    <t>Gordon-Larsen, Penny</t>
  </si>
  <si>
    <t>Food Availability/Convenience and Obesity</t>
  </si>
  <si>
    <t>ADVANCES IN NUTRITION</t>
  </si>
  <si>
    <t>Neighborhood environments have received considerable attention in recent local, state, and national obesity prevention initiatives, with a particular focus on food deserts, or areas with poor access to healthy foods. Yet, there are inconsistencies in the evidence base, suggesting a nuanced association between neighborhood environment, food availability, diet behaviors, and obesity. There is heterogeneity in associations between environmental exposures and health outcomes across race/ethnicity, gender, region, and urbanicity, which results in complexity in the interpretation of findings. There are several limitations in the literature, including a predominance of cross-sectional studies, reliance on commercial business listings, lack of attention to the process by which diet resources are established and expanded within neighborhoods and the potential for individuals to selectively migrate to locate near such facilities, a predominant focus on residential neighborhoods, and lack of information about the decision-making process underlying purchasing patterns. More research is needed to address the complexity of individual-level residential decision making as well as the purposeful placement of food environment resources across social and geographic space using longitudinal data and complex statistical approaches. In addition, improvements in data quality and depth related to food access and availability are needed, including behavioral data on purchase patterns and interactions with the food environment, and greater attention to heterogeneity across subpopulations. As policy changes to the food environment move forward, it is critical that there is rigorous and scientific evaluation of environmental changes and their impact on individual-level diet choices and behaviors, and their further influence on body weight.</t>
  </si>
  <si>
    <t>2161-8313</t>
  </si>
  <si>
    <t>2156-5376</t>
  </si>
  <si>
    <t>10.3945/an.114.007070</t>
  </si>
  <si>
    <t>WOS:000345542300016</t>
  </si>
  <si>
    <t>Loo, C</t>
  </si>
  <si>
    <t>Loo, Clement</t>
  </si>
  <si>
    <t>Towards a More Participative Definition of Food Justice</t>
  </si>
  <si>
    <t>JOURNAL OF AGRICULTURAL &amp; ENVIRONMENTAL ETHICS</t>
  </si>
  <si>
    <t>This paper argues that the definition of food justice must be defined in more participatory terms. Current accounts of food justice tend to emphasize distributional inequalities. However, there is broad recognition that these distributional inequalities are the result of participative inequalities and that the participation of marginalized groups in advocacy plays an important role in creating just food systems. In addition, thinking of food justice in more participative terms also suggests a more well-rounded and comprehensive approach to dealing with inequalities within the food system. One manner in which the concept of food justice can be redefined to better capture the importance of participative justice is by considering what is required for informed consent.</t>
  </si>
  <si>
    <t>Loo, Clement/JEP-5028-2023</t>
  </si>
  <si>
    <t>Loo, Clement/0000-0001-9574-7390</t>
  </si>
  <si>
    <t>1187-7863</t>
  </si>
  <si>
    <t>1573-322X</t>
  </si>
  <si>
    <t>10.1007/s10806-014-9490-2</t>
  </si>
  <si>
    <t>WOS:000343217600006</t>
  </si>
  <si>
    <t>Pine, A.; Bennett, J.</t>
  </si>
  <si>
    <t>Food access and food deserts: The diverse methods that residents of a neighborhood in Duluth, Minnesota use to provision themselves (vol 45, pg 317, 2014)</t>
  </si>
  <si>
    <t>10.1080/15575330.2014.954349</t>
  </si>
  <si>
    <t>WOS:000212564300014</t>
  </si>
  <si>
    <t>Carlson, A; Frazao, E</t>
  </si>
  <si>
    <t>Carlson, Andrea; Frazao, Elizabeth</t>
  </si>
  <si>
    <t>Food costs, diet quality and energy balance in the United States</t>
  </si>
  <si>
    <t>The high obesity rates and poor diet quality in the United States, particularly among low income populations, are often attributed to low income, low food access, and high food prices of healthy foods. This paper discusses these associations and questions some of the metrics used to measure food prices. The paper argues that 1. On average, Americans consume diets that need improvement and there is only a very limited relationship between income and diet quality; 2. The way the food price is measured makes a difference in the perception of how expensive healthy and less healthy food is; 3. The way Americans allocate their food budgets between healthy and less healthy foods is not in line with healthy diets; and 4. At any food spending level there are households that purchase healthy (and unhealthy) diets, including budgets at or below the maximum allotment for the Supplemental Nutrition Assistance Program (SNAP) which provides a means for low-income households to purchase food. Our key finding is that healthy foods and diets are affordable, but policy makers, nutrition educators, researchers and the media need to focus on promoting this message, and providing additional guidance on making the changes for Americans to switch to a healthy and affordable diet. Published by Elsevier Inc.</t>
  </si>
  <si>
    <t>Carlson, Andrea/KFT-3502-2024</t>
  </si>
  <si>
    <t>1873-507X</t>
  </si>
  <si>
    <t>10.1016/j.physbeh.2014.03.001</t>
  </si>
  <si>
    <t>WOS:000341475900004</t>
  </si>
  <si>
    <t>McKenzie, BS</t>
  </si>
  <si>
    <t>McKenzie, Brian S.</t>
  </si>
  <si>
    <t>Access to supermarkets among poorer neighborhoods: a comparison of time and distance measures</t>
  </si>
  <si>
    <t>URBAN GEOGRAPHY</t>
  </si>
  <si>
    <t>This research assesses neighborhood differences in access to supermarkets for the Portland, Oregon region. Five-year American Community Survey data for the 2006-2010 period are used to compare a travel time and distance measure of supermarket access for neighborhoods of concentrated poverty relative to other neighborhoods, taking into account their distance to the city center. Poor and nonpoor outer neighborhoods have longer average travel times and distances to nearby supermarkets than their more centralized counterparts. Poor outer neighborhoods fare better on travel distance than nonpoor outer neighborhoods do, but endure penalties in longer travel times. This research demonstrates the potential for variation in results across methods measuring access to neighborhood amenities and suggests that more nuanced methodology will be required for us to understand sociospatial disparities in access.</t>
  </si>
  <si>
    <t>0272-3638</t>
  </si>
  <si>
    <t>1938-2847</t>
  </si>
  <si>
    <t>10.1080/02723638.2013.856195</t>
  </si>
  <si>
    <t>WOS:000331032100007</t>
  </si>
  <si>
    <t>JAN 1</t>
  </si>
  <si>
    <t>Hardin-Fanning, F; Gokun, Y</t>
  </si>
  <si>
    <t>Hardin-Fanning, F.; Gokun, Y.</t>
  </si>
  <si>
    <t>Gender and age are associated with healthy food purchases via grocery voucher redemption</t>
  </si>
  <si>
    <t>Introduction: Grocery vouchers that specifically target foods associated with reduced cardiovascular disease (CVD) risk result in increased consumption of those foods. In regions with disproportionately high CVD rates, there is little research concerning the impact of vouchers on purchases of risk-reducing foods when there are no restrictions placed on grocery voucher redemption. Since many food assistance programs place few restrictions on type of foods that can be purchased, identifying demographic factors associated with purchasing habits is a prerequisite to promoting healthy eating. The purpose of this study was to determine the associations of age, gender, education and income level with purchasing of healthful foods through the use of a grocery voucher in a rural food desert (poverty rate of &gt;= 20% and &gt;= 33% of residents living &gt;16 km from a large grocery store) with high rates of chronic disease. Methods: The effectiveness of an intervention that included a media campaign, a $5 grocery voucher, local heart healthy food branding and a grocery store event was tested. Brief nutritional articles were published in both local newspapers during four consecutive weeks. These articles explained the physiological actions of healthy foods and listed a health-promoting recipe. During the fourth week of the media campaign, a voucher for a $5 grocery gift card redeemable at one of either community grocery stores was also printed in both local newspapers. In each store, foods that are known to be associated with a reduced risk of CVD were marked with a blue logo. Participants (N=311) completed a questionnaire that assessed demographics and usual servings of fruits, vegetables and grains. Participants received a $5 grocery card and a list of labelled foods. Returned grocery receipts were stapled to the questionnaires to analyse the relationship between demographics and food choices. Results: Participants who bought at least one labelled food item were older (M=48.5, SD=14.7) than those who did not buy any of these items (M=42.3, SD=16.4; p=0.0008). There was a significant association between labelled food purchases and gender, with 47% of male participants purchasing at least one labelled food item compared with 63% of females in the study (p=0.008). There were no significant associations between purchase of labelled food items and either education or income. The significant predictors were age (p=0.003) and gender (p=0.01). For every 10 year increase in age, there was a 29% increase in the likelihood that at least one labelled food item would be purchased. Male participants were 48% less likely to purchase at least one designated food item than female participants were. Conclusions: Younger adults and men may be less responsive to media-based educational strategies, heart-healthy food labelling and grocery vouchers to defray the cost of healthy eating than older adults and women. Previous studies show that concerns about cost and availability of foods are greater factors in the decision to purchase these foods than demographic characteristics. However, age and gender are associated with the likelihood of using grocery vouchers for the purchase of healthful foods. Additional research is needed to determine whether different educational strategies paired with food labelling and grocery vouchers may be successful strategies to promote purchase of healthful foods, particularly for men and younger adults.</t>
  </si>
  <si>
    <t>JUL-SEP</t>
  </si>
  <si>
    <t>WOS:000343521000029</t>
  </si>
  <si>
    <t>Weatherspoon, D; Oehmke, J; Dembele, A; Weatherspoon, L</t>
  </si>
  <si>
    <t>Weatherspoon, Dave; Oehmke, James; Dembele, Assa; Weatherspoon, Lorraine</t>
  </si>
  <si>
    <t>Fresh vegetable demand behaviour in an urban food desert</t>
  </si>
  <si>
    <t>Food deserts are associated with lower quality diets and higher obesity rates. One hypothesis for their emergence is that retailers avoid food deserts because demand side factors such as low income limit demand for healthy foods. A competing hypothesis is that supply side factors cause prohibitively high costs of operation for grocers - leading to limited access to healthy foods and thus low expressed demand. The direction of causality has important implications for improving diets and health of food desert residents. This paper analyses Detroit food desert residents' fresh vegetable purchasing behaviour using data from a non-profit grocer. The evidence confirms that these consumers respond to prices and income similarly to the average American, however, they face a different set of constraints. Both supply and demand side factors are at work - access problems are critical, but even with better access low incomes and other demand side issues limit vegetable consumption.</t>
  </si>
  <si>
    <t>10.1177/0042098014529340</t>
  </si>
  <si>
    <t>WOS:000349452700009</t>
  </si>
  <si>
    <t>Truchero, GR</t>
  </si>
  <si>
    <t>Ramos Truchero, Guadalupe</t>
  </si>
  <si>
    <t>Review and limitations of the concept of food deserts</t>
  </si>
  <si>
    <t>REVISTA DE HUMANIDADES</t>
  </si>
  <si>
    <t>This article is an early approach to the concept of food desert created by geographic inequalities regarding the presence of grocery stores in different countries. First, it exposes the theory of food deserts linking the lack of retail outlets to social class and nutritional problems arising from poor food supply. Later, the paper focuses on the investigations have answered this relationship because they believe that there are more factors that also determine how the population access to healthy food. Finally, the methodology used in both ways of research about food access. It concludes by noting the complexity of the theoretical concept when being applied.</t>
  </si>
  <si>
    <t>Ramos-Truchero, Guadalupe/G-8057-2017</t>
  </si>
  <si>
    <t>Ramos-Truchero, Guadalupe/0000-0003-1292-6524</t>
  </si>
  <si>
    <t>1130-5029</t>
  </si>
  <si>
    <t>2340-8995</t>
  </si>
  <si>
    <t>MAY-AUG</t>
  </si>
  <si>
    <t>WOS:000379386000004</t>
  </si>
  <si>
    <t>Lu, W; Qiu, F</t>
  </si>
  <si>
    <t>Lu, Wei; Qiu, Feng</t>
  </si>
  <si>
    <t>Do food deserts exist in Calgary, Canada?</t>
  </si>
  <si>
    <t>CANADIAN GEOGRAPHER-GEOGRAPHE CANADIEN</t>
  </si>
  <si>
    <t>A significant amount of research has examined supermarket accessibility, and food deserts have been identified among high-need residents. However, little research has explored the changes that occur in terms of access to healthy food when taking farmers' markets into consideration. Furthermore, few researchers have emphasized communities with large populations of children and seniors. This study investigated the accessibility of supermarkets and farmers' markets in the city of Calgary, Canada. Two communities with proportionately large populations of children and seniors coupled with low income levels and limited access to healthy food sources, were identified as food deserts. The results also suggested that farmers' markets provide surrounding neighbourhoods with significant benefits, even though the overall alleviating effects on the lack of access to healthy food are limited.</t>
  </si>
  <si>
    <t>Qiu, Feng/0000-0001-8273-8567</t>
  </si>
  <si>
    <t>10.1111/cag.12176</t>
  </si>
  <si>
    <t>WOS:000360768600012</t>
  </si>
  <si>
    <t>Krizan, F; Bilková, K; Kita, P; Hornák, M</t>
  </si>
  <si>
    <t>Krizan, Frantisek; Bilkova, Kristina; Kita, Pavol; Hornak, Marcel</t>
  </si>
  <si>
    <t>Potential food deserts and food oases in a post-communist city: Access, quality, variability and price of food in Bratislava-Petrzalka</t>
  </si>
  <si>
    <t>Delimitation tools and definitions of food deserts have not been internationally unified so far. Such comprehension ambiguity may lead to variability in research methods as well as to terminology mismatch in the research. In general, assessment of accessibility of selected (large-scale) food stores network in a region is considered as a suitable tool to identify the food deserts, but this is certainly not the only approach. In our paper some other approaches (such as measuring quality, variability and food price) are assessed together with supermarkets and hypermarkets accessibility examination. Results gained by analyses based on various methodological approaches are then compared and confronted, which simultaneously allows us to compare the individual approaches. For our case study purposes, the largest housing estate in Slovakia's capital city was selected. (C) 2015 Elsevier Ltd. All rights reserved.</t>
  </si>
  <si>
    <t>Hornak, Marcel/0000-0003-0071-4997; Krizan, Frantisek/0000-0003-4969-4587; Bilkova, Kristina/0000-0002-8912-4450</t>
  </si>
  <si>
    <t>10.1016/j.apgeog.2015.04.03</t>
  </si>
  <si>
    <t>WOS:000360419800002</t>
  </si>
  <si>
    <t>Camp, NL</t>
  </si>
  <si>
    <t>Camp, Nadine L.</t>
  </si>
  <si>
    <t>Food insecurity &amp; food deserts Current challenges for nurse practitioners</t>
  </si>
  <si>
    <t>NURSE PRACTITIONER</t>
  </si>
  <si>
    <t>Food insecurity has been steadily increasing in the United States with prevalence at nearly 15% of all households. Nurse practitioners can assess for food insecurity and provide local resources for families living in neighborhoods without easy access to healthy foods, otherwise known as food deserts.</t>
  </si>
  <si>
    <t>0361-1817</t>
  </si>
  <si>
    <t>1538-8662</t>
  </si>
  <si>
    <t>AUG 15</t>
  </si>
  <si>
    <t>10.1097/01.NPR.0000453644.36533.3a</t>
  </si>
  <si>
    <t>WOS:000369648900007</t>
  </si>
  <si>
    <t>Pilchman, D</t>
  </si>
  <si>
    <t>Pilchman, Daniel</t>
  </si>
  <si>
    <t>Money for Nothing: Are Decoupled Agricultural Subsidies Just?</t>
  </si>
  <si>
    <t>Every year, the US government pays farmers billions of dollars not to grow anything. Especially within urban constituencies, politically and geographically distant from food production centers, these decoupled agriculture subsidies may seem to be unjust uses for public tax dollars. But can any argument be given in favor of such payments? I argue the affirmative by linking decoupled agricultural subsidies to the solution of pressing moral issues: obesity and food deserts. First, I argue that decoupled subsidies offer growers the economic freedom to try to grow fruits and vegetables, and to develop their capacities growing such foods. Such changes to which crops are produced is essential to augmenting availability of fresh produce and thereby addressing food deserts and (partially) obesity. Second, I argue that because food deserts and obesity are actually byproducts of our agriculture and food distribution system, we have a social obligation to adopt policies like decoupled agricultural subsidies to resolve them. The essay closes with considerations about four objections, and my responses to them.</t>
  </si>
  <si>
    <t>10.1007/s10806-015-9580-9</t>
  </si>
  <si>
    <t>WOS:000365315800006</t>
  </si>
  <si>
    <t>Dubowitz, T; Ncube, C; Leuschner, K; Tharp-Gilliam, S</t>
  </si>
  <si>
    <t>Dubowitz, Tamara; Ncube, Collette; Leuschner, Kristin; Tharp-Gilliam, Shannah</t>
  </si>
  <si>
    <t>A Natural Experiment Opportunity in Two Low-Income Urban Food Desert Communities: Research Design, Community Engagement Methods, and Baseline Results</t>
  </si>
  <si>
    <t>HEALTH EDUCATION &amp; BEHAVIOR</t>
  </si>
  <si>
    <t>A growing body of evidence has highlighted an association between a lack of access to nutritious, affordable food (e.g., through full-service grocery stores [FSGs]), poor diet, and increased risk for obesity. In response, there has been growing interest among policy makers in encouraging the siting of supermarkets in food deserts, that is, low-income geographic areas with low access to healthy food options. However, there is limited research to evaluate the impact of such efforts, and most studies to date have been cross-sectional. The Pittsburgh Hill/Homewood Research on Eating, Shopping, and Health (PHRESH) is a longitudinal quasi-experimental study of a dramatic change (i.e., a new FSG) in the food landscape of a low-income, predominantly Black neighborhood. The study is following a stratified random sample of households (n = 1,372), and all food venues (n = 60) in both intervention and control neighborhoods, and the most frequently reported food shopping venues outside both neighborhoods. This article describes the study design and community-based methodology, which focused simultaneously on the conduct of scientifically rigorous research and the development and maintenance of trust and buy-in from the involved neighborhoods. Early results have begun to define markers for success in creating a natural experiment, including strong community engagement. Baseline data show that the vast majority of residents already shop at a FSG and do not shop at the nearest one. Follow-up data collection will help determine whether and how a new FSG may change behaviors and may point to the need for additional interventions beyond new FSGs alone.</t>
  </si>
  <si>
    <t>Ncube, Collette/IWM-6988-2023</t>
  </si>
  <si>
    <t>1090-1981</t>
  </si>
  <si>
    <t>1552-6127</t>
  </si>
  <si>
    <t>87S</t>
  </si>
  <si>
    <t>96S</t>
  </si>
  <si>
    <t>10.1177/1090198115570048</t>
  </si>
  <si>
    <t>WOS:000352547800010</t>
  </si>
  <si>
    <t>Suarez, JJ; Isakova, T; Anderson, CAM; Boulware, LE; Wolf, M; Scialla, JJ</t>
  </si>
  <si>
    <t>Suarez, Jonathan J.; Isakova, Tamara; Anderson, Cheryl A. M.; Boulware, L. Ebony; Wolf, Myles; Scialla, Julia J.</t>
  </si>
  <si>
    <t>Food Access, Chronic Kidney Disease, and Hypertension in the US</t>
  </si>
  <si>
    <t>Introduction: Greater distance to full-service supermarkets and low income may impair access to healthy diets and contribute to chronic kidney disease (CKD) and hypertension. The study aim was to determine relationships among residence in a food desert, low income, CKD, and blood pressure. Methods: Adults in the 2003-2010 National Health and Nutrition Examination Survey (N=22,173) were linked to food desert data (www.ers.usda.gov) by Census Tracts. Food deserts have low median income and are further from a supermarket or large grocery store (&gt;1 mile in urban areas, &gt;10 miles in rural areas). Weighted regression was used to determine the association of residence in a food desert and family income with dietary intake; systolic blood pressure (SBP); and odds of CKD. Data analysis was performed in 2014-2015. Results: Compared with those not in food deserts, participants residing in food deserts had lower levels of serum carotenoids.(p&lt;0.01), a biomarker of fruit and vegetable intake, and higher SBP (1.53 mmHg higher, 95% CI=0.41, 2.66)after adjustment for demographics and income. Residence in a food desert was not associated with Odds of CKD (OR=1.20, 95% CI=0.96, 1.49). Lower, versus higher, income was associated with lower serum carotenoids (p&lt;0.01) and higher SBP (2.00 mmHg higher for income-poverty ratio &lt; 1 vs &gt;3, 95% CI=1.12, 2.89), but also greater odds of CKD (OR=1.76 for income-poverty ratio &lt;= 1 vs &gt;3, 95% CI=1.48, 2.10). Conclusions: Limited access to healthy food due to geographic or financial barriers could be targeted for prevention of CKD and hypertension. (C) 2015 American Journal of Preventive Medicine</t>
  </si>
  <si>
    <t>Boulware, Ebony/0000-0002-8650-4212; Suarez, Jonathan/0000-0002-4146-5571; Scialla, Julia/0000-0003-1707-691X</t>
  </si>
  <si>
    <t>10.1016/j.amepre.2015.07.017</t>
  </si>
  <si>
    <t>WOS:000365061900011</t>
  </si>
  <si>
    <t>Bridle-Fitzpatrick, S</t>
  </si>
  <si>
    <t>Bridle-Fitzpatrick, Susan</t>
  </si>
  <si>
    <t>Differential access to healthy foods has been hypothesized to contribute to disparities in eating behaviors and health outcomes. While food deserts have been researched extensively in developed Anglophone countries, evidence from low- and middle-income countries is still scarce. In Mexico, prevalence of obesity is among the highest worldwide. As obesity has increased nationally and become a widespread public health issue, it is becoming concentrated in the low-income population. This mixed-methods study uses a multidimensional approach to analyze food environments in a low-, middle-, and high-income community in a Mexican city. The study advances understanding of the role that food environments may play in shaping eating patterns by analyzing the density and proximity of food outlet types as well as the variety, quantity, quality, pricing, and promotion of different foods. These measures are combined with in-depth qualitative research with families in the communities, including photo elicitation, to assess perceptions of food access. The central aims of the researchwere to evaluate physical and economic access and exposure to healthy and unhealthy foods in communities of differing socioeconomic status as well as participants' subjective perceptions of such access and exposure. The findings suggest a need to reach beyond a narrow focus on food store types and the distance from residence to grocery stores when analyzing food access. Results show that excessive access and exposure to unhealthy foods and drinks, or food swamps, may be a greater concern than food deserts for obesity-prevention policy in Mexico. (C) 2015 Elsevier Ltd. All rights reserved.</t>
  </si>
  <si>
    <t>10.1016/j.socscimed.2015.08.010</t>
  </si>
  <si>
    <t>WOS:000362060900022</t>
  </si>
  <si>
    <t>Rethinking Food Deserts Using Mixed-Methods GIS</t>
  </si>
  <si>
    <t>CITYSCAPE</t>
  </si>
  <si>
    <t>Food deserts-low-income neighborhoods with poor access to affordable, healthy foodhave increasingly been seen as a driver of obesity and related health conditions in urban neighborhoods. Most current research uses an approach based on a Geographic Information System, or GIS, to identify food deserts using store locations, but data that link food environments to health outcomes have been inconsistent. This article outlines an alternative methodology that shifts from the proximity of healthy food stores to the foodprovisioning practices of neighborhood residents. Using a mixed-methods approach, this research relies on several data sources: (1) geographic tracking on daily mobility created using Global Positioning System, or GPS, software on a smartphone, (2) georeferenced photographs also created using smartphones, (3) food-shopping diaries and store receipts, and (4) semistructured qualitative interviews. The resulting analysis identified how factors ranging from perceived neighborhood disorder to available transit options shape decisions about how and where to get food. By more explicitly focusing on the foodprovisioning strategies of low- income households and the factors that shape them, this research suggests potential pathways toward healthier, more livable cities.</t>
  </si>
  <si>
    <t>1936-007X</t>
  </si>
  <si>
    <t>1939-1935</t>
  </si>
  <si>
    <t>WOS:000422114500008</t>
  </si>
  <si>
    <t>Kato, Y; McKinney, L</t>
  </si>
  <si>
    <t>Kato, Yuki; McKinney, Laura</t>
  </si>
  <si>
    <t>Bringing food desert residents to an alternative food market: a semi-experimental study of impediments to food access</t>
  </si>
  <si>
    <t>The emerging critique of alternative food networks (AFNs) points to several factors that could impede the participation of low-income, minority communities in the movement, namely, spatial and temporal constraints, and the lack of economic, cultural, and human capital. Based on a semi-experimental study that offers 6 weeks of free produce to 31 low-income African American households located in a New Orleans food desert, this article empirically examines the significance of the impeding factors identified by previous scholarship, through participant surveys before, during, and after the program. Our results suggest economic constraints are more influential in determining where the participants shop for food than spatial and temporal constraints, and the study participants exhibit high levels of human and cultural capital regarding the purchase and consumption of locally grown produce. We also find them undeterred by the market's predominantly White, middle-class cultural social space, which leads us to question the extent to which cultural exclusivity discourages their participation in AFNs. For all five factors we find that the constraints posed to accessing the local food market were not universal but varied among the participants. Finally, the study reveals some localized social constraints, fragmented social ties in particular, as a possible structural hurdle to engaging these residents in the alternative market in their neighborhood. Conclusions point to the need for a multi-dimensional and dynamic conceptualization of food access..</t>
  </si>
  <si>
    <t>10.1007/s10460-014-9541-3</t>
  </si>
  <si>
    <t>WOS:000352067700005</t>
  </si>
  <si>
    <t>Dubowitz, T; Zenk, SN; Ghosh-Dastidar, B; Cohen, DA; Beckman, R; Hunter, G; Steiner, ED; Collins, RL</t>
  </si>
  <si>
    <t>Dubowitz, Tamara; Zenk, Shannon N.; Ghosh-Dastidar, Bonnie; Cohen, Deborah A.; Beckman, Robin; Hunter, Gerald; Steiner, Elizabeth D.; Collins, Rebecca L.</t>
  </si>
  <si>
    <t>Healthy food access for urban food desert residents: examination of the food environment, food purchasing practices, diet and BMI</t>
  </si>
  <si>
    <t>Objective: To provide a richer understanding of food access and purchasing practices among US urban food desert residents and their association with diet and BMI. Design: Data on food purchasing practices, dietary intake, height and weight from the primary food shopper in randomly selected households (n 1372) were collected. Audits of all neighbourhood food stores (n 24) and the most-frequented stores outside the neighbourhood (n 16) were conducted. Aspects of food access and purchasing practices and relationships among them were examined and tests of their associations with dietary quality and BMI were conducted. Setting: Two low-income, predominantly African-American neighbourhoods with limited access to healthy food in Pittsburgh, PA, USA. Subjects: Household food shoppers. Results: Only one neighbourhood outlet sold fresh produce; nearly all respondents did major food shopping outside the neighbourhood. Although the nearest fullservice supermarket was an average of 2.6 km from their home, respondents shopped an average of 6.0 km from home. The average trip was by car, took approximately 2 h for the round trip, and occurred two to four times per month. Respondents spent approximately $US 37 per person per week on food. Those who made longer trips had access to cars, shopped less often and spent less money per person. Those who travelled further when they shopped had higher BMI, but most residents already shopped where healthy foods were available, and physical distance from full-service supermarkets was unrelated to weight or dietary quality. Conclusions: Improved access to healthy foods is the target of current policies meant to improve health. However, distance to the closest supermarket might not be as important as previously thought, and thus policy and interventions that focus merely on improving access may not be effective.</t>
  </si>
  <si>
    <t>; Zennk, Shannon/D-4096-2018</t>
  </si>
  <si>
    <t>Steiner, Elizabeth/0000-0002-5586-8494; Zennk, Shannon/0000-0003-2409-7022</t>
  </si>
  <si>
    <t>10.1017/S1368980014002742</t>
  </si>
  <si>
    <t>WOS:000361066000014</t>
  </si>
  <si>
    <t>Dubowitz, T; Cohen, DA; Huang, CY; Beckman, RA; Collins, RL</t>
  </si>
  <si>
    <t>Dubowitz, Tamara; Cohen, Deborah A.; Huang, Christina Y.; Beckman, Robin A.; Collins, Rebecca L.</t>
  </si>
  <si>
    <t>Using a Grocery List Is Associated With a Healthier Diet and Lower BMI Among Very High-Risk Adults</t>
  </si>
  <si>
    <t>Objective: Examine whether use of a grocery list is associated with healthier diet and weight among food desert residents. Methods: Cross-sectional analysis of in-person interview data from randomly selected household food shoppers in 2 low-income, primarily African American urban neighborhoods in Pittsburgh, PA with limited access to healthy foods. Results: Multivariate ordinary least-square regressions conducted among 1,372 participants and controlling for sociodemographic factors and other potential confounding variables indicated that although most of the sample (78%) was overweight or obese, consistently using a list was associated with lower body mass index (based on measured height and weight) (adjusted multivariant coefficient = 0.095) and higher dietary quality (based on the Healthy Eating Index-2005) (adjusted multivariant coefficient = 0.103) (P &lt; .05). Conclusions and Implications: Shopping with a list may be a useful tool for low-income individuals to improve diet or decrease body mass index.</t>
  </si>
  <si>
    <t>10.1016/j.jneb.2015.01.005</t>
  </si>
  <si>
    <t>WOS:000355955600011</t>
  </si>
  <si>
    <t>Dubowitz, T; Ghosh-Dastidar, M; Cohen, DA; Beckman, R; Steiner, ED; Hunter, GP; Flórez, KR; Huang, C; Vaughan, CA; Sloan, JC; Zenk, SN; Cummins, S; Collins, RL</t>
  </si>
  <si>
    <t>Dubowitz, Tamara; Ghosh-Dastidar, Madhumita; Cohen, Deborah A.; Beckman, Robin; Steiner, Elizabeth D.; Hunter, Gerald P.; Florez, Karen R.; Huang, Christina; Vaughan, Christine A.; Sloan, Jennifer C.; Zenk, Shannon N.; Cummins, Steven; Collins, Rebecca L.</t>
  </si>
  <si>
    <t>Diet And Perceptions Change With Supermarket Introduction In A Food Desert, But Not Because Of Supermarket Use</t>
  </si>
  <si>
    <t>Placing full-service supermarkets in food deserts-areas with limited access to healthy food-has been promoted as a way to reduce inequalities in access to healthy food, improve diet, and reduce the risk of obesity. However, previous studies provide scant evidence of such impacts. We surveyed households in two Pittsburgh, Pennsylvania, neighborhoods in 2011 and 2014, one of which received a new supermarket in 2013. Comparing trends in the two neighborhoods, we obtained evidence of multiple positive impacts from new supermarket placement. In the new supermarket neighborhood we found net positive changes in overall dietary quality; average daily intakes of kilocalories and added sugars; and percentage of kilocalories from solid fats, added sugars, and alcohol. However, the only positive outcome in the recipient neighborhood specifically associated with regular use of the new supermarket was improved perceived access to healthy food. We did not observe differential improvement between the neighborhoods in fruit and vegetable intake, whole grain consumption, or body mass index. Incentivizing supermarkets to locate in food deserts is appropriate. However, efforts should proceed with caution, until the mechanisms by which the stores affect diet and their ability to influence weight status are better understood.</t>
  </si>
  <si>
    <t>Florez, Karen/AAG-4036-2021; Zennk, Shannon/D-4096-2018; Cummins, Steven/C-1230-2009</t>
  </si>
  <si>
    <t>Florez, Karen/0000-0002-5758-433X; Zennk, Shannon/0000-0003-2409-7022; Cummins, Steven/0000-0002-3957-4357; Steiner, Elizabeth/0000-0002-5586-8494</t>
  </si>
  <si>
    <t>10.1377/hlthaff.2015.0667</t>
  </si>
  <si>
    <t>WOS:000366724000009</t>
  </si>
  <si>
    <t>Taylor, DE; Ard, KJ</t>
  </si>
  <si>
    <t>Taylor, Dorceta E.; Ard, Kerry J.</t>
  </si>
  <si>
    <t>Food Availability and the Food Desert Frame in Detroit: An Overview of the City's Food System</t>
  </si>
  <si>
    <t>ENVIRONMENTAL PRACTICE</t>
  </si>
  <si>
    <t>This article takes a new approach to studying food access. It combines environmental justice analysis with systems thinking in an examination of the food environment of Detroit. The article reviews food access literature and identifies how each body of scholarship's underlying assumptions help or distort our understanding of urban food environments. The article argues for more comprehensive approaches to studying food access and demonstrates how such approaches can be implemented. We collected data from multiple sources, including ReferenceUSA, Orbis, and the Michigan Department of Agriculture, between 2011 and 2013 to build a database of food outlets in the city. We used SPSS 22 and ArcGIS 10.1 to analyze and map the data. The article analyzes the location of 3,499 food outlets in Detroit, comprising 34 categories food retailers, growers, supply chain, and food assistance programs. The study identified 96 supermarkets or full-line grocery stores; 1,110 small groceries, convenience stores, mini marts, and liquor stores; 279 specialty food stores; 306 pharmacies, dollar, and variety stores; 1,245 full-service and fast food restaurants and other food service outlets; 157 supply chain operations; 206 farms, community and school gardens, farmers' markets, and produce markets; and 100 food assistance programs. The article finds that though Detroit has areas that lack food outlets, the portrayal of the entire city as a food desert is misleading. Moreover, the traditional approach of food desert research of using only or primarily the presence or absence of supermarkets and full-line grocery stores to study food access ignores many important venues from which people obtain food. It also ignores the strategies people use to cope with food insecurity and their responses to limited food access.</t>
  </si>
  <si>
    <t>Ard, Kerry/C-6927-2018</t>
  </si>
  <si>
    <t>Ard, Kerry/0000-0003-3177-954X</t>
  </si>
  <si>
    <t>1466-0466</t>
  </si>
  <si>
    <t>1466-0474</t>
  </si>
  <si>
    <t>10.1017/S1466046614000544</t>
  </si>
  <si>
    <t>WOS:000358376000004</t>
  </si>
  <si>
    <t>Ploeg, MV; Dutko, P; Breneman, V</t>
  </si>
  <si>
    <t>Ploeg, Michele Ver; Dutko, Paula; Breneman, Vince</t>
  </si>
  <si>
    <t>Measuring Food Access and Food Deserts for Policy Purposes</t>
  </si>
  <si>
    <t>Policymakers have dedicated increasing attention to whether Americans have access to healthful food. As a result, various methods for measuring food store access at the national level have been developed to identify areas that lack access. However, these methods face definitional, data, and methodological limitations. The focus on neighborhoods instead of individuals underestimates the barriers that some individuals face in accessing healthy food, and overestimates the problem in other neighborhoods. This paper reviews and critiques currently available national-level measures of food access. While multiple measures of food access are needed to understand the problem, we recommend greater attention be paid to individual measures of food store access.</t>
  </si>
  <si>
    <t>10.1093/aepp/ppu035</t>
  </si>
  <si>
    <t>WOS:000354696400002</t>
  </si>
  <si>
    <t>Mui, Y; Lee, BY; Adam, A; Kharmats, AY; Budd, N; Nau, C; Gittelsohn, J</t>
  </si>
  <si>
    <t>Mui, Yeeli; Lee, Bruce Y.; Adam, Atif; Kharmats, Anna Y.; Budd, Nadine; Nau, Claudia; Gittelsohn, Joel</t>
  </si>
  <si>
    <t>Healthy versus Unhealthy Suppliers in Food Desert Neighborhoods: A Network Analysis of Corner Stores' Food Supplier Networks</t>
  </si>
  <si>
    <t>Background: Products in corner stores may be affected by the network of suppliers from which storeowners procure food and beverages. To date, this supplier network has not been well characterized. Methods: Using network analysis, we examined the connections between corner stores (n = 24) in food deserts of Baltimore City (MD, USA) and their food/beverage suppliers (n = 42), to determine how different store and supplier characteristics correlated. Results: Food and beverage suppliers fell into two categories: Those providing primarily healthy foods/beverages (n = 15) in the healthy supplier network (HSN) and those providing primarily unhealthy food/beverages (n = 41) in the unhealthy supplier network (UHSN). Corner store connections to suppliers in the UHSN were nearly two times greater (t = 5.23, p &lt; 0.001), and key suppliers in the UHSN core were more diverse, compared to the HSN. The UHSN was significantly more cohesive and densely connected, with corner stores sharing a greater number of the same unhealthy suppliers, compared to HSN, which was less cohesive and sparsely connected (t = 5.82; p &lt; 0.001). Compared to African Americans, Asian and Hispanic corner storeowners had on average -1.53 (p &lt; 0.001) fewer connections to suppliers in the HSN (p &lt; 0.001). Conclusions: Our findings indicate clear differences between corner stores' HSN and UHSN. Addressing ethnic/cultural differences of storeowners may also be important to consider.</t>
  </si>
  <si>
    <t>; Kharmats, Anna/G-5678-2017</t>
  </si>
  <si>
    <t>, Yeeli/0000-0002-5101-4096; Kharmats, Anna/0000-0002-9384-7344; Nugent, Nadine/0000-0002-7482-012X</t>
  </si>
  <si>
    <t>10.3390/ijerph121214965</t>
  </si>
  <si>
    <t>WOS:000367539000008</t>
  </si>
  <si>
    <t>Brown, DR; Brewster, LG</t>
  </si>
  <si>
    <t>Brown, David R.; Brewster, Luther G.</t>
  </si>
  <si>
    <t>The food environment is a complex social network</t>
  </si>
  <si>
    <t>The lack of demonstrated impact of the South LA fast food ban suggests that the policy was too narrowly crafted. Healthy food deserts like South LA are simultaneously unhealthy food swamps; and face myriad interrelated social, economic, and environmental challenges. The food environment is a complex social network impacted by social, economic and political factors at the neighborhood, regional, national, and international levels. Banning one subtype of unhealthy food venue is not likely to limit the availability of unhealthy processed and packaged foods nor result in increased access to affordable healthy foods. Food deserts and food insecurity are symptoms of the interacting pathologies of poverty, distressed communities, and unhealthy global macroeconomic and industrial policies. Policies that seek to impact urban health disparities need to tackle root causes including poverty and the global production and distribution of cheap, addictive, unhealthy products that promote unhealthy lifestyles. (C) 2015 Elsevier Ltd. All rights reserved.</t>
  </si>
  <si>
    <t>Brown, David/H-5175-2017</t>
  </si>
  <si>
    <t>Brown, David/0000-0002-5361-6664</t>
  </si>
  <si>
    <t>10.1016/j.socscimed.2015.03.058</t>
  </si>
  <si>
    <t>WOS:000354579800027</t>
  </si>
  <si>
    <t>Del Casino, VJ</t>
  </si>
  <si>
    <t>Del Casino, Vincent J., Jr.</t>
  </si>
  <si>
    <t>Social geography I: Food</t>
  </si>
  <si>
    <t>This review discusses the social geographies of food, focusing on how social geographic research has been taken up in and influenced by the wider discussions of food geographies in the discipline. It does so with particular attention to: the spatial politics of food deserts, food security, and food justice movements; the socialities of food identities; and the embodiments of food. This tripartite discussion of the social geographies of food is intended to highlight the complex theoretical and methodological approaches that geographers are employing when interrogating this particular object.</t>
  </si>
  <si>
    <t>Del Casino, Vincent/0000-0003-0071-4567</t>
  </si>
  <si>
    <t>10.1177/0309132514562997</t>
  </si>
  <si>
    <t>WOS:000364737600006</t>
  </si>
  <si>
    <t>Peyton, S; Moseley, W; Battersby, J</t>
  </si>
  <si>
    <t>Peyton, Stephen; Moseley, William; Battersby, Jane</t>
  </si>
  <si>
    <t>Implications of supermarket expansion on urban food security in Cape Town, South Africa</t>
  </si>
  <si>
    <t>AFRICAN GEOGRAPHICAL REVIEW</t>
  </si>
  <si>
    <t>The rapid rise in supermarkets in developing countries over the last several decades resulted in radical transformations of food retail systems. In Cape Town, supermarket expansion has coincided with rapid urbanization and food insecurity. In this context, retail modernization has become a powerful market-driven process impacting food access for the poor. The introduction of formal food retail formats is viewed simultaneously as a driver of food accessibility and as a detriment to informal food economies established in lower income neighborhoods. Through a mixed-methods approach, this article assesses the spatial distribution of supermarkets within Cape Town and whether this geography of food retail combats or perpetuates food insecurity, particularly in lower income neighborhoods. Spatial analysis using geographic information systems at a city-wide scale is combined with a qualitative case study utilizing semi-structured interviews and observational analysis in the Philippi township in order to illuminate the limitations of supermarket expansion as a marketoriented alleviation strategy for food insecurity. While supermarkets have been successful in penetrating some low-income communities, they are often incompatible with the consumption strategies of the poorest households, revealing the significance of the informal economy in Cape Town and the limitations of a food desert approach toward understanding urban food security.</t>
  </si>
  <si>
    <t>Moseley, William/A-3361-2008; battersby, jane/P-3065-2019; , Jane/ISS-8007-2023</t>
  </si>
  <si>
    <t>, Jane/0000-0002-8045-1295; Moseley, William/0000-0003-0662-962X; Battersby, Jane/0000-0003-3646-9890</t>
  </si>
  <si>
    <t>1937-6812</t>
  </si>
  <si>
    <t>2163-2642</t>
  </si>
  <si>
    <t>10.1080/19376812.2014.1003307</t>
  </si>
  <si>
    <t>WOS:000211729700004</t>
  </si>
  <si>
    <t>Moore, K; Waite, B; Dinkins, D; Swisher, ME; Delong, A; Johns, T</t>
  </si>
  <si>
    <t>Moore, Kelly; Waite, Bruce; Dinkins, David; Swisher, Marilyn E.; Delong, Alia; Johns, Tracy</t>
  </si>
  <si>
    <t>Maximize impact, minimize resources: Locating food deserts and increasing SNAP spending on fruits and vegetables</t>
  </si>
  <si>
    <t>Many community organizations addressing aspects of food insecurity have not traditionally participated in food systems development and are often not familiar with the populations most affected by food insecurity. Needs assessments are commonly used to better understand community issues and target populations, but can they be lengthy processes that often require significant resources to facilitate. We present a case study of Duval County, Florida, in which we develop an assessment procedure for identifying food-insecure communities and determining the specific locations in which food-security programming has the greatest potential to increase local fruit and vegetable purchasing by SNAP households. This assessment draws on existing databases, thus reducing the resources required to conduct the analysis and allowing organizations to implement programming in a timely manner in areas where there is potential to see the greatest gains in reducing food insecurity.</t>
  </si>
  <si>
    <t>10.5304/jafscd.2015.061.012</t>
  </si>
  <si>
    <t>WOS:000382542300011</t>
  </si>
  <si>
    <t>Widener, MJ; Farber, S; Neutens, T; Horner, M</t>
  </si>
  <si>
    <t>Widener, Michael J.; Farber, Steven; Neutens, Tijs; Horner, Mark</t>
  </si>
  <si>
    <t>Spatiotemporal accessibility to supermarkets using public transit: an interaction potential approach in Cincinnati, Ohio</t>
  </si>
  <si>
    <t>JOURNAL OF TRANSPORT GEOGRAPHY</t>
  </si>
  <si>
    <t>Improving nutrition in urban regions involves understanding which neighborhoods and populations lack access to stores that sell healthy foods, such as fruits and vegetables. To this end, recent work has focused on mapping regions without access to places like supermarkets, often terming them 'food deserts'. Until recently, this work has not considered residents' mobility as facilitated by transportation systems, and even among those that do, few have considered alternative forms of transportation, like public transit, opting for automobile-oriented travel assumptions. This paper analyzes people's spatio-temporal constraints to accessing supermarkets, and focuses on the transit commuting population. Analysis of commute data from Cincinnati, Ohio shows there are a significant number of residents that have improved access to supermarkets when a grocery shopping trip is made on the way home from work, than if they were to depart from their home location. These results extend previous work showing relatively few automobile commuting residents have better access to supermarkets given their work locations. (C) 2014 Elsevier Ltd. All rights reserved.</t>
  </si>
  <si>
    <t>Farber, Steven/ABE-6061-2021; Widener, Michael/ABH-3668-2020; Neutens, Tijs/A-8623-2015; Farber, Steven/L-9356-2013</t>
  </si>
  <si>
    <t>0966-6923</t>
  </si>
  <si>
    <t>1873-1236</t>
  </si>
  <si>
    <t>10.1016/j.jtrangeo.2014.11.004</t>
  </si>
  <si>
    <t>WOS:000350186500007</t>
  </si>
  <si>
    <t>Lê, Q; Nguyen, HB; Terry, DR; Dieters, S; Auckland, S; Long, G</t>
  </si>
  <si>
    <t>Quynh Le; Hoang Boi Nguyen; Terry, Daniel R.; Dieters, Stefan; Auckland, Stuart; Long, Gretchen</t>
  </si>
  <si>
    <t>Quantifying and visualizing access to healthy food in a rural area of Australia: A spatial analysis</t>
  </si>
  <si>
    <t>FOOD SECURITY</t>
  </si>
  <si>
    <t>A Geographical Information System (GIS) using ArcGIS tools was adopted to implement three types of spatial analysis: coverage, density and proximity, to evaluate the geographical access to healthy food of the populations in Dorset Municipality, Tasmania, Australia. Data on food outlets, the aggregated socioeconomic disadvantage index, locations, income and population were collected using the Tasmanian Food Outlet Audit and Tasmanian Healthy Food Basket tools. Spatial autocorrelation was conducted where appropriate to examine the relationship between locations and food access. Healthy food outlets were concentrated in the central areas, areas in proximity to the national road and areas of dense population. Their locations also favored the more socio-economically deprived or disadvantaged areas (Moran's Index = 0.924, z-score = 5.187, p-value = 0.00 &lt; 0.05). Spatial identification of food deserts in Dorset has been a pioneering attempt to visualize areas with the highest demand for improvement in healthy food access and may be applicable to other areas with similar characteristics.</t>
  </si>
  <si>
    <t>; Terry, Daniel/X-7178-2019</t>
  </si>
  <si>
    <t>Nguyen, Hoang/0000-0003-4281-5948; Auckland, Stuart/0000-0001-7972-0227; Terry, Daniel/0000-0002-1969-8002</t>
  </si>
  <si>
    <t>1876-4517</t>
  </si>
  <si>
    <t>1876-4525</t>
  </si>
  <si>
    <t>10.1007/s12571-015-0491-4</t>
  </si>
  <si>
    <t>WOS:000362285400007</t>
  </si>
  <si>
    <t>Nash, A</t>
  </si>
  <si>
    <t>Nash, Alan</t>
  </si>
  <si>
    <t>The Consuming Geographies of Food: Diet, Food Deserts and Obesity</t>
  </si>
  <si>
    <t>E83</t>
  </si>
  <si>
    <t>10.1111/cag.12213</t>
  </si>
  <si>
    <t>WOS:000360768600009</t>
  </si>
  <si>
    <t>Myers, JS; Sbicca, J</t>
  </si>
  <si>
    <t>Myers, Justin Sean; Sbicca, Joshua</t>
  </si>
  <si>
    <t>Bridging good food and good jobs: From secession to confrontation within alternative food movement politics</t>
  </si>
  <si>
    <t>Much of the alternative food movement is predicated on a prefigurative politics of building alternatives to the conventional agrifood system, with only a smaller segment invested in a politics of confrontation with that very same system. In the context of actually existing agrifood relations, this raises a number of concerns. First, the movement often ignores challenging race and class inequality within the agrifood system in favor of realizing environmental sustainability and supporting small farmers. Second, corporate agribusinesses often co-opt the movement's consumer-centric and health-centric framings to legitimate low-wage big-box retail development in low-income urban communities. Third, the movement does not always recognize how low-income urban communities are developing language and tactics to shape local economic development. In this article, we investigate new alliances between alternative food organizations and labor organizations that use confrontational politics to demand greater food justice and economic justice in the conventional agrifood system. Specifically, we focus on struggles against Wal-Mart in New York City and Los Angeles and the discourse of Good Food, Good Jobs, which is used to build alliances between alternative food activists and labor activists working to address the root causes of food insecurity and food deserts. We find that at the core of the Good Food, Good Jobs discourse is a politics committed to increasing the power and health of food chain workers, and more broadly, the communities within which they live, by rejecting the tradeoff between food and jobs, which empowers working class people to shape the development of their communities. (C) 2015 Elsevier Ltd. All rights reserved.</t>
  </si>
  <si>
    <t>Sbicca, Joshua/0000-0002-8106-4713</t>
  </si>
  <si>
    <t>10.1016/j.geoforum.2015.02.003</t>
  </si>
  <si>
    <t>WOS:000354502900003</t>
  </si>
  <si>
    <t>Koh, K; Grady, SC; Vojnovic, I</t>
  </si>
  <si>
    <t>Koh, Keumseok; Grady, Sue C.; Vojnovic, Igor</t>
  </si>
  <si>
    <t>Using simulated data to investigate the spatial patterns of obesity prevalence at the census tract level in metropolitan Detroit</t>
  </si>
  <si>
    <t>Obesity is a serious public health problem in the United States. It is important to estimate obesity prevalence at the local level to target programmatic and policy interventions. It is challenging, however, to obtain local estimates of obesity prevalence because national health surveys such as the Centers for Disease Control and Prevention (CDC) Behavioral Risk Factor Surveillance System (BRFSS) are not designed to produce direct estimates at the local levels (e.g. census tracts) due to small population samples and the need to preserve individual confidentiality. In this study we address the problem of estimating local obesity prevalence rates by implementing a spatial microsimulation modeling technique to proportionally replicate the demographic characteristics of BRFSS respondents to census tract populations in metropolitan Detroit. Obesity prevalence rates are examined for high and low spatial clusters and studied in relation to the U.S. Department of Agriculture's (USDA) measures of low-income neighborhoods and local food deserts and CDC's measure of healthy and less healthy food environments currently used to target obesity reduction initiatives. This study found that obesity prevalence was largely clustered in the City of Detroit extending north into contiguous suburbs. The spatial patterns of highest obesity prevalence tracts were most similarly aligned with USDA-defined low-income tracts and CDC's less healthy food tracts. The locations of USDA's food desert tracts rarely overlapped with the highest obesity prevalence tracts. This study demonstrated a new methodology by which to assess local areas in need of future obesity interventions. (C) 2015 Elsevier Ltd. All rights reserved.</t>
  </si>
  <si>
    <t>Koh, Keumseok/ABE-4297-2020</t>
  </si>
  <si>
    <t>Koh, Keumseok/0000-0001-7263-2697</t>
  </si>
  <si>
    <t>10.1016/j.apgeog.2015.03.016</t>
  </si>
  <si>
    <t>WOS:000360419800003</t>
  </si>
  <si>
    <t>Luan, H; Law, J; Quick, M</t>
  </si>
  <si>
    <t>Luan, Hui; Law, Jane; Quick, Matthew</t>
  </si>
  <si>
    <t>Identifying food deserts and swamps based on relative healthy food access: a spatio-temporal Bayesian approach</t>
  </si>
  <si>
    <t>Background: Obesity and other adverse health outcomes are influenced by individual-and neighbourhood-scale risk factors, including the food environment. At the small-area scale, past research has analysed spatial patterns of food environments for one time period, overlooking how food environments change over time. Further, past research has infrequently analysed relative healthy food access (RHFA), a measure that is more representative of food purchasing and consumption behaviours than absolute outlet density. Methods: This research applies a Bayesian hierarchical model to analyse the spatio-temporal patterns of RHFA in the Region of Waterloo, Canada, from 2011 to 2014 at the small-area level. RHFA is calculated as the proportion of healthy food outlets (healthy outlets/healthy + unhealthy outlets) within 4-km from each small-area. This model measures spatial autocorrelation of RHFA, temporal trend of RHFA for the study region, and spatio-temporal trends of RHFA for small-areas. Results: For the study region, a significant decreasing trend in RHFA is observed (-0.024), suggesting that food swamps have become more prevalent during the study period. For small-areas, significant decreasing temporal trends in RHFA were observed for all small-areas. Specific small-areas located in south Waterloo, north Kitchener, and southeast Cambridge exhibited the steepest decreasing spatio-temporal trends and are classified as spatio-temporal food swamps. Conclusions: This research demonstrates a Bayesian spatio-temporal modelling approach to analyse RHFA at the small-area scale. Results suggest that food swamps are more prevalent than food deserts in the Region of Waterloo. Analysing spatio-temporal trends of RHFA improves understanding of local food environment, highlighting specific small-areas where policies should be targeted to increase RHFA and reduce risk factors of adverse health outcomes such as obesity.</t>
  </si>
  <si>
    <t>Luan, Hui/0000-0001-9884-8509; Quick, Matthew/0000-0002-1112-9323</t>
  </si>
  <si>
    <t>DEC 30</t>
  </si>
  <si>
    <t>10.1186/s12942-015-0030-8</t>
  </si>
  <si>
    <t>WOS:000367370900001</t>
  </si>
  <si>
    <t>Humphrey, AL; Wilson, BC; Reddy, M; Shroba, JA; Ciaccio, CE</t>
  </si>
  <si>
    <t>Humphrey, Alison L.; Wilson, Benjamin C.; Reddy, Mamta; Shroba, Jodi A.; Ciaccio, Christina E.</t>
  </si>
  <si>
    <t>An Association Between Pediatric Food Allergy and Food Deserts</t>
  </si>
  <si>
    <t>JOURNAL OF ALLERGY AND CLINICAL IMMUNOLOGY</t>
  </si>
  <si>
    <t>FEB 20-24, 2015</t>
  </si>
  <si>
    <t>Houston, TX</t>
  </si>
  <si>
    <t>Amer Acad Allergy, Asthma &amp; Immunol</t>
  </si>
  <si>
    <t>0091-6749</t>
  </si>
  <si>
    <t>1097-6825</t>
  </si>
  <si>
    <t>AB255</t>
  </si>
  <si>
    <t>10.1016/j.jaci.2014.12.1774</t>
  </si>
  <si>
    <t>WOS:000361129600829</t>
  </si>
  <si>
    <t>Berkowitz, SA; Atlas, SJ; Meigs, JB; Wexler, DJ</t>
  </si>
  <si>
    <t>Berkowitz, Seth A.; Atlas, Steven J.; Meigs, James B.; Wexler, Deborah J.</t>
  </si>
  <si>
    <t>Food Insecurity, Food Deserts, and Hemoglobin A1c: A Multilevel Longitudinal Analysis</t>
  </si>
  <si>
    <t>DIABETES</t>
  </si>
  <si>
    <t>JUN 05-09, 2015</t>
  </si>
  <si>
    <t>Amer Diabet Assoc</t>
  </si>
  <si>
    <t>Meigs, James/P-3927-2019</t>
  </si>
  <si>
    <t>0012-1797</t>
  </si>
  <si>
    <t>1939-327X</t>
  </si>
  <si>
    <t>1653-P</t>
  </si>
  <si>
    <t>A429</t>
  </si>
  <si>
    <t>WOS:000359482702179</t>
  </si>
  <si>
    <t>Andreatta, SL</t>
  </si>
  <si>
    <t>Andreatta, Susan L.</t>
  </si>
  <si>
    <t>Through the Generations: Victory Gardens for Tomorrow's Tables</t>
  </si>
  <si>
    <t>CULTURE AGRICULTURE FOOD AND ENVIRONMENT</t>
  </si>
  <si>
    <t>This paper briefly looks into the past where Victory Gardens were considered a patriotic act. Today, would such gardens help with climate change and reduce the number of food deserts? The paper also touches on community gardens and seeks other ideas for connecting people to growing local food at their home or in community environments and to sharing the harvest. Lastly, it looks at dual purposing farmland use for generating power as well as growing produce with a new method called agrivoltaic production. The overall intent of the paper is to get readers to be thinking about applied agriculture and food projects they can do as class projects, at their place of residence, and in their communities.</t>
  </si>
  <si>
    <t>2153-9553</t>
  </si>
  <si>
    <t>2153-9561</t>
  </si>
  <si>
    <t>10.1111/cuag.12046</t>
  </si>
  <si>
    <t>WOS:000211608900005</t>
  </si>
  <si>
    <t>Berkowitz, SA; Atlas, SJ; Barnard, L; Traore, CY; Meigs, JB; Wexler, DJ</t>
  </si>
  <si>
    <t>Berkowitz, Seth A.; Atlas, Steven J.; Barnard, Lily; Traore, Carine Y.; Meigs, James B.; Wexler, Deborah J.</t>
  </si>
  <si>
    <t>FOOD INSECURITY, FOOD DESERTS, AND GLYCEMIC CONTROL: A MULTI-LEVEL LONGITUDINAL ANALYSIS</t>
  </si>
  <si>
    <t>APR 22-25, 2015</t>
  </si>
  <si>
    <t>Toronto, CANADA</t>
  </si>
  <si>
    <t>Wexler, Deborah/LIG-2802-2024; Meigs, James/P-3927-2019</t>
  </si>
  <si>
    <t>S166</t>
  </si>
  <si>
    <t>WOS:000358386900272</t>
  </si>
  <si>
    <t>Flórez, KR; Dubowitz, T; Ghosh-Dastidar, MB; Beckman, R; Collins, RL</t>
  </si>
  <si>
    <t>Florez, Karen R.; Dubowitz, Tamara; Ghosh-Dastidar, Madhumita (Bonnie); Beckman, Robin; Collins, Rebecca L.</t>
  </si>
  <si>
    <t>Associations between Depressive Symptomatology, Diet, and Body Mass Index among Participants in the Supplemental Nutrition Assistance Program</t>
  </si>
  <si>
    <t>Background Participation in the Supplemental Nutrition Assistance Program (SNAP) has been shown to increase food security, or access to adequate food; however, SNAP participation has also been associated with obesity among certain demographic groups (eg, women, but not men and children), possibly due to poorer dietary quality. Depressive symptomatology is an understudied factor, which is associated with obesity across the lifespan. Objective This study examined the relationship between depressive symptomatology, dietary quality, and body weight among a sample of SNAP participants (n=639). Design The analysis was cross-sectional; survey data were collected in May to December 2011 by trained data collectors. Participants/setting Adults who self-identified as the primary food shopper of the household in two predominantly low-income African-American neighborhoods characterized as food deserts in Pittsburgh, PA, were recruited to participate in this study. Measures Dietary quality was calculated using the US Department of Agriculture's Healthy Eating Index-2005. Body mass index (BMI; calculated as kg/m(2)) was based on objective measurements taken by the interviewer. Current depressive symptomatology was assessed by a trained interviewer using the Patient Health Questionnaire-2. Statistical analyses performed Descriptive statistics (means and percentages); two multivariate ordinary least-square regression analyses predicting BMI and dietary quality from depressive symptomatology while controlling for sociodemographic factors and food insecurity were performed. Results Depression was a strong and statistically significant predictor of both dietary quality and BMI; higher score in depressive symptomatology was associated with lower scores in dietary quality (beta=-1.26; P&lt;0.0001). A higher score in depressive symptomatology was associated with higher BMI (beta=.63; P=0.0031). Conclusions These findings show that depressive symptomatology is significantly associated with weight-related outcomes and suggests that understanding the risk of depression among SNAP participants could be important to understanding the relationships among SNAP participation, diet, and weight. The association between depressive symptomology, elevated BMI, and lower dietary quality among low-income, primarily African-American residents living in a food desert suggests the potential for mental health interventions to have broader benefits in this population. However, the directionality of this association is unclear and improving diet and reducing weight might also improve mental health symptoms. Additional longitudinal studies should assess these possibilities.</t>
  </si>
  <si>
    <t>Florez, Karen/AAG-4036-2021</t>
  </si>
  <si>
    <t>Florez, Karen/0000-0002-5758-433X</t>
  </si>
  <si>
    <t>10.1016/j.jand.2015.01.001</t>
  </si>
  <si>
    <t>WOS:000356836500010</t>
  </si>
  <si>
    <t>Shannon, J; Lee, JS; Holloway, SR; Brown, A; Bell, J</t>
  </si>
  <si>
    <t>Shannon, Jerry; Lee, Jung Sun; Holloway, Steven R.; Brown, Arvine; Bell, Jennifer</t>
  </si>
  <si>
    <t>Evaluating the relationship between urban environment and food security in Georgia's older population</t>
  </si>
  <si>
    <t>While food insecurity in older adults is closely linked to economic circumstances and functional limitations, research has shown that the physical and social environment can have a significant influence on food insecurity (Carter, Dubois, &amp; Tremblay, 2014). This paper reports on an ongoing research collaboration with Georgia's Division of Aging Services (DAS) and the University of Georgia. We used data from the Georgia Aging Information Management System (AIMS), which manages information on current or waitlisted clients in the state's aging services and programs (n = 38,812). We geocoded this data and added residence in a USDA defined food desert and whether the place of residence was in a rural area, urban cluster, new suburb, post-war suburb, or core urban area. The latter classification is a new measure developed from historic census data and is the main focus of this paper. We explored the relationships of these variables to rates of food insecurity through descriptive statistics and a logistic regression model. Our analysis showed a modest but significant positive relationship between food insecurity and residence in core urban areas (OR 1.27, 95% CI:1.17-1.38) and urban clusters (OR: 1.15, 95% Cl: 1.08-1.23). (C) 2014 Elsevier Ltd. All rights reserved.</t>
  </si>
  <si>
    <t>10.1016/j.apgeog.2014.10.013</t>
  </si>
  <si>
    <t>WOS:000356112500025</t>
  </si>
  <si>
    <t>Block, JP; Subramanian, SV</t>
  </si>
  <si>
    <t>Block, Jason P.; Subramanian, S. V.</t>
  </si>
  <si>
    <t>Moving Beyond Food Deserts: Reorienting United States Policies to Reduce Disparities in Diet Quality</t>
  </si>
  <si>
    <t>PLOS MEDICINE</t>
  </si>
  <si>
    <t>Block, Jason/HKV-6253-2023</t>
  </si>
  <si>
    <t>1549-1277</t>
  </si>
  <si>
    <t>1549-1676</t>
  </si>
  <si>
    <t>e1001914</t>
  </si>
  <si>
    <t>10.1371/journal.pmed.1001914</t>
  </si>
  <si>
    <t>WOS:000368451100004</t>
  </si>
  <si>
    <t>Gadhoke, P; Christiansen, K; Pardilla, M; Frick, K; Gittelsohn, J</t>
  </si>
  <si>
    <t>Gadhoke, Preety; Christiansen, Karina; Pardilla, Marla; Frick, Kevin; Gittelsohn, Joel</t>
  </si>
  <si>
    <t>We're Changing Our Ways: Women's Coping Strategies for Obesity Risk-reducing Behaviors in American Indian Households</t>
  </si>
  <si>
    <t>This article reveals women caregivers' perceptions and coping strategies to improve households' food and physical activity habits. Results emerged from the pre-intervention formative research phase of a multi-site, multi-level obesity prevention pilot intervention on American Indian (AI) reservations. Using purposive sampling, 250 adults and children participated in qualitative research. Results reveal that having local institutional support was a key structural facilitator. Family connectedness' emerged as a key relational facilitator. Hegemony of systems, food deserts, transportation, and weather were key structural barriers; Childcare needs and time constraints were key relational barriers. Women's coping strategies included planning ahead, maximizing, apportioning, tempting healthy, and social support. Findings informed the development and implementation of a novel obesity prevention pilot intervention tailored for each participating AI community addressing culturally relevant messages, institutional policies, and programs. We conclude with future consideration for comparative, ethnicity-based, class-based, and gender-specific studies on women's coping strategies for household health behaviors.</t>
  </si>
  <si>
    <t>Frick, K. Davina/0000-0002-0178-5319</t>
  </si>
  <si>
    <t>NOV 2</t>
  </si>
  <si>
    <t>10.1080/03670244.2014.947402</t>
  </si>
  <si>
    <t>WOS:000363770700001</t>
  </si>
  <si>
    <t>Hardin-Fanning, F; Rayens, MK</t>
  </si>
  <si>
    <t>Hardin-Fanning, Frances; Rayens, Mary Kay</t>
  </si>
  <si>
    <t>Food Cost Disparities in Rural Communities</t>
  </si>
  <si>
    <t>HEALTH PROMOTION PRACTICE</t>
  </si>
  <si>
    <t>Promotion of healthy eating is an effective public health strategy to prevent chronic disease incidence and progression. However, food prices can impede healthy eating, especially in rural communities. The purpose of this study was to determine whether food costs are associated with nutritional quality, geographic location, and month of year. The Overall Nutritional Quality Index and cost of 92 foods were assessed four times over a 10-month period in the primary grocery stores in four Kentucky counties, two rural and two urban. Repeated measures analysis of variance was used to assess differences in food costs by nutritional quality, county, and month. Among more nutritious food items, costs were lower in urban areas. This was particularly true among foods in the highest quartile of nutritional quality. Across all counties, there was a pattern of highest per-serving costs in the second quartile of nutritional quality, whereas more nutritious foods were less expensive. Strategies that help individuals improve the ability to identify and prepare less costly foods with high nutritional value may be effective in improving dietary habits, particularly in rural, impoverished food deserts.</t>
  </si>
  <si>
    <t>1524-8399</t>
  </si>
  <si>
    <t>1552-6372</t>
  </si>
  <si>
    <t>10.1177/1524839914554454</t>
  </si>
  <si>
    <t>WOS:000357300500010</t>
  </si>
  <si>
    <t>Parker, BD</t>
  </si>
  <si>
    <t>Parker, Benjamin D.</t>
  </si>
  <si>
    <t>You Are Where You Eat: A Critical Analysis of the Neoliberal Structuring of Student Food Consumption in an Urban Food Desert</t>
  </si>
  <si>
    <t>RADICAL PEDAGOGY</t>
  </si>
  <si>
    <t>This article critically analyzes how neoliberalism is implicated in expanding the opportunity gap as it relates to food security and public education. Neoliberalism claims to be a fair system of determining winners and losers by applying capitalistic market ideals to the social and political structures of our nation. However, it can be argued that some groups are failing disproportionately under this paradigm. These failures are not because certain groups are without merit or skill, but because they lack access to basic resources such as healthy foods. An ethnographic memoir of a public middle school teacher in Philadelphia, PA provides the context for the analysis. This article offers a view that power and privilege have an explicit impact on our food, health, and education. Specific pedagogical approaches are suggested as resistance strategies to the dominant discourse of neoliberalism in public schools.</t>
  </si>
  <si>
    <t>1524-6345</t>
  </si>
  <si>
    <t>WOS:000366800000002</t>
  </si>
  <si>
    <t>Tach, L; Amorim, M</t>
  </si>
  <si>
    <t>Tach, Laura; Amorim, Mariana</t>
  </si>
  <si>
    <t>Constrained, Convenient, and Symbolic Consumption: Neighborhood Food Environments and Economic Coping Strategies among the Urban Poor</t>
  </si>
  <si>
    <t>Residents of poor and minority neighborhoods have less access to healthy, affordable food than their counterparts in more advantaged neighborhoods, and these disparities translate into population-level health disparities by race and socioeconomic status. Current research debates the extent of these disparities and how they translate into unequal health outcomes, but it has paid less attention to the micro-level decision-making processes and strategies residents employ to access food in the context of constrained personal and neighborhood resources. We examined this gap in the literature using data from in-depth qualitative interviews with 66 poor residents of three urban neighborhoods with varying nutritional environments. We found that economic and geographic constraints strongly influenced where and how residents shopped, but within those constraints, residents developed a number of adaptive strategies to maximize the quality and variety of their groceries. We also found that higher-quality stores and purchases were important to residents not only for their material benefits-such as health and cost-but also for their symbolic value. The presence of many stores, close stores, and high-quality stores offered opportunities for symbolic consumption and boosted neighborhood reputations but also created settings for social exclusion. These results illuminate how inequalities in nutritional environments shape residents' lived experiences and highlight residents' agency and resourcefulness in responding to such constraints.</t>
  </si>
  <si>
    <t>10.1007/s11524-015-9984-x</t>
  </si>
  <si>
    <t>WOS:000363252400003</t>
  </si>
  <si>
    <t>Gahche, J; Sahyoun, N</t>
  </si>
  <si>
    <t>Gahche, Jaime; Sahyoun, Nadine</t>
  </si>
  <si>
    <t>Associations Between Vegetable-and-Fruit Consumption and Food Deserts: Urban Adults 40+years, NHANES 2003-2010</t>
  </si>
  <si>
    <t>1530-6860</t>
  </si>
  <si>
    <t>WOS:000361470501466</t>
  </si>
  <si>
    <t>Dubowitz, T</t>
  </si>
  <si>
    <t>Dubowitz, Tamara</t>
  </si>
  <si>
    <t>Diet And Perceptions Change With Supermarket Introduction In A Food Desert, But Not Because Of Supermarket Use (vol 34, pg 1858, 2015)</t>
  </si>
  <si>
    <t>WOS:000366724000010</t>
  </si>
  <si>
    <t>Cohen, DA; Collins, R; Hunter, G; Ghosh-Dastidar, B; Dubowitz, T</t>
  </si>
  <si>
    <t>Cohen, Deborah A.; Collins, Rebecca; Hunter, Gerald; Ghosh-Dastidar, Bonnie; Dubowitz, Tamara</t>
  </si>
  <si>
    <t>Store Impulse Marketing Strategies and Body Mass Index</t>
  </si>
  <si>
    <t>Objectives. We quantified the use of placement and price reduction marketing strategies in different food retail outlets to identify associations between these strategies and the risk of overweight and obesity among customers. Methods. In 2011 we collected dietary and health information from 1372 residents in food deserts in Pittsburgh, PA. We audited neighborhood restaurants and food stores (n = 40) including 16 distant food venues at which residents reported shopping. We assessed end-aisle displays, special floor displays, cash register displays, and price reductions for sugar-sweetened beverages (SSBs); foods high in saturated oils, fats, and added sugars; and nutritious foods such as fruits, vegetables, and products with at least 51% whole grains. Results. Supermarkets and superstores had the largest numbers of displays and price reductions for low-nutrient foods. Exposure to displays of SSBs and foods high in saturated oils, fats, and added sugars and price reduction of SSBs was associated with increased body mass index. Conclusions. In-store marketing strategies of low-nutrient foods appear to be risk factors for a higher body mass index among regular shoppers. Future research is needed to confirm the causal role of marketing strategies in obesity.</t>
  </si>
  <si>
    <t>10.2105/AJPH.2014.302220</t>
  </si>
  <si>
    <t>WOS:000362909400033</t>
  </si>
  <si>
    <t>Wedick, NM; Ma, YS; Olendzki, BC; Procter-Gray, E; Cheng, J; Kane, KJ; Ockene, IS; Pagoto, SL; Land, TG; Li, WJ</t>
  </si>
  <si>
    <t>Wedick, Nicole M.; Ma, Yunsheng; Olendzki, Barbara C.; Procter-Gray, Elizabeth; Cheng, Jie; Kane, Kevin J.; Ockene, Ira S.; Pagoto, Sherry L.; Land, Thomas G.; Li, Wenjun</t>
  </si>
  <si>
    <t>Access to Healthy Food Stores Modifies Effect of a Dietary Intervention</t>
  </si>
  <si>
    <t>Background: Recent evidence suggests that opening a grocery store in a food desert does not translate to better diet quality among community residents. Purpose: This study evaluated the influence of proximity to a healthy food store on the effect of a dietary behavioral intervention on diet among obese adults randomized to either a high fiber or American Heart Association diet intervention. Methods: Participants were recruited from Worcester County, Massachusetts, between June 2009 and January 2012. Dietary data were collected via 24-hour recalls at baseline and 3, 6, and 12 months post-intervention. Based on in-store inspection data, a store was considered as having adequate availability of healthy foods if it had at least one item available in each of 20 healthy food categories. Linear models evaluated maximum change in dietary outcomes in relation to road distance from residence to the nearest June healthy food store. The analysis was conducted in January to June 2014. Results: On average, participants (N=204) were aged 52 years, BMI=34.9, and included 72% women and 89% non-Hispanic whites. Shorter distance to a healthy food store was associated with greater improvements in consumption of fiber (b=-1.07 g/day per mile, p&lt;0.01) and fruits and vegetables (b=-0.19 servings/day per mile, p=0.03) with and without covariate adjustment. Conclusions: The effectiveness of dietary interventions is significantly influenced by the presence of a supportive community nutrition environment. Considering the nationwide efforts on promotion of healthy eating, the value of improving community access to healthy foods should not be underestimated. (C) 2015 American Journal of Preventive Medicine</t>
  </si>
  <si>
    <t>Procter-Gray, Elizabeth/K-1947-2019; Olendzki, Barbara/K-1067-2019; Pagoto, Sherry/L-2014-2013; Cheng, Jie/T-1277-2019; Li, Wenjun/F-5634-2015</t>
  </si>
  <si>
    <t>Li, Wenjun/0000-0001-5335-7386</t>
  </si>
  <si>
    <t>10.1016/j.amepre.2014.08.020</t>
  </si>
  <si>
    <t>WOS:000349739800008</t>
  </si>
  <si>
    <t>Canada</t>
  </si>
  <si>
    <t>Lotoski, LC; Engler-Stringer, R; Muhajarine, N</t>
  </si>
  <si>
    <t>Lotoski, Larisa C.; Engler-Stringer, Rachel; Muhajarine, Nazeem</t>
  </si>
  <si>
    <t>Cross-sectional analysis of a community-based cooperative grocery store intervention in Saskatoon, Canada</t>
  </si>
  <si>
    <t>CANADIAN JOURNAL OF PUBLIC HEALTH-REVUE CANADIENNE DE SANTE PUBLIQUE</t>
  </si>
  <si>
    <t>OBJECTIVES: The aim of this research is to examine the awareness and use of the Good Food Junction (GFJ), a not-for-profit full service cooperative grocery store in a former food desert in Saskatoon, Canada. METHODS: Through door-to-door sampling, 365 residents in their neighbourhoods surrounding the GFJ grocery store were recruited. Quantitative surveys examined awareness, use and primary use of GFJ, mode of transportation to and from GFJ and primary grocery stores, other food program use and demographic data. Differences between those who had or had not shopped at GFJ were characterized using descriptive statistics and Pearson's chi-square test. Univariate and multivariate logistic regression models were developed to predict shopping at GFJ and the use of GFJ as a primary grocery store. RESULTS: Of those surveyed, 69% had shopped at GFJ. A significant proportion of shoppers were Aboriginal, had an annual household income per person of less than $20,000, and participated in other food-based programs and initiatives. Aboriginal people (OR = 2.0, p = 0.03) and users of neighbourhood-based fruit and vegetable markets (OR = 2.7, p = 0.04) were significantly more likely, but new immigrants to Canada (OR = 0.3, p = 0.05) were significantly less likely to have ever shopped at GFJ. Aboriginal respondents (OR = 2.6, p = 0.04) were significantly more likely to use GFJ as their primary grocery store. CONCLUSION: Our results confirm both that GFJ is able to serve households where food insecurity is likely and, based on the prevalence of users, the importance and need for a full-service supermarket in Saskatoon's inner city.</t>
  </si>
  <si>
    <t>Lotoski, Larisa/JFK-0750-2023; Muhajarine, Nazeem/D-7360-2012</t>
  </si>
  <si>
    <t>0008-4263</t>
  </si>
  <si>
    <t>1920-7476</t>
  </si>
  <si>
    <t>MAR-APR</t>
  </si>
  <si>
    <t>E147</t>
  </si>
  <si>
    <t>E153</t>
  </si>
  <si>
    <t>10.17269/CJPH.106.4710</t>
  </si>
  <si>
    <t>WOS:000359840700011</t>
  </si>
  <si>
    <t>Ortega, AN; Albert, SL; Sharif, MZ; Langellier, BA; Garcia, RE; Glik, DC; Brookmeyer, R; Chan-Golston, AM; Friedlander, S; Prelip, ML</t>
  </si>
  <si>
    <t>Ortega, Alexander N.; Albert, Stephanie L.; Sharif, Mienah Z.; Langellier, Brent A.; Garcia, Rosa Elena; Glik, Deborah C.; Brookmeyer, Ron; Chan-Golston, Alec M.; Friedlander, Scott; Prelip, Michael L.</t>
  </si>
  <si>
    <t>Proyecto MercadoFRESCO: A Multi-level, Community-Engaged Corner Store Intervention in East Los Angeles and Boyle Heights</t>
  </si>
  <si>
    <t>Urban food swamps are typically situated in low-income, minority communities and contribute to overweight and obesity. Changing the food landscape in low income and underserved communities is one strategy to combat the negative health consequences associated with the lack of access to healthy food resources and an abundance of unhealthy food venues. In this paper, we describe Proyecto MercadoFRESCO (Fresh Market Project), a corner store intervention project in East Los Angeles and Boyle Heights in California that used a multi-level approach with a broad range of community, business, and academic partners. These are two neighboring, predominantly Latino communities that have high rates of overweight and obesity. Located in these two communities are approximately 150 corner stores. The project used a community-engaged approach to select, recruit, and convert four corner stores, so that they could become healthy community assets in order to improve residents' access to and awareness of fresh and affordable fruits and vegetables in their immediate neighborhoods. We describe the study framework for the multi-level intervention, which includes having multiple stakeholders, expertise in corner store operations, community and youth engagement strategies, and social marketing campaigns. We also describe the evaluation and survey methodology to determine community and patron impact of the intervention. This paper provides a framework useful to a variety of public health stakeholders for implementing a community-engaged corner store conversion, particularly in an urban food swamp.</t>
  </si>
  <si>
    <t>Ortega, Alexander/AAF-4175-2019</t>
  </si>
  <si>
    <t>Ortega, Alexander/0000-0001-6861-6993</t>
  </si>
  <si>
    <t>10.1007/s10900-014-9941-8</t>
  </si>
  <si>
    <t>WOS:000350822600022</t>
  </si>
  <si>
    <t>Eating Patterns, Body Mass Index, and Food Deserts: Does It Matter Where We Live? (vol 12, 150078, 2015)</t>
  </si>
  <si>
    <t>150352e</t>
  </si>
  <si>
    <t>10.5888/pcd12.150352e</t>
  </si>
  <si>
    <t>WOS:000368665100017</t>
  </si>
  <si>
    <t>Casazza, K; Brown, A; Astrup, A; Bertz, F; Baum, C; Brown, MB; Dawson, J; Durant, N; Dutton, G; Fields, DA; Fontaine, KR; Heymsfield, S; Levitsky, D; Mehta, T; Menachemi, N; Newby, PK; Pate, R; Raynor, H; Rolls, BJ; Sen, B; Smith, DL; Thomas, D; Wansink, B; Allison, DB</t>
  </si>
  <si>
    <t>Casazza, Krista; Brown, Andrew; Astrup, Arne; Bertz, Fredrik; Baum, Charles; Brown, Michelle Bohan; Dawson, John; Durant, Nefertiti; Dutton, Gareth; Fields, David A.; Fontaine, Kevin R.; Heymsfield, Steven; Levitsky, David; Mehta, Tapan; Menachemi, Nir; Newby, P. K.; Pate, Russell; Raynor, Hollie; Rolls, Barbara J.; Sen, Bisakha; Smith, Daniel L., Jr.; Thomas, Diana; Wansink, Brian; Allison, David B.</t>
  </si>
  <si>
    <t>Weighing the Evidence of Common Beliefs in Obesity Research</t>
  </si>
  <si>
    <t>CRITICAL REVIEWS IN FOOD SCIENCE AND NUTRITION</t>
  </si>
  <si>
    <t>Obesity is a topic on which many views are strongly held in the absence of scientific evidence to support those views, and some views are strongly held despite evidence to contradict those views. We refer to the former as presumptions and the latter as myths. Here, we present nine myths and 10 presumptions surrounding the effects of rapid weight loss; setting realistic goals in weight loss therapy; stage of change or readiness to lose weight; physical education classes; breastfeeding; daily self-weighing; genetic contribution to obesity; the Freshman 15; food deserts; regularly eating (versus skipping) breakfast; eating close to bedtime; eating more fruits and vegetables; weight cycling (i.e., yo-yo dieting); snacking; built environment; reducing screen time in childhood obesity; portion size; participation in family mealtime; and drinking water as a means of weight loss. For each of these, we describe the belief and present evidence that the belief is widely held or stated, reasons to support the conjecture that the belief might be true, evidence to directly support or refute the belief, and findings from randomized controlled trials, if available. We conclude with a discussion of the implications of these determinations, conjecture on why so many myths and presumptions exist, and suggestions for limiting the spread of these and other unsubstantiated beliefs about the obesity domain.</t>
  </si>
  <si>
    <t>Altshuler, David/A-4476-2009; Heymsfield, Steven/N-1968-2017; Dawson, John/HDM-6702-2022; Rolls, Barbara/AAE-3899-2019; Brown, Michelle/L-7778-2014; Menachemi, Nir/A-8903-2009; Astrup, Arne/B-1407-2015; Brown, Andrew/N-1826-2013</t>
  </si>
  <si>
    <t>Astrup, Arne/0000-0001-8968-8996; Menachemi, Nir/0000-0002-3411-2700; Allison, David/0000-0003-3566-9399; Smith Jr, Daniel/0000-0002-1602-2023; Brown, Andrew/0000-0002-1758-8205; Raynor, Hollie/0000-0002-3782-9504</t>
  </si>
  <si>
    <t>1040-8398</t>
  </si>
  <si>
    <t>1549-7852</t>
  </si>
  <si>
    <t>10.1080/10408398.2014.922044</t>
  </si>
  <si>
    <t>WOS:000356072800005</t>
  </si>
  <si>
    <t>Plano, CE; Darby, KJ; Shaffer, CL; Jadud, MC</t>
  </si>
  <si>
    <t>Plano, Christopher E.; Darby, Kate J.; Shaffer, Christopher L.; Jadud, Matthew C.</t>
  </si>
  <si>
    <t>Considering Public Transit: New Insights into Job and Healthy Food Access for Low-Income Residents in Baltimore, Maryland</t>
  </si>
  <si>
    <t>ENVIRONMENTAL JUSTICE</t>
  </si>
  <si>
    <t>Scholars, policymakers, and activists widely accept that low-income neighborhoods tend to lack amenities such as healthy food and employment opportunities. Most studies concerning access to these amenities assume that residents either drive a personal vehicle or walk to their destination, yet many low-income urban residents rely on public transit systems to access supermarkets and employment. This is especially true in Baltimore, a city where 11% of households do not own a personal vehicle. This study provides a methodological approach to incorporate these concerns into spatial analyses of food deserts and employment access. The method uses metropolitan planning organization-defined transportation analysis zones (TAZ) as the unit of analysis and evaluates public transit access to healthy food (i.e., supermarkets) and employment opportunities from each TAZ. This analysis can be used by decision makers to identify areas for improvement and ensure that transit-dependent individuals have good access to employment and healthy food sources. Twenty-four TAZs are identified as high-priority for transit improvements, many of which include former industrial areas and company towns, demonstrating the impact of historical development patterns on current populations in Baltimore. Considering budget constraints of transit agencies, this methodological approach can be used to make cost-effective and impactful transit improvements that address the needs of transit-dependent residents.</t>
  </si>
  <si>
    <t>1939-4071</t>
  </si>
  <si>
    <t>1937-5174</t>
  </si>
  <si>
    <t>JUN 1</t>
  </si>
  <si>
    <t>10.1089/env.2015.0003</t>
  </si>
  <si>
    <t>WOS:000362076700001</t>
  </si>
  <si>
    <t>MAY 14</t>
  </si>
  <si>
    <t>Lee-Kwan, SH; Yong, R; Bleich, SN; Kwan, NH; Park, JH; Lawrence, R; Gittelsohn, J</t>
  </si>
  <si>
    <t>Lee-Kwan, Seung Hee; Yong, Rachel; Bleich, Sara N.; Kwan, Nathan H.; Park, Joo Hye; Lawrence, Robert; Gittelsohn, Joel</t>
  </si>
  <si>
    <t>Carry-out Restaurant Intervention Increases Purchases of Healthy Food</t>
  </si>
  <si>
    <t>A pilot multiphase environmental intervention ( February to September 2011) was conducted in 4 intervention and 4 comparison carry-outs in low-income urban areas of Baltimore, Maryland, to examine the association between exposure to a point-of-purchase intervention and purchasing behavior among customers (n = 186). Intervention exposure score ( IES; range: 0-24) combined the number of intervention materials seen. Multivariate linear regression calculated an adjusted beta-coefficient (beta) and 95% confidence intervals for a diversity of healthy items (DHI) purchased, adjusting for sociodemographic and eating out behavioral factors. Intervention customers purchased 4.5 DHI, whereas comparison customers purchased less than 1 (P &lt; .001). Those who reported high intervention exposure purchased more DHI (beta = 5.0, 95% confidence interval, 2.3-7.7) than those with low exposure. An environmental intervention at carry-outs increased healthy item purchasing among low-income consumers.</t>
  </si>
  <si>
    <t>10.1080/19320248.2015.1045673</t>
  </si>
  <si>
    <t>WOS:000214716400002</t>
  </si>
  <si>
    <t>Hillier, A; Smith, T; Cannuscio, CC; Karpyn, A; Glanz, K</t>
  </si>
  <si>
    <t>Hillier, Amy; Smith, Tony; Cannuscio, Carolyn C.; Karpyn, Allison; Glanz, Karen</t>
  </si>
  <si>
    <t>A discrete choice approach to modeling food store access</t>
  </si>
  <si>
    <t>Assessments of access to healthful food frequently use GIS to measure the distance and concentration of food outlets relative to where residents live. These descriptive approaches do not account for food shopping behavior, which may vary based on the attributes of food shoppers and their activity space-places where they live, work, access resources, and socialize. Building on transportation research about accessibility, we reframe the issue of food access and equity from one about 'what is nearby?' to 'where do people shop?'. We use a conditional logit model to analyze disaggregate data from a door-to-door survey of food shopping choice and food store surveys conducted in a predominantly non-Hispanic Black and middle-income and low-income section of Philadelphia. Our results highlight the importance of distance from home to food stores, overall, but they also emphasize the influence on food store choice of the race and sex of food shoppers, travel mode, and where they spend time other than at home, as well as food prices and the availability of healthful foods. This approach to understanding food access holds promise for future research that can link store choice to specific food purchases and health outcomes as well as for refining place-based strategies for improving access to healthful foods.</t>
  </si>
  <si>
    <t>1472-3417</t>
  </si>
  <si>
    <t>10.1068/b39136</t>
  </si>
  <si>
    <t>WOS:000352385600005</t>
  </si>
  <si>
    <t>Mundorf, AR; Willits-Smith, A; Rose, D</t>
  </si>
  <si>
    <t>Mundorf, Adrienne R.; Willits-Smith, Amelia; Rose, Donald</t>
  </si>
  <si>
    <t>10 Years Later: Changes in Food Access Disparities in New Orleans since Hurricane Katrina</t>
  </si>
  <si>
    <t>Inadequate access to healthy food is a problem in many urban neighborhoods, particularly for racial-ethnic minorities and low-income groups who are more likely to reside in food deserts. Although substantial research throughout the country has documented the existence of these disparities, few studies have focused on how this access changes over time or is affected by environmental shocks. This study examined citywide supermarket access in New Orleans as well as racial-ethnic disparities in this access, prior to Hurricane Katrina and at three times afterwards. On-the-ground verification of supermarket locations was conducted in 2004-2005, 2007, 2009, and 2014 and was mapped with secondary demographic data. Census tracts were defined as predominantly African-American neighborhoods if 80 % or more of the population identified as such. HLM Poisson regression analyses were conducted in 2014 to identify the difference in likelihood of finding supermarkets in a neighborhood by race-ethnicity and across all years of interest. Racial-ethnic disparities existed before the storm and worsened after it (IRR = 0.35; 95 % CI = 0.21, 0.60). Improvements in disparities to pre-storm levels were not seen until 2009, 4 years after the storm. By 2014, supermarket access, on average, was not significantly different in African-American neighborhoods than in others (IRR = 0.90; 95 % CI = 0.65, 1.26). The slow recovery of New Orleans' retail food infrastructure after Hurricane Katrina highlights the need for an increased focus on long-term planning to address disparities, especially those that may be exaggerated by shocks.</t>
  </si>
  <si>
    <t>10.1007/s11524-015-9969-9</t>
  </si>
  <si>
    <t>WOS:000358966100001</t>
  </si>
  <si>
    <t>Eating Patterns, Body Mass Index, and Food Deserts: Does It Matter Where We Live?</t>
  </si>
  <si>
    <t>10.5888/pcd12.150352</t>
  </si>
  <si>
    <t>WOS:000368665100006</t>
  </si>
  <si>
    <t>Meek, D; Tarlau, R</t>
  </si>
  <si>
    <t>Meek, David; Tarlau, Rebecca</t>
  </si>
  <si>
    <t>Critical food systems education and the question of race</t>
  </si>
  <si>
    <t>Studies of food systems education have largely avoided questions concerning race. In this commentary, we interrogate the racial assumptions behind certain food systems education projects. Food systems educators are often motivated by a whitened cultural desire to bring good food to others and see garden-based learning projects, which seek to instill healthy nutritional behaviors, as the solution to the problem of purported food deserts. We argue that food systems education is in need of a critical intervention. In this commentary, we propose critical food systems education (CFSE) as a theoretical framework, set of pedagogies, and vision for policy that moves beyond teaching students about the food system, and helps them realize their potential to structurally transform it through collective action. The CFSE perspective is theoretically grounded in food justice, food sovereignty, political agroecology, and critical pedagogy. The CFSE approach is not merely theoretical, but arises from the examples of grassroots social movements throughout the world that have developed radical forms of food systems education. We highlight this approach using the example of the Brazilian Landless Workers' Movement (MST). The MST opposes a racialized discourse of the peasantry as backwards and ignorant. The movement's leaders reject a vision of education that reproduces white modernity, and instead support a vision that advances radical agroecological education programs that train students to be political subjects capable of creating a socially and environmentally equitable food system. The example of the MST underscores the potential of CFSE as a corrective for the food systems education's racialized assumptions.</t>
  </si>
  <si>
    <t>10.5304/jafscd.2015.054.021</t>
  </si>
  <si>
    <t>WOS:000389227700020</t>
  </si>
  <si>
    <t>Hipp, JA; Chalise, N</t>
  </si>
  <si>
    <t>Hipp, J. Aaron; Chalise, Nishesh</t>
  </si>
  <si>
    <t>Spatial Analysis and Correlates of County-Level Diabetes Prevalence, 2009-2010</t>
  </si>
  <si>
    <t>Introduction Information on the relationship between diabetes prevalence and built environment attributes could allow public health programs to better target populations at risk for diabetes. This study sought to determine the spatial prevalence of diabetes in the United States and how this distribution is associated with the geography of common diabetes correlates. Methods Data from the Centers for Disease Control and Prevention and the US Census Bureau were integrated to perform geographically weighted regression at the county level on the following variables: percentage nonwhite population, percentage Hispanic population, education level, percentage unemployed, percentage living below the federal poverty level, population density, percentage obese, percentage physically inactive, percentage population that cycles or walks to work, and percentage neighborhood food deserts. Results We found significant spatial clustering of county-level diabetes prevalence in the United States; however, diabetes prevalence was inconsistently correlated with significant predictors. Percentage living below the federal poverty level and percentage nonwhite population were associated with diabetes in some regions. The percentage of population cycling or walking to work was the only significant built environment-related variable correlated with diabetes, and this association varied in magnitude across the nation. Conclusion Sociodemographic and built environment-related variables correlated with diabetes prevalence in some regions of the United States. The variation in magnitude and direction of these relationships highlights the need to understand local context in the prevention and maintenance of diabetes. Geographically weighted regression shows promise for public health research in detecting variations in associations between health behaviors, outcomes, and predictors across geographic space.</t>
  </si>
  <si>
    <t>Hipp, J./AAF-9869-2021</t>
  </si>
  <si>
    <t>Hipp, J. Aaron/0000-0002-2394-7112</t>
  </si>
  <si>
    <t>E08</t>
  </si>
  <si>
    <t>10.5888/pcd12.140404</t>
  </si>
  <si>
    <t>WOS:000356667500008</t>
  </si>
  <si>
    <t>Usher, KM</t>
  </si>
  <si>
    <t>Usher, Kareem M.</t>
  </si>
  <si>
    <t>Valuing all knowledges through an expanded definition of access</t>
  </si>
  <si>
    <t>Journal of Agriculture Food Systems and Community Development</t>
  </si>
  <si>
    <t>Historical racial injustices as well as more recent public and economic policies have culminated in the displacement of supermarkets from some central city neighborhoods. With this displacement, many low-income and minority neighborhoods not only have been deprived of affordable healthful food, but also have experienced prolonged exposure to energy-dense and highly processed snack foods. Partly as a consequence of this loss of supermarkets, diet-related diseases have become prevalent. Our current policies to improve this health issue address only objective measures of access, with little input from community residents, and they are having limited results. In response, I have reconceptualized access as a construct with five dimensions: acceptability, accessibility, accommodation, affordability, and availability. This new expanded view supports both objective and perceived aspects of access and values the knowledge of residents through community-based participatory research, thereby providing a more complete understanding of access.</t>
  </si>
  <si>
    <t>Usher, Kareem/AAW-7657-2020</t>
  </si>
  <si>
    <t>10.5304/jafscd.2015.054.018</t>
  </si>
  <si>
    <t>WOS:000389227700016</t>
  </si>
  <si>
    <t>Chrisinger, BW</t>
  </si>
  <si>
    <t>Chrisinger, Benjamin W.</t>
  </si>
  <si>
    <t>Reconsidering the Supplemental Nutrition Assistance Program as Community Development</t>
  </si>
  <si>
    <t>The Supplemental Nutrition Assistance Program (SNAP) protects households from severe food insecurity or extreme poverty, buffers against certain adverse health effects, and exhibits a multiplier effect on the nation's economy. Nonetheless, SNAP remains contentious and benefit reductions are currently being debated. One new direction is to reconceptualize people-based SNAP allocations within place-based community development. Programs such as the federal Healthy Food Financing Initiative encourage retailer development in underserved neighborhoods, creating healthy options and opportunities to reinvest SNAP dollars locally. By exploring relationships between these programs, researchers and practitioners can better understand how to enhance their impact on individuals and neighborhoods.</t>
  </si>
  <si>
    <t>Chrisinger, Benjamin/AGF-2704-2022</t>
  </si>
  <si>
    <t>Chrisinger, Benjamin/0000-0002-1480-6481</t>
  </si>
  <si>
    <t>10.1016/j.jneb.2014.10.005</t>
  </si>
  <si>
    <t>WOS:000355955600013</t>
  </si>
  <si>
    <t>Fitzpatrick, K; Greenhalgh-Stanley, N; Ploeg, MV</t>
  </si>
  <si>
    <t>Fitzpatrick, Katie; Greenhalgh-Stanley, Nadia; Ploeg, Michele Ver</t>
  </si>
  <si>
    <t>The Impact of Food Deserts on Food Insufficiency and SNAP Participation among the Elderly</t>
  </si>
  <si>
    <t>Residents of neighborhoods with limited access to grocery stores may face barriers to obtaining adequate food for a healthy diet. Low-income elderly may be uniquely affected by these so-called food deserts due to limited transportation options, strong attachments to local neighborhoods, fixed incomes, and physical limitations for food shopping. Using 2006 and 2010 Health and Retirement Study data linked to census tract-level measures of food deserts, this study measures whether living in a food desert affects food and material hardship, participation in food assistance programs, and the food spending of elderly adults. In both cross-sectional and fixed effects regressions of elderly residents of urban counties, we find little evidence that living in a food desert affects these outcomes. We find, however, that individuals residing in a food desert without a vehicle are 12 percentage points more likely to report food insufficiency. Those SNAP recipients living in food deserts are 11 percentage points more likely to receive subsidized meals, while nonparticipants in food deserts and SNAP recipients outside of food deserts are less likely to receive subsidized meals. Our findings suggest that seniors without vehicles and SNAP recipients in food deserts may be the most vulnerable to limited food store access.</t>
  </si>
  <si>
    <t>Fitzpatrick, Katie/AAJ-8660-2020</t>
  </si>
  <si>
    <t>Ver Ploeg, Michele/0000-0001-8476-7281; Fitzpatrick, Katie/0000-0003-0652-4334</t>
  </si>
  <si>
    <t>10.1093/ajae/aav044</t>
  </si>
  <si>
    <t>WOS:000369090400002</t>
  </si>
  <si>
    <t>Thomsen, MR; Nayga, RM; Alviola, PA; Rouse, HL</t>
  </si>
  <si>
    <t>Thomsen, Michael R.; Nayga, Rodolfo M., Jr.; Alviola, Pedro A.; Rouse, Heather L.</t>
  </si>
  <si>
    <t>The Effect of Food Deserts on the Body Mass Index of Elementary Schoolchildren</t>
  </si>
  <si>
    <t>Families in low-income neighborhoods sometimes lack access to supermarkets that provide a broad range of healthy foods. We investigate whether these so called food deserts play a role in childhood obesity using a statewide panel data set of Arkansas elementary schoolchildren. We use fixed-effects panel data regression models to estimate the average food desert effect. We next compare children who left (entered) food deserts to children who were always (never) in food deserts and homogenize samples for those whose food desert status changed as a result of a change in residence and those whose status changed only as a consequence of the entry or exit of a supermarket. We present evidence that exposure to food deserts is associated with higher z-scores for body mass index. On average, this is in the neighborhood of 0.04 standard deviations. The strongest evidence and largest association is among urban students and especially those that transition into food deserts from non-deserts. Our food desert estimates are similar in magnitude to findings reported in earlier work on diet and lifestyle interventions targeting similarly aged schoolchildren. That said, we are unable to conclude that the estimated food desert effect is causal because many of the transitions into or out of food deserts result from a change in residence, an event that is endogenous to the child's household. However, there is evidence that food deserts are a risk indicator and that food desert areas may be obesogenic in ways that other low-income neighborhoods are not.</t>
  </si>
  <si>
    <t>Alviola IV, Pedro/0000-0002-5519-5787; Rouse, Heather/0000-0002-0305-6259</t>
  </si>
  <si>
    <t>10.1093/ajae/aav039</t>
  </si>
  <si>
    <t>WOS:000369090400001</t>
  </si>
  <si>
    <t>De Choudhury, M; Sharma, S; Kiciman, E</t>
  </si>
  <si>
    <t>ACM</t>
  </si>
  <si>
    <t>De Choudhury, Munmun; Sharma, Sanket; Kiciman, Emre</t>
  </si>
  <si>
    <t>Characterizing Dietary Choices, Nutrition, and Language in Food Deserts via Social Media</t>
  </si>
  <si>
    <t>ACM CONFERENCE ON COMPUTER-SUPPORTED COOPERATIVE WORK AND SOCIAL COMPUTING (CSCW 2016)</t>
  </si>
  <si>
    <t>FEB 27-MAR 02, 2016</t>
  </si>
  <si>
    <t>San Francisco, CA</t>
  </si>
  <si>
    <t>Assoc Comp Machinery,ACM Special Interest Grp Human Interact</t>
  </si>
  <si>
    <t>Social media has emerged as a promising source of data for public health. This paper examines how these platforms can provide empirical quantitative evidence for understanding dietary choices and nutritional challenges in food deserts Census tracts characterized by poor access to healthy and affordable food. We present a study of 3 million food related posts shared on Instagram, and observe that content from food deserts indicate consumption of food high in fat, cholesterol and sugar; a rate higher by 5-17% compared to non-food desert areas. Further, a topic model analysis reveals the ingestion language of food deserts to bear distinct attributes. Finally, we investigate to what extent Instagram ingestion language is able to infer whether a tract is a food desert. We find that a predictive model that uses ingestion topics, socioeconomic and food deprivation status attributes yields high accuracy (&gt; 80%) and improves over baseline methods by 6-14%. We discuss the role of social media in helping address inequalities in food access and health.</t>
  </si>
  <si>
    <t>Kiciman, Emre/0000-0001-5429-468X</t>
  </si>
  <si>
    <t>978-1-4503-3592-8</t>
  </si>
  <si>
    <t>10.1145/2818048.2819956</t>
  </si>
  <si>
    <t>WOS:000389809500092</t>
  </si>
  <si>
    <t>Miller, WC; Rogalla, D; Spencer, D; Zia, N; Griffith, BN; Heinsberg, HB</t>
  </si>
  <si>
    <t>Miller, W. C.; Rogalla, D.; Spencer, D.; Zia, N.; Griffith, B. N.; Heinsberg, H. B.</t>
  </si>
  <si>
    <t>Community adaptations to an impending food desert in rural Appalachia, USA</t>
  </si>
  <si>
    <t>Introduction: The United States Department of Agriculture (USDA) describes a food desert as an urban neighborhood or rural town without ready access to fresh, healthy, and affordable food. An estimated 2.3 million rural Americans live in food deserts. One goal of the USDA is to eliminate food deserts. However, at a time when some food deserts are being eliminated, hundreds of grocery stores are closing, causing other food deserts to arise. The literature is scarce on how a community adapts to an impending food desert. Alderson, West Virginia, USA (population 1184) rallied to face an impending food desert when the only grocery store in town closed in December 2014. This study investigated how this small rural community adapted to its oncoming food desert. Methods: A community member survey was administered to 155 Alderson families (49%) to determine how the new food desert affected family food acquisition and storage behaviors. A restaurant survey was given to the town's four restaurants to determine how the food desert affected their businesses. Sales data for a new food hub (Green Grocer) was obtained to see if this new initiative offset the negative effects of the food desert. ANOVA and t- tests were used to compare group numerical data. Two group response rates were compared by testing the equality of two proportions. Categorical data were analyzed with the chi(2) or frequency distribution analysis. Group averages are reported as mean +/- standard error of the mean. Significance for all analyses was set at p&lt;0.05. Results: Even though 86% of the population shopped at the new Green Grocer, 77% did most of their shopping at a store at least 17.7 km (11 miles) from home. The number of long- distance monthly shopping trips made after the food desert (3.3 +/- 0.4) did not change significantly (p=0.16) from the number before the food desert (2.8 +/- 0.3). Price comparisons among the Green Grocer and three distant supermarkets showed a 30% savings by traveling to distant supermarkets. Frequency of monthly restaurant visits did not change after the emergence of the food desert (2.98 +/- 0.54 vs 3.05 +/- 0.51, p=0.85). However, restaurant patrons requested to buy fresh produce and dairy from the restaurants to use for their own home cooking. Food pantry use increased by 43%, with community members requesting more fresh produce, meat, and dairy. The food desert triggered a 21% increase in home gardening and an 11% increase in home food preservation. Conclusions: Opening a Green Grocer offset only some of the effects of the food desert, because community members use it as a convenience store to purchase fresh produce and dairy products that families may lack before their next long-distance trip to a supermarket. Alderson's low-income residents now rely more heavily on food pantry assistance, while a small number of other residents have started gardening and food preservation. The first factor governing food acquisition behavior in rural Appalachia is food pricing, with the proximity of food access coming in second. How to overcome these two major barriers to food security in the midst of current economics and marketing remains to be answered.</t>
  </si>
  <si>
    <t>OCT-DEC</t>
  </si>
  <si>
    <t>WOS:000396697000013</t>
  </si>
  <si>
    <t>Smith, AF</t>
  </si>
  <si>
    <t>Smith, Andrew F.</t>
  </si>
  <si>
    <t>Food Deserts, Capabilities, and the Rectification of Democratic Failure</t>
  </si>
  <si>
    <t>JOURNAL OF HUMAN DEVELOPMENT AND CAPABILITIES</t>
  </si>
  <si>
    <t>Food deserts include any area in the industrialized world in which reasonably priced, nutritious food is difficult to obtain. They constitute a pressing public health concern insofar as food desert inhabitants disproportionately suffer from a variety of diet-related conditions. Amartya Sen has written extensively about famine as a failure of functional governance. I draw on these considerations to defend two claims. First, the perpetuation of food deserts also constitutes a breakdown specifically of functional democracy. Second, this breakdown is best addressed by implementing programs and policies that reflect Sen's capabilities approach to justice. I challenge the proposition that resourcism or any other competing approach is preferable for this particular undertaking.</t>
  </si>
  <si>
    <t>1945-2829</t>
  </si>
  <si>
    <t>1945-2837</t>
  </si>
  <si>
    <t>10.1080/19452829.2015.1019433</t>
  </si>
  <si>
    <t>WOS:000374885300003</t>
  </si>
  <si>
    <t>Cohen, DA; Hunter, G; Williamson, S; Dubowitz, T</t>
  </si>
  <si>
    <t>Cohen, Deborah A.; Hunter, Gerald; Williamson, Stephanie; Dubowitz, Tamara</t>
  </si>
  <si>
    <t>Are Food Deserts Also Play Deserts?</t>
  </si>
  <si>
    <t>Although food deserts are areas that lack easy access to food outlets and considered a barrier to a healthy diet and a healthy weight among residents, food deserts typically comprise older urban areas which may have many parks and street configurations that could facilitate more physical activity. However, other conditions may limit the use of available facilities in these areas. This paper assesses the use of parks in two Pittsburgh food desert neighborhoods by using systematic observation. We found that while the local parks were accessible, they were largely underutilized. We surveyed local residents and found that only a minority considered the parks unsafe for use during the day, but a substantial proportion suffered from health limitations that interfered with physical activity. Residents also felt that parks lacked programming and other amenities that could potentially draw more park users. Parks programming and equipment in food desert areas should be addressed to account for local preferences and adjusted to meet the needs and limitations of local residents, especially seniors.</t>
  </si>
  <si>
    <t>10.1007/s11524-015-0024-7</t>
  </si>
  <si>
    <t>WOS:000374466000001</t>
  </si>
  <si>
    <t>Cerovecki, IG; Grünhagen, M</t>
  </si>
  <si>
    <t>Cerovecki, Irena Guszak; Grunhagen, Marko</t>
  </si>
  <si>
    <t>Food Deserts in Urban Districts: Evidence from a Transitional Market and Implications for Macromarketing</t>
  </si>
  <si>
    <t>While the marketing literature has investigated the availability and affordability of food and food stores from various angles and in many different global contexts, a recent phenomenon that has only received scant attention in the marketing literature thus far is the appearance of food deserts in urban environments. Food deserts have been observed in Western markets (e.g., in the U.K. and the U.S.) with a literature base that originates in urban planning. This article represents the first attempt to introduce the food desert phenomenon to the marketing literature overall, and to the macromarketing context specifically. A definition of a food desert is created from a marketing perspective. The impact of emerging food deserts on market segments of vulnerable consumers, such as the elderly or mobility-impaired consumers, and the ensuing public policy implications appear particularly relevant to macromarketers. This study investigates the absence of food-sources in a context that may not appear as a likely candidate for this phenomenon, a transitional economy in Southeastern Europe, Croatia. Evidence for the existence of a food desert is provided through primary and secondary data, and public policy implications are discussed.</t>
  </si>
  <si>
    <t>1552-6534</t>
  </si>
  <si>
    <t>10.1177/0276146715612550</t>
  </si>
  <si>
    <t>WOS:000382589100008</t>
  </si>
  <si>
    <t>Hebda, C; Wagner, J</t>
  </si>
  <si>
    <t>Hebda, Cam; Wagner, Jeffrey</t>
  </si>
  <si>
    <t>Nudging healthy food consumption and sustainability in food deserts</t>
  </si>
  <si>
    <t>LETTERS IN SPATIAL AND RESOURCE SCIENCE</t>
  </si>
  <si>
    <t>The purpose of this paper is to set forth a theoretical model of consumer decision-making in food desert regions, where healthy food is in short supply. Our model enables theoretical comparison of multiple policy approaches to mitigating food deserts that have heretofore been considered separately: taxing less healthy food, subsidizing healthier food, correcting misperceptions of the cost of food choices, and subsidizing creation of community and home gardens. This latter policy approach enables consumers to achieve higher rates of food security and health benefits, while strengthening the sustainability and resiliency of local urban ecological-economic systems.</t>
  </si>
  <si>
    <t>1864-4031</t>
  </si>
  <si>
    <t>1864-404X</t>
  </si>
  <si>
    <t>10.1007/s12076-015-0138-2</t>
  </si>
  <si>
    <t>WOS:000446214200006</t>
  </si>
  <si>
    <t>Sadler, Richard Casey; Gilliland, Jason Andrew; Arku, Godwin</t>
  </si>
  <si>
    <t>Theoretical issues in the 'food desert' debate and ways forward</t>
  </si>
  <si>
    <t>GEOJOURNAL</t>
  </si>
  <si>
    <t>Food is essential to life-yet the spatial and economic configuration of the conventional food system does not meet nutritional needs and exacerbates issues of food insecurity. Relevant options for policy change have been explored in light of evaluations of geographic disparities in food access, but the dominant 'food desert' discourse often focuses uncritically on insufficient conceptions of access. Understanding the complexity of food deserts is important for moving into meaningful policy action. We present a theoretical position to inspire future empirical research. The ecological model recognizes both endogenous and built environment factors in shaping health. Interventions in the food environment, however, often concentrate exclusively on structural determinants of health (e.g. retail-based initiatives). Yet retail-based interventions are difficult to implement due to governance systems which limit the ability of government bodies to influence private retail development. As well, recognizing the complexity of debates over the influence of structure and agency, we apply structuration theory to food deserts. Behavioral economics further informs both structural and behavioral determinants of health. This approach sidesteps the issue of victim-blaming, as all consumers are viewed as 'predictably irrational' in decision-making. In combining these theories, we challenge methodological and theoretical assumptions by showing the complexity of food desert interventions. Policy recommendations focus on behavioral determinants of health and the opportunities for empowerment through local food systems. These recommendations recognize the limits of translating research into policy and in devising effective food based interventions, and are sensitive to social, economic, and political constraints uncovered throughout the paper.</t>
  </si>
  <si>
    <t>Gilliland, Jason/E-3393-2019</t>
  </si>
  <si>
    <t>0343-2521</t>
  </si>
  <si>
    <t>1572-9893</t>
  </si>
  <si>
    <t>10.1007/s10708-015-9634-6</t>
  </si>
  <si>
    <t>WOS:000382789400009</t>
  </si>
  <si>
    <t>Wright, JD; Donley, AM; Gualtieri, MC; Strickhouser, SM</t>
  </si>
  <si>
    <t>Wright, James D.; Donley, Amy M.; Gualtieri, Marie C.; Strickhouser, Sara M.</t>
  </si>
  <si>
    <t>Food Deserts: What is the Problem? What is the Solution?</t>
  </si>
  <si>
    <t>SOCIETY</t>
  </si>
  <si>
    <t>The theory of food deserts is that poor people eat poor diets in part because fresh, healthy food is not accessible in areas where they tend to live. We review evidence from a number of disciplines on various elements of this theory and find it wanting. Access to a car is, for most, a more important consideration than access to a full service supermarket. Moreover, a number of cases are reviewed where full service supermarkets were opened in food deserts, usually with little effect on shopping or eating habits.</t>
  </si>
  <si>
    <t>Donley, Amy/S-3980-2019</t>
  </si>
  <si>
    <t>0147-2011</t>
  </si>
  <si>
    <t>1936-4725</t>
  </si>
  <si>
    <t>10.1007/s12115-016-9993-8</t>
  </si>
  <si>
    <t>WOS:000373234200009</t>
  </si>
  <si>
    <t>Kim, D; Lee, CK; Seo, DY</t>
  </si>
  <si>
    <t>Kim, Dohyeong; Lee, Chang Kil; Seo, Dong Yeon</t>
  </si>
  <si>
    <t>Food deserts in Korea? A GIS analysis of food consumption patterns at sub-district level in Seoul using the KNHANES 2008-2012 data</t>
  </si>
  <si>
    <t>NUTRITION RESEARCH AND PRACTICE</t>
  </si>
  <si>
    <t>BACKGROUND/OBJECTIVES: The concept of food deserts has been widely used in Western countries as a framework to identify areas with constrained access to fresh and nutritious foods, providing guidelines for targeted nutrition and public health programs. Unlike the vast amount of literature on food deserts in a Western context, only a few studies have addressed the concept in an East Asian context, and none of them have investigated spatial patterns of unhealthy food consumption from a South Korean perspective. SUBJECTS/METHODS: We first evaluated the applicability of food deserts in a Korean setting and identified four Korean-specific unhealthy food consumption indicators, including insufficient food consumption due to financial difficulty, limited consumption of fruits and vegetables, excessive consumption of junk food, and excessive consumption of instant noodles. The KNHANES 2008-2012 data in Seoul were analyzed with stratified sampling weights to understand the trends and basic characteristics of these eating patterns in each category. GIS analyses were then conducted for the data spatially aggregated at the sub-district level in order to create maps identifying areas of concern regarding each of these indicators and their combinations. RESULTS: Despite significant reduction in the rate of food insufficiency due to financial difficulty, the rates of excessive consumption of unhealthy foods (junk food and instant noodles) as well as limited consumption of fruits and vegetables have increased or remained high. These patterns tend to be found among relatively younger and more educated groups, regardless of income status. CONCLUSIONS: A GIS-based analysis demonstrated several hotspots as potential food deserts tailored to the Korean context based on the observed spatial patterns of undesirable food consumption. These findings could be used as a guide to prioritize areas for targeted intervention programs to facilitate healthy food consumption behaviors and thus improve nutrition and food-related health outcomes.</t>
  </si>
  <si>
    <t>Kim, Dohyeong/CAA-6059-2022</t>
  </si>
  <si>
    <t>1976-1457</t>
  </si>
  <si>
    <t>2005-6168</t>
  </si>
  <si>
    <t>10.4162/nrp.2016.10.5.530</t>
  </si>
  <si>
    <t>WOS:000384870500008</t>
  </si>
  <si>
    <t>Chrisinger, B</t>
  </si>
  <si>
    <t>Chrisinger, Benjamin</t>
  </si>
  <si>
    <t>A Mixed-Method Assessment of a New Supermarket in a Food Desert: Contributions to Everyday Life and Health</t>
  </si>
  <si>
    <t>Initiatives to build supermarkets in low-income areas with relatively poor access to large food retailers (food deserts) have been implemented at all levels of government, although evaluative studies have not found these projects to improve diet or weight status for shoppers. Though known to be influential, existing evaluations have neglected in-store social dynamics and shopper behaviors. Surveys and walking interviews were used with shoppers (n = 32) at a supermarket developed through the Pennsylvania Fresh Food Financing Initiative in Philadelphia, PA. Key informant interviews with stakeholders in the supermarket's development and operations provided additional context to these shopper experiences. Data were collected in July and September 2014 and qualitatively analyzed in NVivo 10.0. Participants described how the retailer helped them adapt or cope with difficult shopping routines and how it presented a reliable high-quality option (in terms of cleanliness, orderliness, and social atmosphere) in contrast to other neighborhood retailers. Health concerns were also identified, especially among those managing chronic disease for themselves or a family member. These issues underscored multiple points of challenge required to adjust shopping and eating behavior. In-store supports that reflect these challenges are warranted to more fully address food deserts and reduce health disparities.</t>
  </si>
  <si>
    <t>10.1007/s11524-016-0055-8</t>
  </si>
  <si>
    <t>WOS:000377466300003</t>
  </si>
  <si>
    <t>Strome, S; Johns, T; Scicchitano, MJ; Shelnutt, K</t>
  </si>
  <si>
    <t>Strome, Stuart; Johns, Tracy; Scicchitano, Michael J.; Shelnutt, Karla</t>
  </si>
  <si>
    <t>Elements of Access: The Effects of Food Outlet Proximity, Transportation, and Realized Access on Fresh Fruit and Vegetable Consumption in Food Deserts</t>
  </si>
  <si>
    <t>INTERNATIONAL QUARTERLY OF COMMUNITY HEALTH EDUCATION</t>
  </si>
  <si>
    <t>This study surveys 900 supplemental nutrition assistance program recipient or eligible households and 300 supplemental nutrition assistance program ineligible households in local food deserts to identify the effects of different dimensions of access on fresh fruit and vegetables (FFV) consumption. While proximity and access to one's own car were not significant predictors of FFV consumption, realized access to nonsupermarket outlets did have a positive effect on fresh vegetable consumption. Among food insecure respondents, limited car access had a negative effect on FFV consumption. This research underlines the importance of focusing on dimensions of access other than proximity when considering interventions designed to improve nutrition and health outcomes in food deserts.</t>
  </si>
  <si>
    <t>Shelnutt, Karla/0000-0002-3799-9212</t>
  </si>
  <si>
    <t>0272-684X</t>
  </si>
  <si>
    <t>1541-3519</t>
  </si>
  <si>
    <t>10.1177/0272684X16685252</t>
  </si>
  <si>
    <t>WOS:000394677000008</t>
  </si>
  <si>
    <t>Beyond the Supermarket Solution: Linking Food Deserts, Neighborhood Context, and Everyday Mobility</t>
  </si>
  <si>
    <t>ANNALS OF THE AMERICAN ASSOCIATION OF GEOGRAPHERS</t>
  </si>
  <si>
    <t>Most research on urban food deserts has employed spatial measures of accessibility, recording distances to various food stores from place of residence. Despite the popularity of this approach, empirical support for its prediction of dietary and health outcomes has been inconsistent. One reason might be the ways in which food deserts frame food access as fundamentally an issue of food supply. This article suggests a complementary approach that examines how store characteristics, neighborhood context, and individual mobility interact to shape food provisioning practices. I recruited thirty-eight participants living in two low-income neighborhoods of Minneapolis, Minnesota, tracking their daily mobility and the food sources they used over a five-day study period. Follow-up interviews gathered more information on the food stores used by participants. Project results show that participants were highly mobile in their food shopping, visiting 153 different locations on 217 different shopping trips at an average distance of 3.4 km from home. Reported store quality was closely tied to neighborhoods' economic and racial composition, and in several cases, food purchasing and consumption occurred en route to other destinations. Future research on urban food access could benefit by studying how food access is intertwined with broader livability issues such as housing and transportation.</t>
  </si>
  <si>
    <t>2469-4452</t>
  </si>
  <si>
    <t>2469-4460</t>
  </si>
  <si>
    <t>10.1080/00045608.2015.1095059</t>
  </si>
  <si>
    <t>WOS:000375255700011</t>
  </si>
  <si>
    <t>Lebel, A; Noreau, D; Tremblay, L; Oberlé, C; Girard-Gadreau, M; Duguay, M; Block, JP</t>
  </si>
  <si>
    <t>Lebel, Alexandre; Noreau, David; Tremblay, Lucie; Oberle, Celine; Girard-Gadreau, Maurie; Duguay, Mathieu; Block, Jason P.</t>
  </si>
  <si>
    <t>Identifying rural food deserts: Methodological considerations for food environment interventions</t>
  </si>
  <si>
    <t>OBJECTIVES: Food insecurity in an important public health issue and affects 13% of Canadian households. It is associated with poor accessibility to fresh, diverse and affordable food products. However, measurement of the food environment is challenging in rural settings since the proximity of food supply sources is unevenly distributed. The objective of this study was to develop a methodology to identify food deserts in rural environments. METHODS: In-store evaluations of 25 food products were performed for all food stores located in four contiguous rural counties in Quebec. The quality of food products was estimated using four indices: freshness, affordability, diversity and the relative availability. Road network distance between all residences to the closest food store with a favourable score on the four dimensions was mapped to identify residential clusters located in deprived communities without reasonable access to a good food source. The result was compared with the food desert parameters proposed by the US Department of Agriculture (USDA), as well as with the perceptions of a group of regional stakeholders. RESULTS: When food quality was considered, food deserts appeared more prevalent than when only the USDA definition was used. Objective measurements of the food environment matched stakeholders' perceptions. CONCLUSION: Food stores' characteristics are different in rural areas and require an in-store estimation to identify potential rural food deserts. The objective measurements of the food environment combined with the field knowledge of stakeholders may help to shape stronger arguments to gain the support of decision-makers to develop relevant interventions.</t>
  </si>
  <si>
    <t>Block, Jason/HKV-6253-2023; Lebel, Alexandre/HSF-8475-2023</t>
  </si>
  <si>
    <t>Lebel, Alexandre/0000-0001-6774-7633</t>
  </si>
  <si>
    <t>ES21</t>
  </si>
  <si>
    <t>ES26</t>
  </si>
  <si>
    <t>10.17269/CJPH.107.5353</t>
  </si>
  <si>
    <t>WOS:000377371800004</t>
  </si>
  <si>
    <t>Chen, DH; Jaenicke, EC; Volpe, RJ</t>
  </si>
  <si>
    <t>Chen, Danhong; Jaenicke, Edward C.; Volpe, Richard J.</t>
  </si>
  <si>
    <t>Food Environments and Obesity: Household Diet Expenditure Versus Food Deserts</t>
  </si>
  <si>
    <t>Objectives. To examine the associations between obesity and multiple aspects of the food environments, at home and in the neighborhood. Methods. Our study included 38 650 individuals nested in 18 381 households located in 2104 US counties. Our novel home food environment measure, USDAScore, evaluated the adherence of a household's monthly expenditure shares of 24 aggregated food categories to the recommended values based on US Department of Agriculture food plans. The US Census Bureau's County Business Patterns (2008), the detailed food purchase information in the IRi Consumer Panel scanner data (2008-2012), and its associated MedProfiler data set (2012) constituted the main sources for neighborhood-, household-, and individual-level data, respectively. Results. After we controlled for a number of confounders at the individual, household, and neighborhood levels, USDAScore was negatively linked with obesity status, and a census tract-level indicator of food desert status was positively associated with obesity status. Conclusions. Neighborhood food environment factors, such as food desert status, were associated with obesity status even after we controlled for home food environment factors.</t>
  </si>
  <si>
    <t>Jaenicke, Edward/A-1333-2011</t>
  </si>
  <si>
    <t>10.2105/AJPH.2016.303048</t>
  </si>
  <si>
    <t>WOS:000376180100044</t>
  </si>
  <si>
    <t>Jiao, JF</t>
  </si>
  <si>
    <t>Jiao, Junfeng</t>
  </si>
  <si>
    <t>Measuring Vulnerable Population's Healthy and Unhealthy Food Access in Austin, Texas</t>
  </si>
  <si>
    <t>AIMS PUBLIC HEALTH</t>
  </si>
  <si>
    <t>Food deserts-areas with a significant low-income population experiencing low accessibility to healthy food sources-have been well studied in terms of their connection to obesity and its related health outcomes. Measuring food accessibility is the key component in food desert research. However, previous studies often measured food accessibility based on large geographic units (e.g. census tract, zip code) with few transportation modes (e.g. driving or taking public transit) and limited vulnerable population measures. This paper aims to demonstrate a new method to measure food access for different vulnerable population groups at a smaller geographic scale with different transportation modes. In detail, this paper improves on previous studies from the following three perspectives: (1) Measuring food accessibility with a smaller geographic scale: block group vs. census track which on average includes 1000 people vs. 4000 people; (2) Measuring food accessibility with different transportation modes: walking, biking, transit, and driving vs. driving only; and (3) Measuring food accessibility for different vulnerable population groups. The proposed method was tested in the city of Austin, which is the capital of Texas and the 11th largest city in the US, and measured people's accessibility to both healthy and unhealthy food sources within the city. The methods can be applied to address food accessibility issues in other cities or regions.</t>
  </si>
  <si>
    <t>; yasin, jeshima k/H-2912-2018</t>
  </si>
  <si>
    <t>Jiao, Junfeng/0000-0002-7272-8805; yasin, jeshima k/0000-0003-4932-3866</t>
  </si>
  <si>
    <t>2327-8994</t>
  </si>
  <si>
    <t>10.3934/publichealth.2016.4.722</t>
  </si>
  <si>
    <t>WOS:000396656500004</t>
  </si>
  <si>
    <t>Niederdeppe, J; Roh, S; Dreisbach, C</t>
  </si>
  <si>
    <t>Niederdeppe, Jeff; Roh, Sungjong; Dreisbach, Caitlin</t>
  </si>
  <si>
    <t>How Narrative Focus and a Statistical Map Shape Health Policy Support Among State Legislators</t>
  </si>
  <si>
    <t>HEALTH COMMUNICATION</t>
  </si>
  <si>
    <t>This study attempts to advance theorizing about health policy advocacy with combinations of narrative focus and a statistical map in an attempt to increase state legislators' support for policies to address the issue of obesity by reducing food deserts. Specifically, we examine state legislators' responses to variations in narrative focus (individual vs. community) about causes and solutions for food deserts in U.S. communities, and a statistical map (presence vs. absence) depicting the prevalence of food deserts across the United States. Using a Web-based randomized experiment (N=496), we show that narrative focus and the statistical map interact to produce different patterns of cognitive response and support for policies to reduce the prevalence of food deserts. The presence of a statistical map showing the prevalence of food deserts in the United States appeared to matter only when combined with an individual narrative, offsetting the fact that the individual narrative in isolation produced fewer thoughts consistent with the story's persuasive goal and more counterarguments in opposition to environmental causes and solutions for obesity than other message conditions. The image did not have an impact when combined with a story describing a community at large. Cognitive responses fully mediated message effects on intended persuasive outcomes. We conclude by discussing the study's contributions to communication theory and practice.</t>
  </si>
  <si>
    <t>Dreisbach, Caitlin/AAG-1093-2019; ROH, Sungjong/H-1126-2015</t>
  </si>
  <si>
    <t>Roh, Sungjong/0000-0001-6751-2826; Dreisbach, Caitlin/0000-0003-3964-3161</t>
  </si>
  <si>
    <t>1041-0236</t>
  </si>
  <si>
    <t>1532-7027</t>
  </si>
  <si>
    <t>FEB 1</t>
  </si>
  <si>
    <t>10.1080/10410236.2014.998913</t>
  </si>
  <si>
    <t>WOS:000363751600010</t>
  </si>
  <si>
    <t>Waity, JF</t>
  </si>
  <si>
    <t>Waity, Julia F.</t>
  </si>
  <si>
    <t>Spatial Inequality in Access to Food Assistance in Indiana</t>
  </si>
  <si>
    <t>SOCIOLOGICAL INQUIRY</t>
  </si>
  <si>
    <t>This project is an analysis of the spatial inequality that exists between rural and urban areas in access to food assistance agencies. I gathered the population of all food pantries and soup kitchens in 24 sample counties in Indiana and mapped the location of these agencies using geographic information system analysis. Using the population center of the census block group, I measured the distance from the population center to the nearest food assistance agency. If the closest agency was more than a mile away, the census block group was considered a food assistance desert, a concept I created that draws on the food desert measurement. I found that rural high-poverty counties in my sample are the most likely to contain census block groups that are food assistance deserts, and urban high-poverty counties are the least likely to contain food assistance deserts. From these findings, I determine that access to assistance agencies needs to be increased in rural areas, especially rural areas with high-poverty rates.</t>
  </si>
  <si>
    <t>Waity, Julia/0000-0001-9689-4843</t>
  </si>
  <si>
    <t>0038-0245</t>
  </si>
  <si>
    <t>1475-682X</t>
  </si>
  <si>
    <t>10.1111/soin.12098</t>
  </si>
  <si>
    <t>WOS:000367999600005</t>
  </si>
  <si>
    <t>Thibodeaux, J</t>
  </si>
  <si>
    <t>Thibodeaux, Jarrett</t>
  </si>
  <si>
    <t>City racial composition as a predictor of African American food deserts</t>
  </si>
  <si>
    <t>Extending Small and McDermott's conditional perspective', Blalock's minority competition theory is used to explain how the relationship between African Americans and the number of supermarkets in a zip code depends on the city in which it resides. The 2010 American Community Survey and ZIP Business pattern data are examined with hierarchical general linear models to explore whether the previously observed negative relationship between the percentage of African Americans and the number of supermarkets in a zip code depends on the percentage of African Americans in the city. The results show that the relationship between the percentage of African Americans and the number of supermarkets depends on the percentage of African Americans in the city in the U-shaped pattern predicted by minority competition theory. Applications of minority competition to other theories of the unequal distribution of resources in cities are discussed.</t>
  </si>
  <si>
    <t>Thibodeaux, Jarrett/0000-0001-6984-1519</t>
  </si>
  <si>
    <t>10.1177/0042098015587848</t>
  </si>
  <si>
    <t>WOS:000380986400002</t>
  </si>
  <si>
    <t>Agnelli, K; Cramer, EP; Buffington, ML; Norris, J; Meeken, L</t>
  </si>
  <si>
    <t>Agnelli, Kate; Cramer, Elizabeth P.; Buffington, Melanie L.; Norris, Jessica; Meeken, Luke</t>
  </si>
  <si>
    <t>Food Landscapes: Cooking, Community Service and Art-Making with Teens</t>
  </si>
  <si>
    <t>JOURNAL OF COMMUNITY PRACTICE</t>
  </si>
  <si>
    <t>In this article, we describe Food Landscapes, an interdisciplinary program involving youth who live in an urban community identified as a food desert. Food Landscapes combined socially engaged art-making, cooking, community engagement, and community service to open dialogue with youth about food justice and equity, the meaning of community, and the formation of meaningful relationships between youth and community members who have disabilities. We describe the program and discuss the theory and model bases for the program and lessons learned during program implementation.</t>
  </si>
  <si>
    <t>Cramer, Elizabeth/B-7313-2008</t>
  </si>
  <si>
    <t>Cramer, Elizabeth/0000-0002-3604-8730</t>
  </si>
  <si>
    <t>1070-5422</t>
  </si>
  <si>
    <t>1543-3706</t>
  </si>
  <si>
    <t>10.1080/10705422.2016.1168757</t>
  </si>
  <si>
    <t>WOS:000384232400006</t>
  </si>
  <si>
    <t>Xu, XW; Zhu, X; Bresnahan, M</t>
  </si>
  <si>
    <t>Xu, Xiaowen; Zhu, Xun; Bresnahan, Mary</t>
  </si>
  <si>
    <t>Fighting Back: Inner-City Community Responses to Food Insecurity</t>
  </si>
  <si>
    <t>AMERICAN BEHAVIORAL SCIENTIST</t>
  </si>
  <si>
    <t>This study investigated perceptions of stigma stemming from food insecurity experienced by residents of an inner-city community described as a food desert. Sixty inner-city residents were interviewed about their difficulty in providing healthy food for their families. The study measured four kinds of structural barriers which contributed to the experience of stigma. Participants agreed that welfare created a barrier and reported experiencing health disparities, neighborhood stigma, and welfare stigma. Participants who read high-stigma messages agreed more with health-stigma beliefs compared with participants who read low-stigma messages. Low-income White residents perceived more nutritional and neighborhood barriers compared with other racial groups. In spite of these perceptions of being stigmatized, the people included in this study engaged in stigma resistance in their efforts to secure nutritious food for their families.</t>
  </si>
  <si>
    <t>Bresnahan, Mary/P-4565-2015</t>
  </si>
  <si>
    <t>Zhu, Xun/0000-0003-1000-8324</t>
  </si>
  <si>
    <t>0002-7642</t>
  </si>
  <si>
    <t>1552-3381</t>
  </si>
  <si>
    <t>10.1177/0002764216657380</t>
  </si>
  <si>
    <t>WOS:000382859000003</t>
  </si>
  <si>
    <t>Howlett, E; Davis, C; Burton, S</t>
  </si>
  <si>
    <t>Howlett, Elizabeth; Davis, Cassandra; Burton, Scot</t>
  </si>
  <si>
    <t>From Food Desert to Food Oasis: The Potential Influence of Food Retailers on Childhood Obesity Rates</t>
  </si>
  <si>
    <t>JOURNAL OF BUSINESS ETHICS</t>
  </si>
  <si>
    <t>Few studies have examined the influence of the food environment on obesity rates among very young, low-income consumers. This research contributes to this growing literature by examining the relationship between modifications to the retail environment and obesity rates for low-income, preschool-aged children. Based on data combined from various secondary sources, this study finds that changes in the retail environment are significantly related to obesity rates. More specifically, the authors find a positive relationship between the number of convenience stores in the retail environment and obesity rates among low-income, preschool-aged children. Results also show that the percent change in grocery stores and supercenters and club stores in the retail environment is negatively related to the obesity rates of low-income, preschool-aged children [i.e., as grocery stores and supercenters/club stores increase (decrease), obesity decreases (increases)].Further, the percent change in supercenters and club stores mediates the positive relationship between participation in the Supplemental Nutrition Assistance Program (SNAP) and obesity rates.</t>
  </si>
  <si>
    <t>Davis, Cassandra/KQR-1756-2024</t>
  </si>
  <si>
    <t>Howlett, Elizabeth/0000-0002-2217-1156</t>
  </si>
  <si>
    <t>0167-4544</t>
  </si>
  <si>
    <t>1573-0697</t>
  </si>
  <si>
    <t>10.1007/s10551-015-2605-5</t>
  </si>
  <si>
    <t>WOS:000387551100001</t>
  </si>
  <si>
    <t>Jaskiewicz, L; Block, D; Chavez, N</t>
  </si>
  <si>
    <t>Jaskiewicz, Lara; Block, Daniel; Chavez, Noel</t>
  </si>
  <si>
    <t>Finding Food Deserts: A Comparison of Methods Measuring Spatial Access to Food Stores</t>
  </si>
  <si>
    <t>Public health research has increasingly focused on how access to resources affects health behaviors. Mapping environmental factors, such as distance to a supermarket, can identify intervention points toward improving food access in low-income and minority communities. However, the existing literature provides little guidance on choosing the most appropriate measures of spatial access. This study compared the results of different measures of spatial access to large food stores and the locations of high and low access identified by each. The data set included U.S. Census population data and the locations of large food stores in the six-county area around Chicago, Illinois. Six measures of spatial access were calculated at the census block group level and the results compared. The analysis found that there was little agreement in the identified locations of high or low access between measures. This study illustrates the importance of considering the access measure used when conducting research, interpreting results, or comparing studies. Future research should explore the correlation of different measures with health behaviors and health outcomes.</t>
  </si>
  <si>
    <t>10.1177/1524839915610517</t>
  </si>
  <si>
    <t>WOS:000375720300012</t>
  </si>
  <si>
    <t>Iwama, N; Tanaka, K; Komaki, N; Ikeda, M; Asakawa, T</t>
  </si>
  <si>
    <t>Iwama, Nobuyuki; Tanaka, Koichi; Komaki, Nobuhiko; Ikeda, Masashi; Asakawa, Tatsuto</t>
  </si>
  <si>
    <t>Mapping Residential Areas of Elderly People at High Risk of Undernutrition: Analysis of Mobile Sales Wagons from the Viewpoint of Food Desert Issues</t>
  </si>
  <si>
    <t>JOURNAL OF GEOGRAPHY-CHIGAKU ZASSHI</t>
  </si>
  <si>
    <t>The purposes of this study are to map residential areas of elderly people at high risk of undernutrition (food desert areas), and to assess mobile sales wagons as a form of support for disadvantaged shoppers. The research methods are as follows: (1) prepare a map that shows high-density areas of elderly people who suffer from poor nutrition;(2) compare the locations of undernourished elderly people in relation to stations where mobile sales wagons stop; and, (3) assess the efficiency of mobile sales wagon support by comparing these locations, and suggest improvements. The findings of this research are as follows. (1) There are long distances between the locations of poor food access areas and high-density areas of undernourished elderly people. Local communities of people with limited access to shopping facilities are mainly located in suburban agricultural areas, whereas residential areas of undernourished elderly people are located in suburban agricultural areas and city centers. (2) Wagon stations are mainly located in residential areas of relatively poor food access areas; there are no stations in city centers. (3) The customer ratio of sales wagons tends to be higher in areas where many low-functioning independent elderly people live, and in areas where many economically poor seniors and those isolated from family members dwell.</t>
  </si>
  <si>
    <t>0022-135X</t>
  </si>
  <si>
    <t>1884-0884</t>
  </si>
  <si>
    <t>10.5026/jgeography.125.583</t>
  </si>
  <si>
    <t>WOS:000446314900011</t>
  </si>
  <si>
    <t>Rodriguez, RM; Grahame, KM</t>
  </si>
  <si>
    <t>Rodriguez, Rosalie M.; Grahame, Kamini Maraj</t>
  </si>
  <si>
    <t>Understanding Food Access in a Rural Community AN ECOLOGICAL PERSPECTIVE</t>
  </si>
  <si>
    <t>This paper is a mixed-method, in-depth study of how poor adults in a rural Pennsylvania community experience their environment as a food desert. Open-ended interviews and questionnaires were used to determine food purchasing and consumption practices as well as some of the health issues that individuals experienced. The open-ended format allowed participants to identify multiple factors influencing food access-transportation, inadequate social service information and benefits, terrain, inadequate education about food and nutrition, and cost. The study used an ecological framework to analyze the complex interaction of multiple systems influencing participants' access to healthy food. Though our sample was small (11 participants), the narratives provided deeper understanding of the realities confronting poor rural adults in their quest for healthy diets. The paper considers implications for health and overall quality of life of the rural poor and suggests that larger-scale, in-depth studies are needed to more fully understand their predicament and craft better policies to address them.</t>
  </si>
  <si>
    <t>10.1080/15528014.2016.1145010</t>
  </si>
  <si>
    <t>WOS:000372719200009</t>
  </si>
  <si>
    <t>Sadler, RC</t>
  </si>
  <si>
    <t>Sadler, Richard Casey</t>
  </si>
  <si>
    <t>Strengthening the core, improving access: Bringing healthy food downtown via a farmers' market move</t>
  </si>
  <si>
    <t>Diet-related diseases are a major public health concern, and food environment research explores how built environmental interventions can address nutritional inequalities. Yet other, more direct intervention approaches may also yield positive benefits for residents living in food deserts. This paper presents a case study of a farmers' market move and its effects on healthy food accessibility and customer characteristics in a community with many food deserts. 844 surveys collected in 2011 and 2015 determine customer purchasing patterns and demographics at the Flint (Michigan) Farmers' Market. The market move has meant improved healthy food accessibility for mobility-constrained and low-income residents throughout the region. Counter to past research suggesting that farmers' markets tend to serve higher income groups, socioeconomically disadvantaged people constitute a major consumer demographic at Flint's market. The results of this research have broad utility for communities seeking to ameliorate the challenges of bringing healthy food to isolated food deserts by demonstrating that positioning healthy food in a prominent, central location will attract residents from such neighborhoods while engaging a broad clientele. (C) 2015 Elsevier Ltd. All rights reserved.</t>
  </si>
  <si>
    <t>10.1016/j.apgeog.2015.12.010</t>
  </si>
  <si>
    <t>WOS:000370768500010</t>
  </si>
  <si>
    <t>Racine, EF; Batada, A; Solomon, CA; Story, M</t>
  </si>
  <si>
    <t>Racine, Elizabeth F.; Batada, Ameena; Solomon, Corliss A.; Story, Mary</t>
  </si>
  <si>
    <t>Availability of Foods and Beverages in Supplemental Nutrition Assistance Program-Authorized Dollar Stores in a Region of North Carolina</t>
  </si>
  <si>
    <t>Background There are &gt;25,000 Supplemental Nutrition Assistance Program (SNAP)-authorized dollar stores throughout the United States; many are located in lower-income neighborhoods and provide an accessible food and beverage source for area residents. Objective The purpose of this research was to determine the percent of food deserts within 16 counties in North Carolina that include a SNAP dollar store; examine the types of foods and beverages at SNAP dollar stores in these counties; test whether the foods and beverages offered vary by SNAP dollar store chain; and test whether the foods and beverages available differ by rural and urban location. Design This cross-sectional study used a combination of publicly available data and primary data to investigate the research questions. Secondary data sources were obtained from the US Department of Agriculture's SNAP retailer locator, the US Census, and the US Department of Agriculture's Food Access Research Atlas. Availability of foods and beverages was assessed among a sample of 90 SNAP dollar stores in 16 counties in southern and western sections of North Carolina. Data were collected in June 2014. Results About half (52%) of the food deserts in the research area included a SNAP dollar store. Most of the sampled stores sold healthier food staples, such as frozen meats, brown rice, 100% whole-wheat bread, and dried beans. None of the stores sold fresh fruits or vegetables. Some of the foods and beverages offered (eg, frozen fruit, frozen unseasoned vegetables, nonfat or low-fat milk, frozen ground beef) varied by SNAP dollar store chain. The foods and beverages offered did not differ by rural or urban county location. Conclusions SNAP dollar stores offer a number of healthy food staples; however, they do not sell fresh fruits or vegetables. Further food environment research should include dollar stores.</t>
  </si>
  <si>
    <t>10.1016/j.jand.2016.03.014</t>
  </si>
  <si>
    <t>WOS:000385056600011</t>
  </si>
  <si>
    <t>Ortega, AN; Albert, SL; Chan-Golston, AM; Langellier, BA; Glik, DC; Belin, TR; Garcia, RE; Brookmeyer, R; Sharif, MZ; Prelip, ML</t>
  </si>
  <si>
    <t>Ortega, Alexander N.; Albert, Stephanie L.; Chan-Golston, Alec M.; Langellier, Brent A.; Glik, Deborah C.; Belin, Thomas R.; Garcia, Rosa Elena; Brookmeyer, Ron; Sharif, Mienah Z.; Prelip, Michael L.</t>
  </si>
  <si>
    <t>Substantial improvements not seen in health behaviors following corner store conversions in two Latino food swamps</t>
  </si>
  <si>
    <t>BMC PUBLIC HEALTH</t>
  </si>
  <si>
    <t>Background: The effectiveness of food retail interventions is largely undetermined, yet substantial investments have been made to improve access to healthy foods in food deserts and swamps via grocery and corner store interventions. This study evaluated the effects of corner store conversions in East Los Angeles and Boyle Heights, California on perceived accessibility of healthy foods, perceptions of corner stores, store patronage, food purchasing, and eating behaviors. Methods: Household data (n = 1686) were collected at baseline and 12- to 24-months post-intervention among residents surrounding eight stores, three of which implemented a multi-faceted intervention and five of which were comparisons. Bivariate analyses and logistic and linear regressions were employed to assess differences in time, treatment, and the interaction between time and treatment to determine the effectiveness of this intervention. Results: Improvements were found in perceived healthy food accessibility and perceptions of corner stores. No changes were found, however, in store patronage, purchasing, or consumption of fruits and vegetables. Conclusions: Results suggest limited effectiveness of food retail interventions on improving health behaviors. Future research should focus on other strategies to reduce community-level obesity.</t>
  </si>
  <si>
    <t>1471-2458</t>
  </si>
  <si>
    <t>MAY 11</t>
  </si>
  <si>
    <t>10.1186/s12889-016-3074-1</t>
  </si>
  <si>
    <t>WOS:000375524700005</t>
  </si>
  <si>
    <t>Wood, BS; Horner, MW</t>
  </si>
  <si>
    <t>Wood, Brittany S.; Horner, Mark W.</t>
  </si>
  <si>
    <t>Understanding Accessibility to Snap-Accepting Food Store Locations: Disentangling the Roles of Transportation and Socioeconomic Status</t>
  </si>
  <si>
    <t>APPLIED SPATIAL ANALYSIS AND POLICY</t>
  </si>
  <si>
    <t>Research suggests that spatial inaccessibility to food stores adversely affects the health status of individuals living in predominantly low income or racial minority geographic areas. Previous studies examining geographic accessibility to food stores have focused on defining 'food deserts' using a variety of methods to map and quantify inaccessibility. However, the ability to afford and purchase healthy food must also be considered, and a scan of recent research reveals few studies that have accounted for the role of government assistance programs and how this might impact people's accessibility. In this paper, we analyze specific at-risk populations' accessibility to Supplemental Nutrition Assistance Program (SNAP) accepting locations using GIS-based estimates of specific personal transportation costs. In the U.S., the SNAP program attempts to alleviate food insecurity among low-income groups who qualify for assistance. We focus on understanding the relative accessibility of potentially vulnerable demographic populations as captured at the Census block group level and their potential ability to reach SNAP accepting food store locations. A mid-sized city in Florida is used as a test case. Network-based approaches are employed using GIS to gauge accessibility in terms of walking, automobile, and public transit modes. Ultimately, we seek to better understand possible differences in accessibility across socioeconomic groups, emphasizing characteristics such as vehicle ownership, race, and income, while recognizing the importance of the SNAP program. Findings suggest that higher income, high vehicle access, and white populations are more accessible to food opportunities than lower income, low vehicle access, and African American populations and potential policy implications of this work include whether certain transportation costs should be subsidized for individuals receiving SNAP benefits.</t>
  </si>
  <si>
    <t>Wood, Brittany/0000-0002-6808-2407</t>
  </si>
  <si>
    <t>1874-463X</t>
  </si>
  <si>
    <t>1874-4621</t>
  </si>
  <si>
    <t>10.1007/s12061-015-9138-2</t>
  </si>
  <si>
    <t>WOS:000381158200002</t>
  </si>
  <si>
    <t>Miller, WC; Griffith, B; Rogalla, D; Spencer, D; Zia, N; Heinsberg, H</t>
  </si>
  <si>
    <t>Miller, Wayne C.; Griffith, Brian; Rogalla, Denver; Spencer, Dustin; Zia, Nida; Heinsberg, Haylee</t>
  </si>
  <si>
    <t>Rural Community Member Adaptations to a Recent Food Desert</t>
  </si>
  <si>
    <t>MEDICINE AND SCIENCE IN SPORTS AND EXERCISE</t>
  </si>
  <si>
    <t>MAY 31-JUN 04, 2016</t>
  </si>
  <si>
    <t>Amer Coll Sports Med</t>
  </si>
  <si>
    <t>0195-9131</t>
  </si>
  <si>
    <t>1530-0315</t>
  </si>
  <si>
    <t>10.1249/01.mss.0000487256.32175.16</t>
  </si>
  <si>
    <t>WOS:000415210700603</t>
  </si>
  <si>
    <t>Robinson, JA; Weissman, E; Adair, S; Potteiger, M; Villanueva, J</t>
  </si>
  <si>
    <t>Robinson, Jonnell A.; Weissman, Evan; Adair, Susan; Potteiger, Matthew; Villanueva, Joaquin</t>
  </si>
  <si>
    <t>An oasis in the desert? The benefits and constraints of mobile markets operating in Syracuse, New York food deserts</t>
  </si>
  <si>
    <t>In this paper we critically examine mobile markets as an emerging approach to serving communities with limited healthy food options. Mobile markets are essentially farm stands on wheels, bringing fresh fruits, vegetables and other food staples into neighborhoods, especially those lacking traditional, full service grocery stores, or where a significant proportion of the population lacks transportation to grocery stores. We first trace the emergence of contemporary mobile markets, including a brief summary about how and where they operate, what they aim to achieve, who they serve, and the general constraints on their operations. We then report case study findings that examine the operational benefits and challenges of two mobile markets operating in Syracuse, New York. Our research suggests that although Syracuse's mobile markets play a positive role in alleviating geographic, economic and social barriers to fresh food access experienced by elderly, immobile and low income residents living in Syracuse's urban neighborhoods, the impacts of the mobile markets are dampened by both operational constraints and larger political and economic forces.</t>
  </si>
  <si>
    <t>Robinson, Jonnell/0000-0002-0441-1689</t>
  </si>
  <si>
    <t>10.1007/s10460-016-9680-9</t>
  </si>
  <si>
    <t>WOS:000387667100009</t>
  </si>
  <si>
    <t>Engler-Stringer, R; Muhajarine, N; Ridalls, T; Abonyi, S; Vatanparast, H; Whiting, S; Walker, R</t>
  </si>
  <si>
    <t>Engler-Stringer, Rachel; Muhajarine, Nazeem; Ridalls, Tracy; Abonyi, Sylvia; Vatanparast, Hassan; Whiting, Susan; Walker, Ryan</t>
  </si>
  <si>
    <t>The Good Food Junction: a Community-Based Food Store Intervention to Address Nutritional Health Inequities</t>
  </si>
  <si>
    <t>JMIR RESEARCH PROTOCOLS</t>
  </si>
  <si>
    <t>Background: This is a 2-year study to assess the early impacts of a new grocery store intervention in a former food desert. Objective: The purpose of the study is to understand the early health effects of the introduction of a large-scale food and nutrition-focused community-based population health intervention, the Good Food Junction (GFJ) Cooperative Store, in a geographically bounded group of socially disadvantaged neighborhoods (the core neighborhoods) in a midsized Canadian city. The GFJ grocery store was tasked with improving the access of residents to healthy, affordable food. The 5 research questions are: (1) What is the awareness and perception of the GFJ store among residents of the core neighborhoods? (2) Are there differences in awareness and perception among those who do and do not shop at the GFJ? (3) Will healthy food purchasing at the GFJ by residents of the core neighborhoods change over time, and what purchases are these individuals making at this store? (4) What early impact(s) will the GFJ have on key health-related outcomes (such as household food security status, vegetable and fruit intake, key aspects of self-reported mental health, self-reported health)? and (5) Are the effects of the intervention seen for specific vulnerable population groups, such as Aboriginal people, seniors (65 years old or older) and new immigrants (settled in Saskatoon for less than 5 years)? Methods: The research project examined initial impacts of the GFJ on the health of the residents in surrounding neighborhoods through a door-to-door cross-sectional survey of food access and household demographics; an examination of GFJ sales data by location of shoppers' residences; and a 1-year, 3-time-point longitudinal study of self-reported health of GFJ shoppers. Results: Analyses are on-going, but preliminary results show that shoppers are using the store for its intended purpose, which is to improve access to healthy food in a former food desert. Conclusions: To our knowledge this is the first large-scale study of a full-service grocery store intervention in a former food desert in Canada that has used multiple data sources, as well as longitudinal analyses, to examine its effects. Its findings will contribute significantly to the knowledge base on food environment interventions.</t>
  </si>
  <si>
    <t>Muhajarine, Nazeem/D-7360-2012</t>
  </si>
  <si>
    <t>Walker, Ryan/0000-0003-4979-6161; Abonyi, Sylvia/0000-0003-2657-4144; Engler-Stringer, Rachel/0000-0003-1976-1339</t>
  </si>
  <si>
    <t>1929-0748</t>
  </si>
  <si>
    <t>e52</t>
  </si>
  <si>
    <t>10.2196/resprot.5303</t>
  </si>
  <si>
    <t>WOS:000381213600082</t>
  </si>
  <si>
    <t>Vaz, E; Khaper, M</t>
  </si>
  <si>
    <t>Vaz, Eric; Khaper, Monica</t>
  </si>
  <si>
    <t>NEW RESOURCES FOR SMART FOOD RETAIL MAPPING A GIS AND THE OPEN SOURCE PERSPECTIVE</t>
  </si>
  <si>
    <t>JOURNAL OF SPATIAL AND ORGANIZATIONAL DYNAMICS</t>
  </si>
  <si>
    <t>In this paper it is demonstrated that open-source GIS software may contribute to allow non-profit organizations and local food retailers to strategically locate food shops. This impacts realtors and other businesses as well. Areas are covered and clients served avoiding food deserts and increasing security in the health sector (Barnes et al., 2016). The methodology demonstrates how mapping may be processed, allowing people to get a good understanding of the food distribution. Also, decision making at corporate level improves due to better connecting to local production and organic retailers and to better reach out to local consumption. A major consequence of this exercise is likewise to educate users on the negative impacts of food deserts on health and improve awareness supporting the design and integration of sustainable and healthy lifestyles (Vaz and Zhao, 2016). This novel proposal that combines spatial and locational data visualization (McIver, 2003), as well as sharing of information of healthy food retailers within the urban nexus (Morgan and Sonnino, 2010) engage communities actively to participate in the integration of new consumer behaviours and make them clearly expressed.</t>
  </si>
  <si>
    <t>1647-3183</t>
  </si>
  <si>
    <t>WOS:000391035500003</t>
  </si>
  <si>
    <t>Maguire, JS</t>
  </si>
  <si>
    <t>Maguire, Jennifer Smith</t>
  </si>
  <si>
    <t>Introduction: Looking at Food Practices and Taste across the Class Divide</t>
  </si>
  <si>
    <t>This editorial introduces a Special Issue on food practices and social inequality by outlining a dichotomous tendency in policy-related, academic and populist accounts of the relationship between food and class. The Special Issue aims to move our understanding beyond this dichotomous divide, which privileges either middle-class discerning taste or working-class necessity in understandings of the determinants of food practices. The papers call attention to the diverse, complex forms of critical creativity and cultural capital employed by individuals, families and communities across the spectrum of social stratification, in their attempts to acquire and prepare food that is both healthy and desirable. The papers report on research carried out in the United States, Canada, Mexico and Denmark, and cover diverse contexts, from the intense insecurity of food deserts to the relative security of social democratic states. Through quantitative and qualitative cross-class comparisons, and ethnographic accounts of low-income experiences and practices, the papers examine the ways in which food practices and preferences are inflected by social class (alone, and in combination with gender, ethnicity and urban/rural location). Thus, the Special Issue offers a debunking of the figure of the uncritical, uncultured low-income consumer. Calling for the development of a more nuanced, dynamic account of the tastes and cultural competences of socially disadvantaged groups, the editorial concludes by underlining the simultaneous need for structural critiques of the gross inequalities in the degrees of freedom with which different individuals and groups engage in food practices.</t>
  </si>
  <si>
    <t>10.1080/15528014.2016.1144995</t>
  </si>
  <si>
    <t>WOS:000372719200002</t>
  </si>
  <si>
    <t>DeMoss, B; Phookan, S; Hammadah, M; Kelli, H; Gupta, D</t>
  </si>
  <si>
    <t>DeMoss, Benjamin; Phookan, Sujoy; Hammadah, Muhammad; Kelli, Heval; Gupta, Divya</t>
  </si>
  <si>
    <t>Living in a Food Desert Fails to Predict Heart Failure Readmissions</t>
  </si>
  <si>
    <t>CIRCULATION</t>
  </si>
  <si>
    <t>APR 02-03, 2017</t>
  </si>
  <si>
    <t>Pentagon City, VA</t>
  </si>
  <si>
    <t>0009-7322</t>
  </si>
  <si>
    <t>1524-4539</t>
  </si>
  <si>
    <t>NOV 11</t>
  </si>
  <si>
    <t>WOS:000396815606039</t>
  </si>
  <si>
    <t>Carnahan, LR; Zimmermann, K; Peacock, NR</t>
  </si>
  <si>
    <t>Carnahan, Leslie R.; Zimmermann, Kristine; Peacock, Nadine R.</t>
  </si>
  <si>
    <t>What Rural Women Want the Public Health Community to Know About Access to Healthful Food: A Qualitative Study, 2011</t>
  </si>
  <si>
    <t>Introduction Living in a rural food desert has been linked to poor dietary habits. Understanding community perspectives about available resources and feasible solutions may inform strategies to improve food access in rural food deserts. The objective of our study was to identify resources and solutions to the food access problems of women in rural, southernmost Illinois. Methods Fourteen focus groups with women (n = 110 participants) in 4 age groups were conducted in a 7-county region as part of a community assessment focused on women's health. We used content analysis with inductive and deductive approaches to explore food access barriers and facilitators. Results Similar to participants in previous studies, participants in our study reported insufficient local food sources, which they believe contributed to poor dietary habits, high food prices, and the need to travel for healthful food. Participants identified existing local activities and resources that help to increase access, such as home and community gardens, food pantries, and public transportation, as well as local solutions, such as improving nutrition education and public transportation options. Conclusion Multilevel and collaborative strategies and policies are needed to address food access barriers in rural communities. At the individual level, education may help residents navigate geographic and economic barriers. Community solutions include collaborative strategies to increase availability of healthful foods through traditional and nontraditional food sources. Policy change is needed to promote local agriculture and distribution of privately grown food. Understanding needs and strengths in rural communities will ensure responsive and effective strategies to improve the rural food environment.</t>
  </si>
  <si>
    <t>Zimmermann, Kristine/AAW-6796-2020</t>
  </si>
  <si>
    <t>Carnahan, Leslie/0000-0002-5813-2757</t>
  </si>
  <si>
    <t>E57</t>
  </si>
  <si>
    <t>10.5888/pcd13.150583</t>
  </si>
  <si>
    <t>WOS:000375203800012</t>
  </si>
  <si>
    <t>Integrating expert knowledge in a GIS to optimize siting decisions for small-scale healthy food retail interventions</t>
  </si>
  <si>
    <t>Background: The availability of healthy foods in a neighborhood remains a key determinant of diet and diet-related disease in disadvantaged communities. Innovative solutions to the 'food desert' problem include the deployment of mobile markets and healthy corner store initiatives. Such initiatives, however, do not always capitalize on the principles guiding retail development and the possibilities of GIS-based data. Simultaneously, community partners are not always engaged effectively in the planning for such interventions, which limits acceptability and suitability of such work. Methods: This paper highlights the results of a participatory mapping exercise to optimize the siting of a planned healthy food retail intervention in Flint, Michigan. Potential sites are chosen by engaging experts in a three-stage mapping process that includes the analytic hierarchy process and point allocation of five key variables (including food access, socioeconomic distress, population density, access to transit, and proximity to neighborhood centers), as well as direct mapping of suitable sites. Results: Results suggest a discrete set of areas-primarily in the northwestern quadrant of the city-where small-scale healthy food retail interventions might be most strategically located. Areas with the most consistent overlap between directly mapped sites and very high levels of suitability align well with neighborhoods which are distant from existing grocery stores. Conclusions: As a community-based strategy, this increases the opportunity for effectively improving neighborhood access to healthy foods by optimizing the potential sites for healthy food interventions. Community partners have already been active in using these results in project planning for just such an intervention.</t>
  </si>
  <si>
    <t>JUN 16</t>
  </si>
  <si>
    <t>10.1186/s12942-016-0048-6</t>
  </si>
  <si>
    <t>WOS:000378434200001</t>
  </si>
  <si>
    <t>Valdez, Z; Ramírez, AS; Estrada, E; Grassi, K; Nathan, S</t>
  </si>
  <si>
    <t>Valdez, Zulema; Ramirez, A. Susana; Estrada, Erendira; Grassi, Kathleen; Nathan, Stephanie</t>
  </si>
  <si>
    <t>Community Perspectives on Access to and Availability of Healthy Food in Rural, Low-Resource, Latino Communities</t>
  </si>
  <si>
    <t>Introduction Attention has focused on the food environment as a result of the growing concern with obesity rates among Latinos in rural areas. Researchers have observed associations between a lack of physical access to affordable produce in areas where supermarkets and grocery stores are limited and poor dietary intake and obesity; these associations are high in rural, low-resource neighborhoods with a high population of Latino residents. We aimed to engage residents of low-resource, Latino-majority neighborhoods in discussions of food access in a rural yet agricultural community setting, which is typically described as a food desert. Methods We used a mixed-methods approach and conducted 3 focus groups (n = 20) and in-depth interviews (n = 59) and surveys (n = 79) with residents of a rural yet agricultural community. We used thematic analysis to explore residents' perceptions of access to healthy foods. Results Residents (n = 79; mean age, 41.6 y; 72% female; 79% Latino; 53% Spanish-speaking) reported that dollar and discount stores in this agricultural area provided access to produce; however, produce at retail stores was less affordable than produce at nonretail outlets such as fruit and vegetable stands. Gifts and trades of fruits and vegetables from neighbors and community organizations supplied no-cost or low-cost healthy foods. Residents' suggestions to improve food access centered on lowering the cost of produce in existing retail outlets and seeking out nonretail outlets. Conclusion Our findings contribute to understanding of the food environment in low-resource, rural yet agricultural areas. Although such areas are characterized as food deserts,residents identified nonretail outlets as a viable source of affordable produce, while indicating that the cost of retail produce was a concern. Innovative policy solutions to increase healthy food consumption must focus on affordability as well as accessibility, and consider alternate, nonretail food outlets in agricultural areas.</t>
  </si>
  <si>
    <t>Ramírez, A Susana/AFP-3302-2022</t>
  </si>
  <si>
    <t>Ramirez, A Susana/0000-0002-9095-5358</t>
  </si>
  <si>
    <t>E170</t>
  </si>
  <si>
    <t>10.5888/pcd13.160250</t>
  </si>
  <si>
    <t>WOS:000393111400010</t>
  </si>
  <si>
    <t>Brandt, HM; Freedman, DA; Friedman, DB; Choi, SK; Seel, JS; Guest, MA; Khang, L</t>
  </si>
  <si>
    <t>Brandt, Heather M.; Freedman, Darcy A.; Friedman, Daniela B.; Choi, Seul Ki; Seel, Jessica S.; Guest, M. Aaron; Khang, Leepao</t>
  </si>
  <si>
    <t>Planting Healthy Roots Using Documentary Film to Evaluate and Disseminate Community-Based Participatory Research</t>
  </si>
  <si>
    <t>Documentary filmmaking approaches incorporating community engagement and awareness raising strategies may be a promising approach to evaluate community-based participatory research. The study purpose was 2-fold: (1) to evaluate a documentary film featuring the formation and implementation of a farmers' market and (2) to assess whether the film affected awareness regarding food access issues in a food-desert community with high rates of obesity. The coalition model of filmmaking, a model consistent with a community-based participatory research (CBPR) approach, and personal stories, community profiles, and expert interviews were used to develop a documentary film (Planting Healthy Roots). The evaluation demonstrated high levels of approval and satisfaction with the film and CBPR essence of the film. The documentary film aligned with a CBPR approach to document, evaluate, and disseminate research processes and outcomes.</t>
  </si>
  <si>
    <t>Guest, Aaron/GQQ-3416-2022; Brandt, Heather/AAY-8027-2020; Freedman, Darcy/Q-7239-2019; Friedman, Daniela/IAR-1058-2023</t>
  </si>
  <si>
    <t>Guest, Marc/0000-0001-7356-3734; Friedman, Daniela/0000-0002-9359-093X; Freedman, Darcy/0000-0002-0521-9621</t>
  </si>
  <si>
    <t>10.1097/FCH.0000000000000120</t>
  </si>
  <si>
    <t>WOS:000382253600004</t>
  </si>
  <si>
    <t>Preston, D; Morales, M; Plunk, A</t>
  </si>
  <si>
    <t>Preston, D.; Morales, M.; Plunk, A.</t>
  </si>
  <si>
    <t>THE RELATIONSHIP BETWEEN ASTHMA AND FOOD DESERTS IN THE HAMPTON ROADS AREA</t>
  </si>
  <si>
    <t>ANNALS OF ALLERGY ASTHMA &amp; IMMUNOLOGY</t>
  </si>
  <si>
    <t>1081-1206</t>
  </si>
  <si>
    <t>1534-4436</t>
  </si>
  <si>
    <t>O022</t>
  </si>
  <si>
    <t>S8</t>
  </si>
  <si>
    <t>WOS:000392814200023</t>
  </si>
  <si>
    <t>Edwards, OW; Cheeley, T</t>
  </si>
  <si>
    <t>Edwards, Oliver W.; Cheeley, Taylor</t>
  </si>
  <si>
    <t>Positive Youth Development and Nutrition: Interdisciplinary Strategies to Enhance Student Outcomes</t>
  </si>
  <si>
    <t>CHILDREN &amp; SCHOOLS</t>
  </si>
  <si>
    <t>Educational policies require the use of data and progress monitoring frameworks to guide instruction and intervention in schools. As a result, different problem-solving models such as multitiered systems of supports (MTSS) have emerged that use these frameworks to improve student outcomes. However, problem-focused models emphasize negative behaviors and protracted interventions implemented only after students show a pattern of failure or resistance to intervention. Positive Youth Development (PYD) is a nascent proactive developmental systems model that is aligned with MTSS yet was developed in contrast to problem-focused approaches. Research suggests that physical health is an important PYD variable associated with positive school outcomes. In this article, authors systematically review and integrate specific literature demonstrating how nutrition, under the rubric of physical health, is a developmental asset that advances PYD and positive student outcomes. In addition, they highlight interdisciplinary measures available to school mental health professionals that advance good nutritional practices, PYD, and positive student outcomes.</t>
  </si>
  <si>
    <t>1532-8759</t>
  </si>
  <si>
    <t>1545-682X</t>
  </si>
  <si>
    <t>10.1093/cs/cdw019</t>
  </si>
  <si>
    <t>WOS:000379764300007</t>
  </si>
  <si>
    <t>King, LO</t>
  </si>
  <si>
    <t>King, Lester O.</t>
  </si>
  <si>
    <t>Functional sustainability indicators</t>
  </si>
  <si>
    <t>ECOLOGICAL INDICATORS</t>
  </si>
  <si>
    <t>Sustainability indicators (SIs) are not just traditional performance metrics but are value laden pathways to supporting urban development. This paper presents a functional classification for SIs. The following six classes are used to illustrate the various functions of SIs: (F1) Political and Operational; (F2) Problem Recognition and Awareness; (F3) Justificatory; (F4) Monitoring Control and Reporting; (F5) Normative Guidance; (F6) Communication and Opinion Forming. The Houston Sustainability Indicators (HSI) program was used as a heuristic case study of how the functional classification could be applied. Fl was illustrated by carefully choosing geographic boundaries for the study. F2 was highlighted by careful review of the socio-economics of persons in the Food Desert. F3 was demonstrated by a look at issues of calculating population growth totals and also setting standards for access to parks. F4 was illustrated by a look at Employment figures. F5 was highlighted by a look at affordability in Houston. Lastly F6 was explained by a look at income inequality. This paper is intended to strengthen the importance of sustainability in development planning, through the illustration of key functions for Sis. (C) 2016 Elsevier Ltd. All rights reserved.</t>
  </si>
  <si>
    <t>King) Abraham, David (Lester/0000-0001-6204-6985</t>
  </si>
  <si>
    <t>1470-160X</t>
  </si>
  <si>
    <t>1872-7034</t>
  </si>
  <si>
    <t>10.1016/j.ecolind.2016.01.027</t>
  </si>
  <si>
    <t>WOS:000388912300012</t>
  </si>
  <si>
    <t>Zhang, MY; Ghosh, D</t>
  </si>
  <si>
    <t>Zhang, Mengyao; Ghosh, Debarchana</t>
  </si>
  <si>
    <t>Spatial Supermarket Redlining and Neighborhood Vulnerability: A Case Study of Hartford, Connecticut</t>
  </si>
  <si>
    <t>TRANSACTIONS IN GIS</t>
  </si>
  <si>
    <t>The disinclination of chain supermarkets to locate or relocate existing stores from inner city impoverished neighborhoods to affluent suburbs is termed spatial supermarket redlining'. This study attempts to map and understand the effects of potential spatial supermarket redlining on food access in urban disadvantaged neighborhoods of Hartford, Connecticut. Using a combination of statistical and spatial analysis, we first built a Supermarket Redlining Index (SuRI) from five indicators (sales volume, employee count, accepts food coupons from federally assisted programs, and size and population density of the service area) to rank supermarkets in the order of their importance. Second, to understand the effects of supermarket closures in the inner city, a Supermarket Redlining Impact Model (SuRIM) was built with 11 indicators describing both socioeconomic and food access vulnerabilities. The interaction of these vulnerabilities identified neighborhoods that are maximally impacted by spatial supermarket redlining. Results mapped critical areas in the inner city of Hartford where, if a nearby supermarket closed down or relocated to a suburb with limited mitigation efforts to fill the grocery gap, a large number of minority, poor, and disadvantaged residents would experience difficulties to access healthy food, leading to food insecurity or perhaps a food desert. In conclusion we suggest mitigation efforts to reduce this impact of large supermarket closures.</t>
  </si>
  <si>
    <t>1361-1682</t>
  </si>
  <si>
    <t>1467-9671</t>
  </si>
  <si>
    <t>10.1111/tgis.12142</t>
  </si>
  <si>
    <t>WOS:000368797000005</t>
  </si>
  <si>
    <t>Wolters, EA; Steel, BS</t>
  </si>
  <si>
    <t>Menghini, S; Pfoestl, E; Marinelli, A</t>
  </si>
  <si>
    <t>Wolters, Erika Allen; Steel, Brent S.</t>
  </si>
  <si>
    <t>Sustainable futures: Healthy lifestyles, obesity, and access to food in US counties 2012</t>
  </si>
  <si>
    <t>FLORENCE 'SUSTAINABILITY OF WELL-BEING INTERNATIONAL FORUM', 2015: FOOD FOR SUSTAINABILITY AND NOT JUST FOOD, FLORENCESWIF2015</t>
  </si>
  <si>
    <t>Agriculture and Agricultural Science Procedia</t>
  </si>
  <si>
    <t>Florence, ITALY</t>
  </si>
  <si>
    <t>With over one-third of U.S. adults considered obese, there is growing concern over the social implications pertaining to the health and welfare of U.S. citizens. This study examines the impact of local food systems (i.e., access to healthy foods and unhealthy foods) and other control variables on adult obesity rates, general health conditions, and mortality rates in counties across the United States. The findings suggest that adult obesity disproportionately impacts people with less access to healthy food, fewer resources to make healthy food choices, and often lacking the health care needed to provide intervention and care for obesity related health concerns. Policies that seek to reduce obesity will require addressing the underlying socioeconomic and environmental conditions that prevent individuals from making healthier food choices. (C) 2016 The Authors. Published by Elsevier B.V.</t>
  </si>
  <si>
    <t>Wolters, Erika/0000-0003-4598-1626</t>
  </si>
  <si>
    <t>2210-7843</t>
  </si>
  <si>
    <t>10.1016/j.aaspro.2016.02.010</t>
  </si>
  <si>
    <t>WOS:000387671800009</t>
  </si>
  <si>
    <t>Kelli, HM; Hammadah, M; Salim, SS; Awad, M; Corrigan, FE; Patel, K; Mohammed, K; Gray, B; Qadir, S; Rashid, FA; Chivukula, K; Hiroshi, A; Ko, YA; Vaccarino, V; Sperling, LS; Quyyumi, AA</t>
  </si>
  <si>
    <t>Kelli, Heval Mohamed; Hammadah, Muhammad; Salim, Salim S.; Awad, Mossab; Corrigan, Frank E.; Patel, Keyur; Mohammed, Kareem; Gray, Brandon; Qadir, Saqib; Rashid, Fauzia A.; Chivukula, Kaavya; Hiroshi, Aida; Ko, Yi-An; Vaccarino, Viola; Sperling, Laurence S.; Quyyumi, Arshed A.</t>
  </si>
  <si>
    <t>Neighborhood Income Rather Than Food Access is Associated With Adverse Cardiovascular Outcomes in Food Deserts</t>
  </si>
  <si>
    <t>NOV 12-16, 2016</t>
  </si>
  <si>
    <t>Amer Heart Assoc</t>
  </si>
  <si>
    <t>SALIM, SITI/B-7848-2010; Vaccarino, Viola/AAW-5600-2020</t>
  </si>
  <si>
    <t>Vaccarino, Laura Viola/0000-0002-9054-0654</t>
  </si>
  <si>
    <t>WOS:000396816606106</t>
  </si>
  <si>
    <t>Kelli, HM; Ahmed, H; Hammadah, M; Topel, M; Hayek, S; Awad, M; Patel, K; Gray, B; Mohammed, K; Ko, YA; Sperling, L; Lewis, TT; Martin, G; Gibbons, G; Quyyumi, A</t>
  </si>
  <si>
    <t>Kelli, Heval Mohamed; Ahmed, Hina; Hammadah, Muhammad; Topel, Matthew; Hayek, Salim; Awad, Mosaab; Patel, Keyur; Gray, Brandon; Mohammed, Kareem; Ko, Yi-An; Sperling, Laurence; Lewis, Tene T.; Martin, Greg; Gibbons, Gary; Quyyumi, Arshed</t>
  </si>
  <si>
    <t>THE ASSOCIATION OF LIVING IN FOOD DESERTS WITH CARDIOVASCULAR RISK FACTORS AND SUBCLINICAL VASCULAR DISEASE</t>
  </si>
  <si>
    <t>JOURNAL OF THE AMERICAN COLLEGE OF CARDIOLOGY</t>
  </si>
  <si>
    <t>APR 02-04, 2016</t>
  </si>
  <si>
    <t>Chicago, IL</t>
  </si>
  <si>
    <t>Amer Coll Cardiol</t>
  </si>
  <si>
    <t>Martin, Greg/B-4085-2009; Lewis, Tene/JBS-7332-2023; Hayek, Salim/E-6932-2013</t>
  </si>
  <si>
    <t>0735-1097</t>
  </si>
  <si>
    <t>1558-3597</t>
  </si>
  <si>
    <t>APR 5</t>
  </si>
  <si>
    <t>1120-376</t>
  </si>
  <si>
    <t>10.1016/S0735-1097(16)31884-8</t>
  </si>
  <si>
    <t>WOS:000375188702729</t>
  </si>
  <si>
    <t>Steeves, ETA; Johnson, KA; Pollard, SL; Jones-Smith, J; Pollack, K; Johnson, SL; Hopkins, L; Gittelsohn, J</t>
  </si>
  <si>
    <t>Steeves, Elizabeth T. Anderson; Johnson, Katherine A.; Pollard, Suzanne L.; Jones-Smith, Jessica; Pollack, Keshia; Johnson, Sarah Lindstrom; Hopkins, Laura; Gittelsohn, Joel</t>
  </si>
  <si>
    <t>Social influences on eating and physical activity behaviours of urban, minority youths</t>
  </si>
  <si>
    <t>Objective: Social relationships can impact youths' eating and physical activity behaviours; however, the best strategies for intervening in the social environment are unknown. The objectives of the present study were to provide in-depth information on the social roles that youths' parents and friends play related to eating and physical activity behaviours and to explore the impact of other social relationships on youths' eating and physical activity behaviours. Design: Convergent parallel mixed-methods design. Setting: Low-income, African American, food desert neighbourhoods in Baltimore City, MD, USA. Subjects: Data were collected from 297 youths (53% female, 91% African American, mean age 12.3 (SD 1.5) years) using structured questionnaires and combined with in-depth interviews from thirty-eight youths (42% female, 97% African American, mean age 11.4 (SD 1.5) years) and ten parents (80% female, 50% single heads of house, 100% African American). Results: Combined interpretation of the results found that parents and caregivers have multiple, dynamic roles influencing youths' eating and physical activity behaviours, such as creating health-promoting rules, managing the home food environment and serving as a role model for physical activity. Other social relationships have specific, but limited roles. For example, friends served as partners for physical activity, aunts provided exposure to novel food experiences, and teachers and doctors provided information related to eating and physical activity. Conclusions: Obesity prevention programmes should consider minority youths' perceptions of social roles when designing interventions. Specifically, future research is needed to test the effectiveness of intervention strategies that enhance or expand the supportive roles played by social relationships.</t>
  </si>
  <si>
    <t>Johnson, Katherine/K-8469-2015</t>
  </si>
  <si>
    <t>Jones-Smith, Jessica/0000-0001-8962-1695</t>
  </si>
  <si>
    <t>10.1017/S1368980016001701</t>
  </si>
  <si>
    <t>WOS:000411260700017</t>
  </si>
  <si>
    <t>Measuring Space-Time Access to Food Retailers: A Case of Temporal Access Disparity in Franklin County, Ohio</t>
  </si>
  <si>
    <t>Typical measures of food access use spatial-only methods to identify nearby food outlets and the quantity, quality, and variety of food available. This measure of spatial access falls short in explaining the effect that the operating hours of food retailers have on food access. Our study aims to complement the spatial dimension of access measures by bringing time in as a new constraint on food access. To this end, we developed three measures of spatial, temporal, and spatiotemporal access and correlated these measures with socioeconomic status (SES) in a case in Columbus, Ohio. Findings from our analysis of food access disparity suggest that low-SES neighborhoods in Columbus are not at a disadvantage of spatial access, but their limited temporal access is a more pressing concern. Implications drawn from the study would assist community advocates, local governments, and other stakeholders in deriving a better understanding of the local foodscape that are not only mediated by space but also time. Las mediciones tipicas sobre accesibilidad alimentaria utilizan metodos exclusivamente espaciales para identificar los puntos cercanos de venta de alimentos y la cantidad, calidad y variedad de los alimentos que se ofertan. Esta medida de acceso espacial es insuficiente para explicar el efecto que tienen las horas dentro de las cuales operan los comerciantes de alimentos al detal, sobre la accesibilidad al alimento. Nuestro estudio busca complementar la dimension espacial de las medidas de acceso incluyendo el tiempo como un nuevo limitante del acceso a los alimentos. Con este proposito, desarrollamos tres medidas de accesoespacial, temporal y espacio-temporaly correlacionamos estas medidas con el estatus socioeconomico (SES) en el caso de Columbus, Ohio. Los descubrimientos de nuestro analisis sobre la disparidad en el acceso al alimento sugieren que, en Columbus, los vecindarios con bajo SES no se hallan en desventaja por acceso espacial, pero su acceso temporal limitado es una preocupacion mas seria. Las implicaciones que se desprenden del estudio podrian ayudar a los promotores comunitarios, a los gobiernos locales y a otros interesados en conseguir un mejor entendimiento del paisaje local alimentario, que no solo es mediado por el espacio sino tambien por el tiempo.</t>
  </si>
  <si>
    <t>APR 2</t>
  </si>
  <si>
    <t>10.1080/00330124.2015.1032876</t>
  </si>
  <si>
    <t>WOS:000371810700001</t>
  </si>
  <si>
    <t>Bastian, E; Napieralski, J</t>
  </si>
  <si>
    <t>Bastian, Elizabeth; Napieralski, Jacob</t>
  </si>
  <si>
    <t>Suburban Food Security: Walkability and Nutritional Access in Metropolitan Detroit</t>
  </si>
  <si>
    <t>This article explored the relationship between the local food environment and walkability in the socioeconomically diverse, inner-ring suburbs of metropolitan Detroit. The availability and cost differentials of food were surveyed using a modified version of the Nutrition Environment Measures Survey for Stores (NEMS-S), and a geographic information system-based method was designed to map walkability relative to licensed food retail establishments. Results showed that minority communities lack access to fresh produce and nutritionally adequate foods, which is compounded by limited mobility. By incorporating local-based economic incentives, low-income communities can better align neighborhood goals of obtaining nutritionally adequate food (and other services) with economic opportunity.</t>
  </si>
  <si>
    <t>Napieralski, Jacob/0000-0002-3013-251X</t>
  </si>
  <si>
    <t>WOS:000383877300011</t>
  </si>
  <si>
    <t>Nesbitt, S; Palomarez, RE</t>
  </si>
  <si>
    <t>Nesbitt, Shawna; Palomarez, Rigo Estevan</t>
  </si>
  <si>
    <t>REVIEW: INCREASING AWARENESS AND EDUCATION ON HEALTH DISPARITIES FOR HEALTH CARE PROVIDERS</t>
  </si>
  <si>
    <t>ETHNICITY &amp; DISEASE</t>
  </si>
  <si>
    <t>The focus of this review is to highlight health care disparities and trends in several common diseases in selected populations while offering evidence-based approaches to mitigating health care disparities. Health care disparities cross many barriers and affect multiple populations and diseases. Ethnic minorities, the elderly, and those of lower socioeconomic status (SES) are more at-risk than others. However, many low SES Whites and higher SES racial minorities have poorer health than their racial or SES peers. Also, recent immigrant groups and Hispanics, in particular, maintain high health ratings. The so-called Hispanic Paradox provides an example of how culture and social background can be used to improve health outcomes. These groups have unique determinants of disparity that are based on a wide range of cultural and societal factors. Providing improved access to care and reducing the social determinants of disparity is crucial to improving public health. At the same time, for providers, increasing an understanding of the social determinants promotes better models of individualized care to encourage more equitable care. These approaches include increasing provider education on disparities encountered by different populations, practicing active listening skills, and utilizing a patient's cultural background to promote healthy behaviors.</t>
  </si>
  <si>
    <t>1049-510X</t>
  </si>
  <si>
    <t>1945-0826</t>
  </si>
  <si>
    <t>10.18865/ed.26.2.181</t>
  </si>
  <si>
    <t>WOS:000380799800006</t>
  </si>
  <si>
    <t>Montgomery, JA; Klimas, CA; Arcus, J; DeKnock, C; Rico, K; Rodriguez, Y; Vollrath, K; Webb, E; Williams, A</t>
  </si>
  <si>
    <t>Montgomery, James A.; Klimas, Christie A.; Arcus, Joseph; DeKnock, Christian; Rico, Kathryn; Rodriguez, Yarency; Vollrath, Katherine; Webb, Ellen; Williams, Allison</t>
  </si>
  <si>
    <t>Soil Quality Assessment Is a Necessary First Step for Designing Urban Green Infrastructure</t>
  </si>
  <si>
    <t>JOURNAL OF ENVIRONMENTAL QUALITY</t>
  </si>
  <si>
    <t>This paper describes the results of a preliminary project conducted by a team of DePaul University undergraduate students and staff from the Gary Comer Youth Center located on Chicago's South Side. The team assessed soil quality on 116 samples collected among four abandoned residential lots adjacent to the Comer Center. Soil quality data will be used in a follow-up study to determine the suitability of each lot for green infrastructure implementation. Green infrastructure may be a useful approach for providing ecosystem services and mitigating food deserts in inner-city communities. Soil quality on all lots was poor. All soils had pH &gt; 8.0, low biological activity, and low N mineralization potential. The soils were rich in available P and had mean total Pb concentrations above the USEPA threshold (400 mg kg(-1)) for children's playlots. Mean bioavailable Pb on the largest of the four lots was 12% of total Pb, indicating that most of the total Pb is not bioavailable. This result is encouraging because high bioavailable Pb concentrations are linked with negative health effects, particularly in children. All lots had NO3-N concentrations below those considered to be appropriate for plant growth. On the other hand, no significant differences in mean concentrations of the other analytes were found. The poor soil quality in the four lots presents an opportunity to use green infrastructure to enhance ecosystem services, improve community and environmental health, and provide more equitable access to green space.</t>
  </si>
  <si>
    <t>0047-2425</t>
  </si>
  <si>
    <t>1537-2537</t>
  </si>
  <si>
    <t>10.2134/jeq2015.04.0192</t>
  </si>
  <si>
    <t>WOS:000367948600004</t>
  </si>
  <si>
    <t>Myers, JS; Caruso, CC</t>
  </si>
  <si>
    <t>Myers, Justin Sean; Caruso, Christine C.</t>
  </si>
  <si>
    <t>Towards a public food infrastructure: Closing the food gap through state-run grocery stores</t>
  </si>
  <si>
    <t>There has been a national movement towards closing the grocery gap through public-private partnerships. In this short review, we consider the limits of these interventions in addressing the economic barriers shaping food access and contend that the weaknesses are rooted in the politics of the neoliberal state. We then introduce the concept of the affirmative state and the examples of the military commissary and state-run alcohol stores to legitimate the notion that state-run grocery stores can overcome the limits of conventional grocery gap interventions. (C) 2016 Elsevier Ltd. All rights reserved.</t>
  </si>
  <si>
    <t>10.1016/j.geoforum.2016.03.010</t>
  </si>
  <si>
    <t>WOS:000376840400005</t>
  </si>
  <si>
    <t>Wang, HL; Tao, L; Qiu, F; Lu, W</t>
  </si>
  <si>
    <t>Wang, Haoluan; Tao, Ling; Qiu, Feng; Lu, Wei</t>
  </si>
  <si>
    <t>The role of socio-economic status and spatial effects on fresh food access: Two case studies in Canada</t>
  </si>
  <si>
    <t>This article comprehensively explores the effects of socio-economic status on residents' fresh food access in Saskatoon and Regina, Saskatchewan, Canada. Spatial effects potentially resulting from agglomeration of food retailers and clustering of neighborhoods with similar characteristics have been integrated into analysis using spatial regression models. Key findings include: areas with a larger percentage of population density, single-parent households, senior populations, higher educational populations, and minority groups tend to have higher access to supermarkets and local grocery stores, although the effects vary by city. Areas with higher private car access are more inclined to be farther from these food retailers, meanwhile the influence of public transportation is found to be insignificant in both cities. Regression results demonstrate that ignoring spatial interaction leads to overestimates of the true disparities when investigating food-access inequality among residents with different socio-economic status. (C) 2015 Elsevier Ltd. All rights reserved.</t>
  </si>
  <si>
    <t>10.1016/j.apgeog.2015.12.002</t>
  </si>
  <si>
    <t>WOS:000370768500003</t>
  </si>
  <si>
    <t>Slade, C; Baldwin, C; Budge, T</t>
  </si>
  <si>
    <t>Slade, Christine; Baldwin, Claudia; Budge, Trevor</t>
  </si>
  <si>
    <t>Urban planning roles in responding to food security needs</t>
  </si>
  <si>
    <t>Food security is a daily problem for vulnerable groups of urban citizens in developed countries, who face physical and mental stress and poor health outcomes from limited food choices. They are often unable to change their circumstances through the marginalizing impacts of urban planning policy, regulation, and infrastructure barriers. Local government is often confronted with these impacts and absorbs the responsibility to act on the ground in the absence of a coordinated, multilevel institutional response. Health professionals and local government urban planners increasingly collaborate to examine the design of cities and towns to improve food security. Despite increased awareness and the inclusion of food security in some planning strategies, regulation, and decision-making, results are limited in many jurisdictions. This research uses a case study methodology to gain insights into the systemic barriers facing local government planners in the state of Victoria, Australia, in responding to municipal food security challenges. Four food-related themes drawn from the data show that both internal systemic barriers and an external lack of fit with federal and state governments blur the understanding of food security challenges and limit planning solutions. Local government planners need consistent legislative and planning scheme priorities, combined with strengthened regulatory tools, to address food security more effectively. Increased feedback opportunities for local government staff to share their valuable experience and knowledge with higher levels of government would allow for a more coordinated approach to addressing this multijurisdictional problem.</t>
  </si>
  <si>
    <t>, Claudia and Baldwin/G-6889-2019</t>
  </si>
  <si>
    <t>10.5304/jafscd.2016.071.005</t>
  </si>
  <si>
    <t>WOS:000394810400006</t>
  </si>
  <si>
    <t>Trembosová, M; Dubcová, A</t>
  </si>
  <si>
    <t>Mendel Univ Brno</t>
  </si>
  <si>
    <t>Trembosova, Miroslava; Dubcova, Alena</t>
  </si>
  <si>
    <t>Retail Network of Rural Minicipalities in Nitra Self- governing Region</t>
  </si>
  <si>
    <t>SBORNIK PRISPEVKU Z MEZINARODNI VEDECKE KONFERENCE: REGION V ROZVOJI SPOLECNOSTI 2016</t>
  </si>
  <si>
    <t>OCT 20, 2016</t>
  </si>
  <si>
    <t>Brno, CZECH REPUBLIC</t>
  </si>
  <si>
    <t>Mendel Univ,Mendel Univ Brne, Fakulta Regionalniho Rozvoje Mezinarodnich Studii</t>
  </si>
  <si>
    <t>Retail network is defined as a highly variable subsystem of cultural landscape which has traditionally been closely linked with residential structure. It reacts sensitively to the changes of social and economic conditions and therefore, it is an appropriate indicator of the development of human society, settlement system and internal structure of individual settlements. In rural settlements, the retail amenity is an essential and integral part of the spatial structure of civic amenity network. In the retail development in Slovakia were identified two different development stages: atomization and concentration. Atomization and its processes in the rural area brought chaos in spatial structure - effects of increasing the number of stores, fragmentation of supply, emergence of family stores in private homes without respecting the rules of maintaining traditional trade services in centers of rural municipalities. In 2006 the arrival of several supranational retail chains into the regional city of Nitra and other towns of Nitra Self-governing Region (hereinafter NSK). This period is referred to as the concentration stage. Shopping centers have become the highest form in the internal structure of retail stores. In the concentration stage, recess processes are characteristic for the retail network of rural areas -shutting down premises because of relentless competitive struggle with supranational chains in towns of NSG. Along with this, also other decadent phenomena have been created and deepened such as the so-called food deserts, increased demands for commuting to shopping, longer time availability into selected stores. The paper is focused on the issue of retail amenity in rural municipalities of the NSG. Attention will be paid to the spatial localization of stores with an emphasis on the complexity of retail services identified by the index of centrality and development processes in retail network.</t>
  </si>
  <si>
    <t>Trembošová, Miroslava/AAC-7952-2020; Dubcová, Alena/AAC-8691-2020</t>
  </si>
  <si>
    <t>Trembosova, Miroslava/0000-0001-9826-8213</t>
  </si>
  <si>
    <t>978-80-7509-459-9</t>
  </si>
  <si>
    <t>WOS:000433971500103</t>
  </si>
  <si>
    <t>Kamarulzaman, Y; Veeck, A; Mumuni, AG; Luqmani, M; Quraeshi, ZA</t>
  </si>
  <si>
    <t>Kamarulzaman, Yusniza; Veeck, Ann; Mumuni, Alhassan G.; Luqmani, Mushtaq; Quraeshi, Zahir A.</t>
  </si>
  <si>
    <t>Religion, Markets, and Digital Media: Seeking Halal Food in the US</t>
  </si>
  <si>
    <t>This study explores the role that social media serves in mediating and connecting religious communities and markets through a netnographic study of the search for halal food in the U.S. We find that social media websites can serve as important tools for overcoming obstacles to finding and verifying halal food sources, including barriers of physical access, authenticity, and quality. At a macro level, social media platforms have the potential to moderate the relationship between religion, the market, and consumption in a number of important ways, such as providing a venue for dialogues related to standards of commitment and faithfulness, serving as a community-based arbiter of standards, supporting identity constructions, and helping to overcome the marginalization associated with minority populations.</t>
  </si>
  <si>
    <t>KAMARULZAMAN, YUSNIZA/C-1101-2010</t>
  </si>
  <si>
    <t>10.1177/0276146715622243</t>
  </si>
  <si>
    <t>WOS:000387545100004</t>
  </si>
  <si>
    <t>Hammer, F</t>
  </si>
  <si>
    <t>Hammer, Frank</t>
  </si>
  <si>
    <t>The Decline of Industrial Detroit</t>
  </si>
  <si>
    <t>PERSPECTIVES ON GLOBAL DEVELOPMENT AND TECHNOLOGY</t>
  </si>
  <si>
    <t>An interview with Frank Hammer, former President of Local 909 of the United Automobile Workers (UAW) in Michigan, USA, conducted by Marek Hrubec, Director and Senior Research Fellow of the Centre of Global Studies at the Czech Academy of Sciences, Prague, Czech Republic. Hammer worked for 32 years at General Motors, and retired in 2007. At present he organizes the Autoworker Caravan, an advocate association of retired and active autoworkers.</t>
  </si>
  <si>
    <t>1569-1500</t>
  </si>
  <si>
    <t>1569-1497</t>
  </si>
  <si>
    <t>10.1163/15691497-12341375</t>
  </si>
  <si>
    <t>WOS:000372113000006</t>
  </si>
  <si>
    <t>Wu, Q; Saitone, TL; Sexton, RJ</t>
  </si>
  <si>
    <t>Wu, Qi; Saitone, Tina L.; Sexton, Richard J.</t>
  </si>
  <si>
    <t>Food Access, Food Deserts, and the Women, Infants, and Children Program</t>
  </si>
  <si>
    <t>JOURNAL OF AGRICULTURAL AND RESOURCE ECONOMICS</t>
  </si>
  <si>
    <t>We examine the shopping behavior of Women, Infants, and Children (WIC) Program participants located in food deserts in the Greater Los Angeles area relative to peers in GLA located outside of food-desert boundaries. Results indicate that food-desert participants traveled slightly farther to shop than comparison participants. However, food-desert and non-food-desert participants were equally likely to visit multiple vendors and to visit a supermarket vendor. Food-desert participants did not pay more for program foods relative to comparison participants. On balance, the results indicate that WIC shopping behavior is very similar among food-desert and comparison participants.</t>
  </si>
  <si>
    <t>1068-5502</t>
  </si>
  <si>
    <t>2327-8285</t>
  </si>
  <si>
    <t>WOS:000416694200002</t>
  </si>
  <si>
    <t>Wood, V; Thomas, M</t>
  </si>
  <si>
    <t>Wood, Van; Thomas, Manoj</t>
  </si>
  <si>
    <t>Vulnerable populations in food deserts: a case study</t>
  </si>
  <si>
    <t>INTERNATIONAL JOURNAL OF PHARMACEUTICAL AND HEALTHCARE MARKETING</t>
  </si>
  <si>
    <t>Purpose - This paper aims to examine the realities of food deserts and the vulnerable populations in urban areas in the USA; review underlying causes of these realities; and propose a set of solutions to address challenges facing vulnerable populations living in urban food deserts. Design/methodology/approach - The paper presents a case study with a focus on a specific vulnerable population living in a food desert in the inner city of Richmond, Virginia. Findings - While vulnerable populations and food deserts have much in common, in general, they both reflect, for specific groups of people, a failure to achieve or even having a chance to achieve the American dream. In particular, they reflect the economic, social, culture and education disenfranchisement ofmany citizens in society. Originality/value - This exploratory paper and case study offers a beginning reference point to both understand and deal with urban food deserts and the vulnerable populations that reside there-in. Food deserts are a serious problem that is historically based and contemporarily reinforced by economic, social and cultural/community realities in society. By first understanding these realities, the paper calls for research and action.</t>
  </si>
  <si>
    <t>Thomas, Manoj/CAG-5312-2022</t>
  </si>
  <si>
    <t>Thomas, Manoj A./0000-0003-3376-5109</t>
  </si>
  <si>
    <t>1750-6123</t>
  </si>
  <si>
    <t>1750-6131</t>
  </si>
  <si>
    <t>10.1108/IJPHM-03-2017-0012</t>
  </si>
  <si>
    <t>WOS:000404123600008</t>
  </si>
  <si>
    <t>Slater, J; Epp-Koop, S; Jakilazek, M; Green, C</t>
  </si>
  <si>
    <t>Slater, Joyce; Epp-Koop, Stefan; Jakilazek, Megan; Green, Chris</t>
  </si>
  <si>
    <t>Food deserts in Winnipeg, Canada: a novel method for measuring a complex and contested construct</t>
  </si>
  <si>
    <t>HEALTH PROMOTION AND CHRONIC DISEASE PREVENTION IN CANADA-RESEARCH POLICY AND PRACTICE</t>
  </si>
  <si>
    <t>Introductions: Food deserts have emerged over the past 20 years as spaces of concern for communities, public health authorities and researchers because of their potential negative impact on dietary quality and subsequent health outcomes. Food deserts are residential geographic spaces, typically in urban settings, where low-income residents have limited or no access to retail food establishments with sufficient variety at affordable cost. Research on food deserts presents methodological challenges including retail food store identification and classification, identification of low-income populations, and transportation and proximity metrics. Furthermore, the complex methods often used in food desert research can be difficult to reproduce and communicate to key stakeholders. To address these challenges, this study sought to demonstrate the feasibility of implementing a simple and reproducible method of identifying food deserts using data easily available in the Canadian context. Methods: This study was conducted in Winnipeg, Canada in 2014. Food retail establishments were identified from Yellow Pages and verified by public health dietitians. We calculated two scenarios of food deserts based on location of the lowest-income quintile population: (a) living &gt;= 500 m from a national chain grocery store, or (b) living &gt;= 500 m from a national chain grocery store or a full- service grocery store. Results: The number of low-income residents living in a food desert ranged from 64 574 to 104 335, depending on the scenario used. Conclusion: This study shows that food deserts affect a significant proportion of the Winnipeg population, and while concentrated in the urban core, exist in suburban neighbourhoods also. The methods utilized represent an accessible and transparent, reproducible process for identifying food deserts. These methods can be used for costeffective, periodic surveillance and meaningful engagement with communities, retailers and policy makers.</t>
  </si>
  <si>
    <t>Slater, Joyce/R-6721-2017</t>
  </si>
  <si>
    <t>Slater, Joyce/0000-0003-1881-0004</t>
  </si>
  <si>
    <t>2368-738X</t>
  </si>
  <si>
    <t>10.24095/hpcdp.37.10.05</t>
  </si>
  <si>
    <t>WOS:000413285600005</t>
  </si>
  <si>
    <t>Hill, AB</t>
  </si>
  <si>
    <t>Hill, Alex B.</t>
  </si>
  <si>
    <t>Critical inquiry into Detroit's food desert metaphor</t>
  </si>
  <si>
    <t>FOOD AND FOODWAYS</t>
  </si>
  <si>
    <t>Over the last decade, the food desert metaphor has emerged, evolved, and expanded. The media use it as a negative metaphorical label applied to the city of Detroit, but those living in the city and working on food advocacy disregard it. The juxtaposition of the media's narrow narrative of a barren Detroit clashes with the sustained efforts of local food advocates and activists who continue to address the inequitable access to food experienced by a large segment of people in Detroit. The persistence of the food desert term reveals the unequal power relations between local food advocates and the dominant media and political institutions. This project presents a critical inquiry into the media discourses and ethnographic perspectives of local food advocates addressing food access issues in the purported food desert of Detroit.</t>
  </si>
  <si>
    <t>Hill, Alex B/0000-0003-4528-1793</t>
  </si>
  <si>
    <t>0740-9710</t>
  </si>
  <si>
    <t>1542-3484</t>
  </si>
  <si>
    <t>10.1080/07409710.2017.1348112</t>
  </si>
  <si>
    <t>WOS:000409250900004</t>
  </si>
  <si>
    <t>Davies, G; Frausin, G; Parry, L</t>
  </si>
  <si>
    <t>Davies, Gemma; Frausin, Gina; Parry, Luke</t>
  </si>
  <si>
    <t>Are There Food Deserts in Rainforest Cities?</t>
  </si>
  <si>
    <t>Food deserts have been widely studied in Western contexts but rarely in transitioning economies and never within a rainforest. The Brazilian Amazon is a rapidly urbanizing region with high levels of poverty and food insecurity, providing an ideal context in which to explore this current research gap. Within this setting, five urban centers ranging from small town to metropole are examined to explore any potential variations between urban centers of different sizes and settings. A large survey was conducted with interviews in 554 food shops, assessing shop characteristics, food availability, price, and alternative household food acquisition strategies. Methods were developed to explore food deserts, accounting for food acquisition across multiple shops within a neighborhood. Insufficient access to healthy food was estimated to be widespread (42 percent of households), with access worse in smaller towns. Unlike many previous studies, local access to healthy food was not linked to neighborhood poverty and prices were generally lower in poorer areas. High levels of nonretail sourcing of food (e.g., fruit trees, fishing) in this region might lead to an overestimation of the food access problem if only retail food provision were considered. We conclude that food deserts are widespread in the rainforest cities studied, yet we highlight the importance of understanding local retail and nonretail food contexts. Finally, we question the extent to which the traditional food desert concept can be directly applied in the context of transitioning economies.</t>
  </si>
  <si>
    <t>Parry, Luke/ABD-4194-2021</t>
  </si>
  <si>
    <t>Davies, Gemma/0000-0002-7420-2479; Parry, Luke/0000-0003-0330-9516</t>
  </si>
  <si>
    <t>10.1080/24694452.2016.1271307</t>
  </si>
  <si>
    <t>WOS:000402684200002</t>
  </si>
  <si>
    <t>Howerton, G; Trauger, A</t>
  </si>
  <si>
    <t>Howerton, Gloria; Trauger, Amy</t>
  </si>
  <si>
    <t>Oh honey, don't you know? The Social Construction of Food Access in a Food Desert</t>
  </si>
  <si>
    <t>ACME-AN INTERNATIONAL E-JOURNAL FOR CRITICAL GEOGRAPHIES</t>
  </si>
  <si>
    <t>Food deserts are demarcated areas characterized by limited food access, often defined by geographical distance from grocery stores. Literature suggests that food deserts are produced through uneven development, but also racial bias in the location of grocery stores. Socio-economic inequalities thus intersect with racialized landscapes, and this suggests that food deserts are both culturally and economically produced. Research on food desert solutions often emphasize narrow spatial analyses that privilege geographic solutions, as well as incorporate whitened understandings of access to food. We assert that food access is shaped by the racialized construction of places, and that small-scale grocery stores, which are understudied in food desert research, may be useful places to study how access to food is culturally produced. Using intercept interviews inside and outside of two small-scale grocery stores, we examined the production of social exclusion around food access in a USDA classified food desert in a small Southern city. We conclude that economic development that integrates community organizing and place-making activities are keys to mitigating social exclusion in food deserts, and call for further research on in the role of place in shaping access to food.</t>
  </si>
  <si>
    <t>1492-9732</t>
  </si>
  <si>
    <t>WOS:000419312400006</t>
  </si>
  <si>
    <t>Hickey, LA</t>
  </si>
  <si>
    <t>Fla State Hort Soc</t>
  </si>
  <si>
    <t>Hickey, Lisa A.</t>
  </si>
  <si>
    <t>Manatee County Food Deserts Harvest Away</t>
  </si>
  <si>
    <t>PROCEEDINGS OF THE FLORIDA STATE HORTICULTURAL SOCIETY, VOL 130, 2017</t>
  </si>
  <si>
    <t>PROCEEDINGS OF THE FLORIDA STATE HORTICULTURAL SOCIETY</t>
  </si>
  <si>
    <t>JUN 04-06, 2017</t>
  </si>
  <si>
    <t>Tampa, FL</t>
  </si>
  <si>
    <t>Florida State Hort Soc</t>
  </si>
  <si>
    <t>Vegetable gardening workshop attendance held at the University of Florida, Manatee County Extension Office did not have the ethnic diversity matching the demographics of local communities. Additionally, the Department of Health (DOH) surveyed food desert residents and identified a preference for backyard gardening versus community gardening. The members of these communities expressed a desire to be taught how to garden in their own backyards on a limited budget through quick local classes. Combining the DOH assessment and the need for program participant diversity, the Plant-a-PailT project was developed. Utilizing limited resources, the community members were shown how to effectively grow seasonal vegetables in five-gallon portable buckets. The goal set in January 2016 was to place 700 portable vegetable gardens in food deserts within a two-year period.</t>
  </si>
  <si>
    <t>0886-7283</t>
  </si>
  <si>
    <t>WOS:000559945600063</t>
  </si>
  <si>
    <t>Hager, ER; Cockerham, A; O'Reilly, N; Harrington, D; Harding, J; Hurley, KM; Black, MM</t>
  </si>
  <si>
    <t>Hager, Erin R.; Cockerham, Alexandra; O'Reilly, Nicole; Harrington, Donna; Harding, James; Hurley, Kristen M.; Black, Maureen M.</t>
  </si>
  <si>
    <t>Food swamps and food deserts in Baltimore City, MD, USA: associations with dietary behaviours among urban adolescent girls</t>
  </si>
  <si>
    <t>Objective: To determine whether living in a food swamp (&gt;= 4 corner stores within 0.40km (0.25 miles) of home) or a food desert (generally, no supermarket or access to healthy foods) is associated with consumption of snacks/desserts or fruits/vegetables, and if neighbourhood-level socio-economic status (SES) confounds relationships. Design: Cross-sectional. Assessments included diet (Youth/Adolescent FFQ, skewed dietary variables normalized) and measured height/weight (BMI-for-age percentiles/Z-scores calculated). A geographic information system geocoded home addresses and mapped food deserts/food swamps. Associations examined using multiple linear regression (MLR) models adjusting for age and BMI-for-age Z-score. Setting: Baltimore City, MD, USA. Subjects: Early adolescent girls (6th/7th grade, n 634; mean age 12.1 years; 90.7% African American; 52.4% overweight/obese), recruited from twenty-two urban, low-income schools. Results: Girls' consumption of fruit, vegetables and snacks/desserts: 1.2, 1.7 and 3.4 servings/d, respectively. Girls' food environment: 10.4% food desert only, 19.1% food swamp only, 16.1% both food desert/swamp and 54.4% neither food desert/swamp. Average median neighbourhood-level household income: $US 35 298. In MLR models, girls living in both food deserts/swamps consumed additional servings of snacks/desserts v. girls living in neither (beta=0.13, P=0.029; 3.8 v. 3.2 servings/d). Specifically, girls living in food swamps consumed more snacks/desserts than girls who did not (beta=0.16, P= 0.003; 3.7 v. 3.1 servings/d), with no confounding effect of neighbourhood-level SES. No associations were identified with food deserts or consumption of fruits/vegetables. Conclusions: Early adolescent girls living in food swamps consumed more snacks/desserts than girls not living in food swamps. Dietary interventions should consider the built environment/food access when addressing adolescent dietary behaviours.</t>
  </si>
  <si>
    <t>Black, Maureen/0000-0002-6427-4639</t>
  </si>
  <si>
    <t>10.1017/S1368980016002123</t>
  </si>
  <si>
    <t>WOS:000417836600013</t>
  </si>
  <si>
    <t>Wolf-Powers, L</t>
  </si>
  <si>
    <t>Wolf-Powers, Laura</t>
  </si>
  <si>
    <t>Food Deserts and Real-Estate-Led Social Policy</t>
  </si>
  <si>
    <t>INTERNATIONAL JOURNAL OF URBAN AND REGIONAL RESEARCH</t>
  </si>
  <si>
    <t>Since the early 2000s in the United States, food desertsneighborhoods in which households have limited geographic access to full-service supermarkets or grocery stores have become conceptually central in public policy research on food security. Analyzing this phenomenon from a policy mobility' perspective, this article traces the food desert's emergence in policy discourse, locating it within an entrepreneurial social policy paradigm that privileges real estate development over direct economic relief. In the context of property-led anti-poverty efforts, the identification and mapping of food deserts catalyzes a logic that leads to subsidy to grocery store development in low-income areas (or fresh food financing'), while at the same time officials are cutting programs such as the Supplemental Nutrition Assistance Program (food stamps), which directly supplements household food budgets. The article contributes to widening critical discussion of the food desert paradigm and the policy interventions with which it is associated. It calls on urban researchers and practitioners to reframe discussions of food access and nutrition around the shortage of basic income and a need for higher wage floors.</t>
  </si>
  <si>
    <t>0309-1317</t>
  </si>
  <si>
    <t>1468-2427</t>
  </si>
  <si>
    <t>10.1111/1468-2427.12515</t>
  </si>
  <si>
    <t>WOS:000410293300003</t>
  </si>
  <si>
    <t>Ghosh-Dastidar, M; Hunter, G; Collins, RL; Zenk, SN; Cummins, S; Beckman, R; Nugroho, AK; Sloan, JC; Wagner, L; Dubowitz, T</t>
  </si>
  <si>
    <t>Ghosh-Dastidar, Madhumita; Hunter, Gerald; Collins, Rebecca L.; Zenk, Shannon N.; Cummins, Steven; Beckman, Robin; Nugroho, Alvin K.; Sloan, Jennifer C.; Wagner, La'Vette; Dubowitz, Tamara</t>
  </si>
  <si>
    <t>Does opening a supermarket in a food desert change the food environment?</t>
  </si>
  <si>
    <t>Improving access to healthy foods in low-income neighborhoods is a national priority. Our study evaluated the impact of opening a supermarket in a 'food desert' on healthy food access, availability and prices in the local food environment. We conducted 30 comprehensive in-store audits collecting information on healthy and unhealthy food availability, food prices and store environment, as well as 746 household surveys in two low-income neighborhoods before and after one of the two neighborhoods received a new supermarket. We found positive and negative changes in food availability, and an even greater influence on food prices in neighborhood stores. The supermarket opening in a 'food desert' caused little improvement in net availability of healthy foods, challenging the underpinnings of policies such as the Healthy Food Financing Initiative.</t>
  </si>
  <si>
    <t>Cummins, Steven/C-1230-2009; Zennk, Shannon/D-4096-2018</t>
  </si>
  <si>
    <t>Cummins, Steven/0000-0002-3957-4357; Zennk, Shannon/0000-0003-2409-7022</t>
  </si>
  <si>
    <t>10.1016/j.healthplace.2017.06.002</t>
  </si>
  <si>
    <t>WOS:000407404500029</t>
  </si>
  <si>
    <t>Mosammam, HM; Sarrafi, M; Nia, JT; Mosammam, AM</t>
  </si>
  <si>
    <t>Mosammam, Hassan Mohammadian; Sarrafi, Mozaffar; Nia, Jamileh Tavakoli; Mosammam, Ali Mohammadian</t>
  </si>
  <si>
    <t>Measuring Food Deserts via GIS-Based Multicriteria Decision Making: The Case of Tehran</t>
  </si>
  <si>
    <t>The purpose of this article is to identify food deserts using a geographic information system (GIS)-based multicriteria decision-making (MCDM) approach in the city of Tehran. We have found that, compared to technocratic methods, GIS-based MCDM and taking into account people or their agents' opinions in the food deserts analysis leads to different results. Whereas measuring food deserts based on the distance to large retail food stores indicated that a large part of the northern neighborhoods of Tehran do not have access to large food stores, identifying the food desert through the GIS-based MCDM approach revealed that northern neighborhoods of Tehran have relatively good access to healthy, affordable food. In addition, results indicated that individual factors have a more effective role than environmental factors in food accessibility. Food accessibility analysis revealed that more than 26.6 percent of Tehran's people (2,049,796) are living in very low and low food accessibility areas. Accordingly, to achieve a relatively healthy and inclusive food environment, establishment of a food council, development of mobile food markets and farmers' markets, extension of public transport, enhancement of food literacy, and community-based development of small full-service grocery stores, especially in southern and western sections of Tehran, should be pursued. In addition, addressing Tehran's food desert issues would be incomplete without due attention to the wider political and economic environment.</t>
  </si>
  <si>
    <t>Sarrafi, Mozaffar/AAE-7662-2022; M. Mosammam, Ali/Y-8617-2018</t>
  </si>
  <si>
    <t>Zali, Nader/0000-0003-2972-4750; M. Mosammam, Ali/0000-0001-8094-7517; Sarrafi, Mozaffar/0000-0001-5662-7898</t>
  </si>
  <si>
    <t>10.1080/00330124.2016.1266949</t>
  </si>
  <si>
    <t>WOS:000403790200010</t>
  </si>
  <si>
    <t>Thomas, T; Gunden, C</t>
  </si>
  <si>
    <t>Thomas, Terrence; Gunden, Cihat</t>
  </si>
  <si>
    <t>Exploring the relationship among food-related values, food-related lifestyle and food-related behavior as lever for changing dietary habits of food desert residents</t>
  </si>
  <si>
    <t>AGRO FOOD INDUSTRY HI-TECH</t>
  </si>
  <si>
    <t>The objective of this study is to explore the relationship among food-related values, food-related lifestyle and food-related behavior; to identify the underlying dimensions that summarize and capture the meaning of food-related values; and to segment food desert residents based on their food-related life style. Data were collected from a purposive sample of 44 residents of a food desert in Greensboro, North Carolina via a telephone survey. The results showed that the meaning of food related values was represented by social and basic values in the sample of food desert residents. Considering food related lifestyles, residents were classified into two segments: conscious residents and pleasure seeking residents. The findings support the existence of relationship among values, lifestyles and behaviors of food desert residents.</t>
  </si>
  <si>
    <t>Gunden, Cihat/Z-6312-2019</t>
  </si>
  <si>
    <t>1722-6996</t>
  </si>
  <si>
    <t>2035-4606</t>
  </si>
  <si>
    <t>WOS:000400924800018</t>
  </si>
  <si>
    <t>MacNell, L; Elliott, S; Hardison-Moody, A; Bowen, S</t>
  </si>
  <si>
    <t>MacNell, Lillian; Elliott, Sinikka; Hardison-Moody, Annie; Bowen, Sarah</t>
  </si>
  <si>
    <t>Black and Latino Urban Food Desert Residents' Perceptions of Their Food Environment and Factors That Influence Food Shopping Decisions</t>
  </si>
  <si>
    <t>There is a lack of consensus on how we should measure and identify food deserts. Recently, some scholars have called for studies that incorporate the lived experiences of food desert residents themselves into the discussion. We interviewed 42 black and Latino low-income female caregivers of young children living in an urban area classified as a food desert about how they shop for food. The women we spoke with talked about their motivations for choosing stores, as well as their experiences dealing with poor food access and an unequal distribution of food stores. We found that women cited price as the strongest motivator for choosing a store but found that a lack of transportation and Supplemental Nutrition Assistance Program (SNAP) participation also had significant effects on shopping behaviors. This study underscores the importance of qualitative, participatory approaches to food environment research.</t>
  </si>
  <si>
    <t>Bowen, Sarah/0000-0001-7020-0524; Hardison-Moody, Annie/0000-0001-5776-7964</t>
  </si>
  <si>
    <t>10.1080/19320248.2017.1284025</t>
  </si>
  <si>
    <t>WOS:000418530500006</t>
  </si>
  <si>
    <t>Joassart-Marcelli, P; Rossiter, JS; Bosco, FJ</t>
  </si>
  <si>
    <t>Joassart-Marcelli, Pascale; Rossiter, Jaime S.; Bosco, Fernando J.</t>
  </si>
  <si>
    <t>Ethnic markets and community food security in an urban food desert</t>
  </si>
  <si>
    <t>In recent years, the concept of food desert has come to dominate research and policy debates around food environments and their impacts on health, with mounting evidence that low-income neighborhoods of color lack large supermarkets and therefore may have limited access to fresh, affordable, and healthy foods. We argue that this metaphor, which implies an absence of food, is misleading and potentially detrimental to the health of poor and racially diverse communities because it ignores the contribution of smaller stores, particularly that of so-called ethnic markets. Current applications of the food desert concept in this setting reflect classed and racialized understandings of the food environment that ignore the everyday geographies of food provision in immigrant communities while favoring external interventions. Our investigation of ethnic markets in City Heights, a low-income urban neighborhood in San Diego with a diverse immigrant population, offers evidence of their positive role in providing access to affordable, fresh, healthy, and culturally appropriate foods. Our results contribute to research by providing a nuanced description of the food environment beyond access to supermarkets, focusing specifically on immigrant neighborhoods, and pointing to ethnic markets as valuable partners in increasing food security in diverse urban areas.</t>
  </si>
  <si>
    <t>Bosco, Fernando/KFS-1809-2024</t>
  </si>
  <si>
    <t>Joassart-Marcelli, Pascale/0000-0001-5060-3721; Bosco, Fernando/0000-0002-7369-1135</t>
  </si>
  <si>
    <t>10.1177/0308518X17700394</t>
  </si>
  <si>
    <t>WOS:000403897500011</t>
  </si>
  <si>
    <t>Iwama, N; Asakawa, T; Tanaka, K; Komaki, N</t>
  </si>
  <si>
    <t>Iwama, Nobuyuki; Asakawa, Tatsuto; Tanaka, Koichi; Komaki, Nobuhiko</t>
  </si>
  <si>
    <t>RETRACTED: Analysis of the factors that disrupt dietary habits in the elderly: A case study of a Japanese food desert (Retracted Article)</t>
  </si>
  <si>
    <t>In this study, we analysed the factors that disrupt the healthy eating habits of the elderly in a suburban city centre in Japan. It was estimated that 49% of the elderly residents in the study area, many of whom were concentrated in the city centre, had poor nutritional condition. Our multilevel analysis indicated that weak ties with family and the local community had a strong effect on a large proportion of the nutritionally depleted elderly residents. Previously, the issue of food deserts was considered to be mainly a problem that affected areas where small neighbourhood shopping areas had closed, thereby making shopping physically difficult for people without private cars. However, our study shows that reduced intimacy in people's relationships also increases the risk of the presence of food deserts.</t>
  </si>
  <si>
    <t>10.1177/0042098016677450</t>
  </si>
  <si>
    <t>WOS:000414152500009</t>
  </si>
  <si>
    <t>Mack, EA; Tong, DQ; Credit, K</t>
  </si>
  <si>
    <t>Mack, Elizabeth A.; Tong, Daoqin; Credit, Kevin</t>
  </si>
  <si>
    <t>Gardening in the desert: a spatial optimization approach to locating gardens in rapidly expanding urban environments</t>
  </si>
  <si>
    <t>Background: Food access is a global issue, and for this reason, a wealth of studies are dedicated to understanding the location of food deserts and the benefits of urban gardens. However, few studies have linked these two strands of research together to analyze whether urban gardening activity may be a step forward in addressing issues of access for food desert residents. Methods: The Phoenix, Arizona metropolitan area is used as a case to demonstrate the utility of spatial optimization models for siting urban gardens near food deserts and on vacant land. The locations of urban gardens are derived from a list obtained from the Maricopa County Cooperative Extension office at the University of Arizona which were geo located and aggregated to Census tracts. Census tracts were then assigned to one of three categories: tracts that contain a garden, tracts that are immediately adjacent to a tract with a garden, and all other non-garden/non-adjacent census tracts. Analysis of variance is first used to ascertain whether there are statistical differences in the demographic, socio-economic, and land use profiles of these three categories of tracts. A maximal covering spatial optimization model is then used to identify potential locations for future gardening activities. A constraint of these models is that gardens be located on vacant land, which is a growing problem in rapidly urbanizing environments worldwide. Results: The spatial analysis of garden locations reveals that they are centrally located in tracts with good food access. Thus, the current distribution of gardens does not provide an alternative food source to occupants of food deserts. The maximal covering spatial optimization model reveals that gardens could be sited in alternative locations to better serve food desert residents. In fact, 53 gardens may be located to cover 96.4% of all food deserts. This is an improvement over the current distribution of gardens where 68 active garden sites provide coverage to a scant 8.4% of food desert residents. Conclusion: People in rapidly urbanizing environments around the globe suffer from poor food access. Rapid rates of urbanization also present an unused vacant land problem in cities around the globe. This paper highlights how spatial optimization models can be used to improve healthy food access for food desert residents, which is a critical first step in ameliorating the health problems associated with lack of healthy food access including heart disease and obesity.</t>
  </si>
  <si>
    <t>Credit, Kevin/0000-0002-3320-4670</t>
  </si>
  <si>
    <t>OCT 16</t>
  </si>
  <si>
    <t>10.1186/s12942-017-0110-z</t>
  </si>
  <si>
    <t>WOS:000413007600001</t>
  </si>
  <si>
    <t>McKinney, L; Kato, Y</t>
  </si>
  <si>
    <t>McKinney, Laura; Kato, Yuki</t>
  </si>
  <si>
    <t>Community context of food justice: reflections on a free local produce program in a New Orleans food desert</t>
  </si>
  <si>
    <t>AIMS AGRICULTURE AND FOOD</t>
  </si>
  <si>
    <t>Food justice discourse has emerged partly in response to the critique of alternative food networks during the last decade, but its justice conceptualization tends to be too narrowly focused on food-related injustices rather than broader social injustices that shape food access and food sovereignty, a gap we address. Our analysis of a semi-experimental free local food program we administered in a New Orleans food desert demonstrates that several community context factors shape the residents' access to a local food market in this neighborhood: fragmented social ties, digital and generational divides, perpetual infrastructural failure, and the location of the market within the neighborhood. We argue that food justice discourse needs to incorporate social and cultural community contexts in its operationalization of food access and sovereignty, especially regarding how the latter concept is defined and executed in practice.</t>
  </si>
  <si>
    <t>2471-2086</t>
  </si>
  <si>
    <t>10.3934/agrfood.2017.2.183</t>
  </si>
  <si>
    <t>WOS:000406632400004</t>
  </si>
  <si>
    <t>Bilková, K; Krizan, F; Hornák, M; Barlík, P; Kita, P</t>
  </si>
  <si>
    <t>Bilkova, Kristina; Krizan, Frantisek; Hornak, Marcel; Barlik, Peter; Kita, Pavol</t>
  </si>
  <si>
    <t>Comparing two distance measures in the spatial mapping of food deserts: The case of Petrzalka, Slovakia</t>
  </si>
  <si>
    <t>MORAVIAN GEOGRAPHICAL REPORTS</t>
  </si>
  <si>
    <t>Over the last twenty years or so, researchers' attention to the issue of food deserts has increased in the geographical literature. Accessibility to large-scale retail units is one of the essential and frequently-used indicators leading to the identification and mapping of food deserts. Numerous accessibility measures of various types are available for this purpose. Euclidean distance and street network distance rank among the most frequently-used approaches, although they may lead to slightly different results. The aim of this paper is to compare various approaches to the accessibility to food stores and to assess the differences in the results gained by these methods. Accessibility was measured for residential block centroids, with applications of various accessibility measures in a GIS environment. The results suggest a strong correspondence between Euclidean distance and a little more accurate street network distance approach, applied in the case of the urban environment of Bratislava-Petrzalka, Slovakia.</t>
  </si>
  <si>
    <t>Krizan, Frantisek/0000-0003-4969-4587; Bilkova, Kristina/0000-0002-8912-4450; Hornak, Marcel/0000-0003-0071-4997</t>
  </si>
  <si>
    <t>1210-8812</t>
  </si>
  <si>
    <t>10.1515/mgr-2017-0009</t>
  </si>
  <si>
    <t>WOS:000408089800003</t>
  </si>
  <si>
    <t>Cooksey-Stowers, K; Schwartz, MB; Brownell, KD</t>
  </si>
  <si>
    <t>Cooksey-Stowers, Kristen; Schwartz, Marlene B.; Brownell, Kelly D.</t>
  </si>
  <si>
    <t>Food Swamps Predict Obesity Rates Better Than Food Deserts in the United States</t>
  </si>
  <si>
    <t>This paper investigates the effect of food environments, characterized as food swamps, on adult obesity rates. Food swamps have been described as areas with a high-density of establishments selling high-calorie fast food and junk food, relative to healthier food options. This study examines multiple ways of categorizing food environments as food swamps and food deserts, including alternate versions of the Retail Food Environment Index. We merged food outlet, sociodemographic and obesity data from the United States Department of Agriculture (USDA) Food Environment Atlas, the American Community Survey, and a commercial street reference dataset. We employed an instrumental variables (IV) strategy to correct for the endogeneity of food environments (i.e., that individuals self-select into neighborhoods and may consider food availability in their decision). Our results suggest that the presence of a food swamp is a stronger predictor of obesity rates than the absence of full-service grocery stores. We found, even after controlling for food desert effects, food swamps have a positive, statistically significant effect on adult obesity rates. All three food swamp measures indicated the same positive association, but reflected different magnitudes of the food swamp effect on rates of adult obesity (p values ranged from 0.00 to 0.16). Our adjustment for reverse causality, using an IV approach, revealed a stronger effect of food swamps than would have been obtained by naive ordinary least squares (OLS) estimates. The food swamp effect was stronger in counties with greater income inequality (p &lt; 0.05) and where residents are less mobile (p &lt; 0.01). Based on these findings, local government policies such as zoning laws simultaneously restricting access to unhealthy food outlets and incentivizing healthy food retailers to locate in underserved neighborhoods warrant consideration as strategies to increase health equity.</t>
  </si>
  <si>
    <t>Brownell, Kelly/H-3649-2014</t>
  </si>
  <si>
    <t>Schwartz, Marlene/0000-0002-8939-1954</t>
  </si>
  <si>
    <t>10.3390/ijerph14111366</t>
  </si>
  <si>
    <t>WOS:000416545200082</t>
  </si>
  <si>
    <t>Rodier, F; Durif, F; Ertz, M</t>
  </si>
  <si>
    <t>Rodier, Francine; Durif, Fabien; Ertz, Myriam</t>
  </si>
  <si>
    <t>Food deserts: is it only about a limited access?</t>
  </si>
  <si>
    <t>Purpose - Previous research has extensively examined food deserts, where access to healthy food is limited. However, little is known of the buying behavior at the individual household level in terms of buying habits and consumption in these areas. The purpose of this paper is to determine to what extent other factors than access can account for the purchase of healthy food products, namely, fruits and vegetables. Design/methodology/approach - This paper proposes to partially fill this gap through a qualitative (n = 55) and quantitative (n = 512) study of those people who are in charge of their household purchases in two food deserts in the city of Montreal. Findings - Results show that geographical access to supermarkets is not the main factor fostering the purchase of healthy foods (fruits and vegetables). Indeed, food education (e.g. information, simple recipes, cooking classes), associated with a changing mediation process through product diversification (e.g. availability of local products in bulk) and supply (e.g. farmers) seems to be more significant. Research limitations/implications - Future studies could compare the results obtained through this study in different socio-demographic contexts. Longitudinal analyses could also increase the understanding of the social and commercial challenges. Originality/value - In contrast to previous studies, the results show that geographical access to supermarkets is not the main factor fostering the purchase of fruits and vegetables. Indeed, food education (e.g. information, simple recipes, cooking classes), associated with a changing mediation process through product diversification (e.g. products in bulk) and supply (e.g. farmers) seem to be more significant.</t>
  </si>
  <si>
    <t>Rodier, Francine/J-5069-2019; Ertz, Myriam/AAY-3676-2020</t>
  </si>
  <si>
    <t>Ertz, Myriam/0000-0001-9959-2779</t>
  </si>
  <si>
    <t>10.1108/BFJ-09-2016-0407</t>
  </si>
  <si>
    <t>WOS:000406712300007</t>
  </si>
  <si>
    <t>Vaughan, CA; Cohen, DA; Ghosh-Dastidar, M; Hunter, GP; Dubowitz, T</t>
  </si>
  <si>
    <t>Vaughan, Christine A.; Cohen, Deborah A.; Ghosh-Dastidar, Madhumita; Hunter, Gerald P.; Dubowitz, Tamara</t>
  </si>
  <si>
    <t>Where do food desert residents buy most of their junk food? Supermarkets</t>
  </si>
  <si>
    <t>Objective: To examine where residents in an area with limited access to healthy foods (an urban food desert) purchased healthier and less healthy foods. Design: Food shopping receipts were collected over a one-week period in 2013. These were analysed to describe where residents shopped for food and what types of food they bought. Setting: Two low-income, predominantly African-American neighbourhoods with limited access to healthy foods in Pittsburgh, PA, USA. Subjects: Two hundred and ninety-three households in which the primary food shoppers were predominantly female (77.8%) and non-Hispanic black (91.1%) adults. Results: Full-service supermarkets were by far the most common food retail outlet from which food receipts were returned and accounted for a much larger proportion (57.4%) of food and beverage expenditures, both healthy and unhealthy, than other food retail outlets. Although patronized less frequently, convenience stores were notable purveyors of unhealthy foods. Conclusions: Findings highlight the need to implement policies that can help to decrease unhealthy food purchases in full-service supermarkets and convenience stores and increase healthy food purchases in convenience stores.</t>
  </si>
  <si>
    <t>10.1017/S136898001600269X</t>
  </si>
  <si>
    <t>WOS:000417836600014</t>
  </si>
  <si>
    <t>Flórez, KR; Richardson, AS; Ghosh-Dastidar, MB; Beckman, R; Huang, C; Wagner, L; Dubowitz, T</t>
  </si>
  <si>
    <t>Florez, K. R.; Richardson, A. S.; Ghosh-Dastidar, M. B.; Beckman, R.; Huang, C.; Wagner, L.; Dubowitz, T.</t>
  </si>
  <si>
    <t>Improved parental dietary quality is associated with children's dietary intake through the home environment</t>
  </si>
  <si>
    <t>OBESITY SCIENCE &amp; PRACTICE</t>
  </si>
  <si>
    <t>Background Improving access to supermarkets has been shown to improve some dietary outcomes, yet there is little evidence for such effects on children. Relatedly, there is a dearth of research assessing the impact of a structural change (i. e. supermarket in a former food desert) on the home environment and its relationship with children's diet. Objective Assess the relative impact of the home environment on children's diet after the introduction of a new supermarket in a food desert. Methods Among a randomly selected cohort of households living in a food desert, parental diet was assessed before and after the opening of a full-service supermarket. The home environment and children's intake of fruits and vegetables was measured at one point - after the store's opening. Structural equation models were used to estimate the pathways between changes in parental dietary quality at follow-up and children's dietary intake through the home environment. Results Parental dietary improvement after the supermarket opened was associated with having a better home environment (beta = 0.45, p = 0.001) and with healthier children's dietary intake (beta = 0.46, p&lt; 0.001) through higher family nutrition and physical activity scores (beta = 0.25, p = 0.02). Conclusions Policy solutions designed to improve diet among low-resource communities should take into account the importance of the home environment.</t>
  </si>
  <si>
    <t>2055-2238</t>
  </si>
  <si>
    <t>10.1002/osp4.81</t>
  </si>
  <si>
    <t>WOS:000398363400009</t>
  </si>
  <si>
    <t>Bao, KY; Tong, D</t>
  </si>
  <si>
    <t>Bao, Katharine Yang; Tong, Daoqin</t>
  </si>
  <si>
    <t>The Effects of Spatial Scale and Aggregation on Food Access Assessment: A Case Study of Tucson, Arizona</t>
  </si>
  <si>
    <t>Adequate access to healthy food has become a social issue due to the recent Great Recession and heightened levels of unemployment. Geographers have focused their attention on how to accurately evaluate food access and how to identify and delineate food deserts; that is, low-income neighborhoods where affordable and healthy food is lacking or limited. Findings of recent food access studies are, however, dramatically inconsistent. We argue that spatial scale and the level of aggregation used in constructing food access measures could account for a major portion of the varying results. We draw on an empirical study in the Tucson, Arizona, metropolitan area, to examine how varying geographic scales and aggregation methods affect food access assessment. We also provide an analysis to show how spatial scale and aggregation practices lead to inconsistent conclusions about food access and designation of food deserts.</t>
  </si>
  <si>
    <t>Bao, Katharine Yang/ITV-3898-2023</t>
  </si>
  <si>
    <t>10.1080/00330124.2016.1252271</t>
  </si>
  <si>
    <t>WOS:000403790200001</t>
  </si>
  <si>
    <t>Su, SL; Li, ZK; Xu, MY; Cai, ZL; Weng, M</t>
  </si>
  <si>
    <t>Su, Shiliang; Li, Zekun; Xu, Mengya; Cai, Zhongliang; Weng, Min</t>
  </si>
  <si>
    <t>A geo-big data approach to intra-urban food deserts: Transit-varying accessibility, social inequalities, and implications for urban planning</t>
  </si>
  <si>
    <t>HABITAT INTERNATIONAL</t>
  </si>
  <si>
    <t>Urban studies attempt to identify the geographic areas with restricted access to healthy and affordable foods (defined as food deserts in the literature). While prior publications have reported the socioeconomic disparities in healthy food accessibility, little evidence has been released from developing countries, especially in China. This paper proposes a geo-big data approach to measuring transit-varying healthy food accessibility and applies it to identify the food deserts within Shenzhen, China. In particular, we develop a crawling tool to harvest the daily travel time from each community (8117) to each healthy food store (102) from the Baidu Map under four transport modes (walking, public transit, private car, and bicycle) during 17:30-20:30 in June 2016. Based on the travel time calculations, we develop four travel time indicators to measure the healthy food accessibility: the minimum, the maximum, the weighted average, and the standard deviation. Results show that the four accessibility indicators generate different estimations and the nearest service (minimum time) alone fails to reflect the multidimensional nature of healthy food accessibility. The communities within Shenzhen present quite different typology with respect to healthy food accessibility under different transport modes. Multilevel additive regression is further applied to examine the associations between healthy food accessibility and nested socioeconomic characteristics at two geographic levels (community and district). We discover that the associations are divergent with transport modes and with geographic levels. More specifically, significant social equalities in healthy food accessibility are identified via walking, public transit, and bicycle in Shenzhen. Based on the associations, we finally map the food deserts and propose corresponding planning strategies. The methods demonstrated in this study should offer deeper spatial insights into intra-urban foodscapes and provide more nuanced understanding of food deserts in urban settings of developing countries. (C) 2017 Elsevier Ltd. All rights reserved.</t>
  </si>
  <si>
    <t>Xu, Mengya/IWE-1897-2023; Su, Shiliang/ABF-0222-2022; Li, Zekun/KIJ-9734-2024</t>
  </si>
  <si>
    <t>Xu, Mengya/0000-0001-6550-9391; Li, Zekun/0009-0008-1781-9625</t>
  </si>
  <si>
    <t>0197-3975</t>
  </si>
  <si>
    <t>1873-5428</t>
  </si>
  <si>
    <t>10.1016/j.habitatint.2017.04.007</t>
  </si>
  <si>
    <t>WOS:000402352100003</t>
  </si>
  <si>
    <t>Bastian, ND; Swenson, ER; Ma, LL; Na, HS; Griffin, PM</t>
  </si>
  <si>
    <t>Bastian, Nathaniel D.; Swenson, Eric R.; Ma, Linlin; Na, Hyeong Suk; Griffin, Paul M.</t>
  </si>
  <si>
    <t>Incentive contract design for food retailers to reduce food deserts in the US</t>
  </si>
  <si>
    <t>SOCIO-ECONOMIC PLANNING SCIENCES</t>
  </si>
  <si>
    <t>In the US, obesity affects over 37% of the adult population and over 16% of the child and adolescent population. Although not-for-profit agencies cannot directly control what a person eats, they can influence the supply side of the obesity epidemic by incentivizing food retailers to open stores in regions of the US where food deserts exist. An incentive contract design dependent upon performance and resulting health benefit is presented for food retailers to reduce food deserts in the US. A principal-agent framework is used to capture the competing interests and moral hazard from the contracting mechanism. Optimization models are developed to determine the most effective and equitable resource allocations from the initiative given a target reduction in obesity rate or a set budget, while determining the optimal subsidy these agencies should offer to food retailers to incentivize operation in certain counties. These subsidies are designed to create financially viable conditions for food retailers to offer high quality, healthy food alternatives. The impact of retailer location on obesity is based on estimates of marginal effect on obesity rate. Given an example initiative in metropolitan Atlanta, Georgia and surrounding counties, the overall county-wide obesity rate would decrease by 1.17% with a fixed budget of $400M. Sensitivity analysis on the reduction in obesity is performed for varying total budget amounts. This incentive contract design strategy is a positive step toward ensuring that the underserved US population has better access to healthy foods while helping solve the obesity epidemic. Published by Elsevier Ltd.</t>
  </si>
  <si>
    <t>Na, Hyeong Suk/AAY-5087-2020</t>
  </si>
  <si>
    <t>0038-0121</t>
  </si>
  <si>
    <t>10.1016/j.seps.2017.03.003</t>
  </si>
  <si>
    <t>WOS:000413933900008</t>
  </si>
  <si>
    <t>Ramirez, AS; Rios, LKD; Valdez, Z; Estrada, E; Ruiz, A</t>
  </si>
  <si>
    <t>Ramirez, A. Susana; Rios, Lillian K. Diaz; Valdez, Zulema; Estrada, Erendira; Ruiz, Ariana</t>
  </si>
  <si>
    <t>Bringing Produce to the People: Implementing a Social Marketing Food Access Intervention in Rural Food Deserts</t>
  </si>
  <si>
    <t>This study describes and evaluates the process of implementing a social marketing food access intervention for food desert communities in rural California. A case study approach used mixed-methods data from nationwide market comparisons, environmental assessment, and community informants. Lessons learned demonstrate room for improvement in implementing such strategies and underscore the importance of involving community in decision making; the strategic importance of operational decisions relating to intervention design, site and product selection, and distribution models; and the need to reconsider the problem of access in rural areas.</t>
  </si>
  <si>
    <t>10.1016/j.jneb.2016.10.017</t>
  </si>
  <si>
    <t>WOS:000396446300011</t>
  </si>
  <si>
    <t>Caspi, CE; Pelletier, JE; Harnack, LJ; Erickson, DJ; Lenk, K; Laska, MN</t>
  </si>
  <si>
    <t>Caspi, Caitlin E.; Pelletier, Jennifer E.; Harnack, Lisa J.; Erickson, Darin J.; Lenk, Kathleen; Laska, Melissa N.</t>
  </si>
  <si>
    <t>Pricing of Staple Foods at Supermarkets versus Small Food Stores</t>
  </si>
  <si>
    <t>Prices affect food purchase decisions, particularly in lower-income communities, where access to a range of food retailers (including supermarkets) is limited. The aim of this study was to examine differences in staple food pricing between small urban food stores and the closest supermarkets, as well as whether pricing differentials varied based on proximity between small stores and larger retailers. In 2014, prices were measured for 15 staple foods during store visits in 140 smaller stores (corner stores, gas-marts, dollar stores, and pharmacies) in Minneapolis/St. Paul, MN and their closest supermarket. Mixed models controlling for store type were used to estimate the average price differential between: (a) smaller stores and supermarkets; (b) isolated smaller stores (&gt; 1 mile to closest supermarket) and non-isolated smaller stores; and (c) isolated smaller stores inside versus outside USDA-identified food deserts. On average, all items except white bread were 10-54% more expensive in smaller stores than in supermarkets (p &lt; 0.001). Prices were generally not significantly different in isolated stores compared with non-isolated stores for most items. Among isolated stores, there were no price differences inside versus outside food deserts. We conclude that smaller food stores have higher prices for most staple foods compared to their closest supermarket, regardless of proximity. More research is needed to examine staple food prices in different retail spaces.</t>
  </si>
  <si>
    <t>, Kathleen/0000-0003-3678-8322; Harnack, Lisa/0000-0003-1963-5316; Laska, Melissa/0000-0002-3836-0269; Erickson, Darin/0000-0002-4980-5796</t>
  </si>
  <si>
    <t>10.3390/ijerph14080915</t>
  </si>
  <si>
    <t>WOS:000408684300085</t>
  </si>
  <si>
    <t>Sage, JL; McCracken, VA</t>
  </si>
  <si>
    <t>Sage, Jeremy L.; McCracken, Vicki A.</t>
  </si>
  <si>
    <t>Mitigating food deserts: Do farmers' markets break from the status quo?</t>
  </si>
  <si>
    <t>REGIONAL SCIENCE POLICY AND PRACTICE</t>
  </si>
  <si>
    <t>This paper revisits the previously developed rationale for periodic market placement under the contemporary lens of farmers' markets. The number average size rule is first employed to question whether the 'centre' level that can sustain a grocery store is climbing, and creating disadvantaged access. This is extended to the farmers' market system that is portrayed as an alternative ethic to the conventional system. This effort examines whether the discourse of local matches the actions, or whether farmers' markets location decisions mirror that of conventional distribution. The results from bivariate spatial point pattern analyses reinforce notions of the retail system, as leaving areas of effective food deserts, and further suggests farmers' markets have a tendency to locate close to those retail outlets.</t>
  </si>
  <si>
    <t>1757-7802</t>
  </si>
  <si>
    <t>10.1111/rsp3.12088</t>
  </si>
  <si>
    <t>WOS:000403430600004</t>
  </si>
  <si>
    <t>Deener, A</t>
  </si>
  <si>
    <t>Deener, Andrew</t>
  </si>
  <si>
    <t>The Origins of the Food Desert: Urban Inequality as Infrastructural Exclusion</t>
  </si>
  <si>
    <t>SOCIAL FORCES</t>
  </si>
  <si>
    <t>This article develops the concept of infrastructural exclusion as a form of urban inequality through the case of the origins of the food desert in Philadelphia. Infrastructural exclusion refers to the reorganization of spatial and material interdependence into a semi-autonomous and path-dependent force that separates resources from those reliant on them. Building on archival research, it emphasizes how social problems arise out of taken-for-granted relationships between urban development, population settlements, and distribution systems. Grocery chains were interdependent with urban neighborhoods in the early 1900s, but they came to participate in a fiercely competitive industry during a precarious period of urban decline, suburban growth, and changes in transportation systems. New industry conventions about profitability, involving higher-volume supplies and lower transaction costs, became embedded into the sociotechnical infrastructure. The reorganization of infrastructural interdependence as a semi-autonomous force constrained local business decision-making, led to high rates of financial insolvency, and contributed to the overall decline of urban grocery markets. This approach to infrastructural exclusion provides insights into the causes of a unique form of urban inequality.</t>
  </si>
  <si>
    <t>0037-7732</t>
  </si>
  <si>
    <t>1534-7605</t>
  </si>
  <si>
    <t>10.1093/sf/sox001</t>
  </si>
  <si>
    <t>WOS:000401770900015</t>
  </si>
  <si>
    <t>Helbich, M; Schadenberg, B; Hagenauer, J; Poelman, M</t>
  </si>
  <si>
    <t>Helbich, Marco; Schadenberg, Bjorn; Hagenauer, Julian; Poelman, Maartje</t>
  </si>
  <si>
    <t>Food deserts? Healthy food access in Amsterdam</t>
  </si>
  <si>
    <t>Healthy food environments are imperative for public health. Access to supermarkets that offer wholesome food products at low prices varies across space and over socioeconomic status and ethnic neighborhoods. This research examined food inequalities in Amsterdam, the Netherlands. Supermarket accessibility was calculated and linked to property prices and the share of native Dutch people on a geographic micro-scale with a spatial resolution of 100 meters. Mann-Whitney tests and Spearman correlations were used to test differences and associations between accessibility, property prices, and the share of natives per area. The spatially explicit contextual neural gas approach was used for data clustering. The results show access differences in supermarkets in favor of areas with high property prices and those areas with a large share of native Dutch people. The correlations indicate that low-priced areas and those with a low share of native Dutch people have a lower supermarket density, but the results are the opposite when proximity to and variety of supermarkets are examined. The clustering revealed no evidence of undersupplied areas. Pronounced inequalities in access to healthy food could not be confirmed. On the basis of this analysis, there is no urgent need for policymakers to intervene in the geographies of supermarkets. (C) 2017 Elsevier Ltd. All rights reserved.</t>
  </si>
  <si>
    <t>Poelman, Maartje/AAS-7020-2021</t>
  </si>
  <si>
    <t>Poelman, Maartje/0000-0003-4346-4481; Hagenauer, Julian/0000-0001-5780-2504</t>
  </si>
  <si>
    <t>10.1016/j.apgeog.2017.02.015</t>
  </si>
  <si>
    <t>WOS:000402215100001</t>
  </si>
  <si>
    <t>Liese, AD; Ma, XN; Hutto, B; Sharpe, PA; Bell, BA; Wilcox, S</t>
  </si>
  <si>
    <t>Liese, Angela D.; Ma, Xiaonan; Hutto, Brent; Sharpe, Patricia A.; Bell, Bethany A.; Wilcox, Sara</t>
  </si>
  <si>
    <t>Food Shopping and Acquisition Behaviors in Relation to BMI among Residents of Low-Income Communities in South Carolina</t>
  </si>
  <si>
    <t>Low-income areas in which residents have poor access to healthy foods have been referred to as food deserts. It is thought that improving food access may help curb the obesity epidemic. Little is known about where residents of food deserts shop and if shopping habits are associated with body mass index (BMI). We evaluated the association of food shopping and acquisition (e.g., obtaining food from church, food pantries, etc.) with BMI among 459 residents of low-income communities from two South Carolina counties, 81% of whom lived in United States Department of Agriculture-designated food deserts. Participants were interviewed about food shopping and acquisition and perceptions of their food environment, and weight and height were measured. Distances to food retail outlets were determined. Multivariable linear regression analysis was employed. Our study sample comprising largely African-American women had an average BMI of 32.5 kg/m(2). The vast majority of study participants shopped at supermarkets (61%) or supercenters/warehouse clubs (27%). Shopping at a supercenter or warehouse club as one's primary store was significantly associated with a 2.6 kg/m(2) higher BMI compared to shopping at a supermarket, independent of demographics, socioeconomics, physical activity, and all other food shopping/acquisition behaviors. Persons who reported shopping at a small grocery store or a convenience or dollar store as their tertiary store had a 2.6 kg/m(2) lower BMI. Respondents who perceived lack of access to adequate food shopping in their neighborhoods as a problem had higher BMI. Living in a food desert census tract was not significantly associated with BMI. Other shopping attributes, including distance to utilized and nearest grocery stores, were not independently associated with BMI. These findings call into question the idea that poor spatial access to grocery stores is a key underlying factor affecting the obesity epidemic. Future research should consider assessing foods purchased and dietary intake within a comprehensive study of food shopping behaviors and health outcomes among persons living in food deserts.</t>
  </si>
  <si>
    <t>Wilcox, Sara/GXV-7647-2022; Bell, Bethany/AAV-6917-2021</t>
  </si>
  <si>
    <t>10.3390/ijerph14091075</t>
  </si>
  <si>
    <t>WOS:000411574400127</t>
  </si>
  <si>
    <t>Sweden</t>
  </si>
  <si>
    <t>Amcoff, J</t>
  </si>
  <si>
    <t>Amcoff, Jan</t>
  </si>
  <si>
    <t>Food deserts in Sweden? Access to food retail in 1998 and 2008</t>
  </si>
  <si>
    <t>Using an approach that is as unprejudiced as possible, this study sets out to examine people's access to food shops in Sweden. The focus is particularly on disadvantaged groups in the population, since it has been suggested that their increased frequency of welfare diseases (e.g. obesity or diabetes) may be explained by deficient access to healthy foods. It is established that disadvantaged groups generally have shorter distances to food shops than the general population. Disadvantaged groups are also not hit harder than others by changes in accessibility. Nonetheless, it is possible to identify a number of geographical concentrations of disadvantaged people with longer than average distances to the nearest food shop. Besides that, access to car(s) appears to be higher in the types of areas where the distance to food shops tends to be longer.</t>
  </si>
  <si>
    <t>10.1080/04353684.2016.1277076</t>
  </si>
  <si>
    <t>WOS:000400686900006</t>
  </si>
  <si>
    <t>Mulrooney, T; McGinn, C; Branch, B; Madumere, C; Ifediora, B</t>
  </si>
  <si>
    <t>Mulrooney, Timothy; McGinn, Chris; Branch, Benjamin; Madumere, Chibuike; Ifediora, Byron</t>
  </si>
  <si>
    <t>A New Raster-Based Metric to Measure Relative Food Availability in Rural Areas A Case Study in Southeastern North Carolina</t>
  </si>
  <si>
    <t>SOUTHEASTERN GEOGRAPHER</t>
  </si>
  <si>
    <t>The study of food deserts and food swamps explore access to food sources, the overabundance of health ailments directly related to obesity and poor diet, as well as the relationships between the two. There are various ways to quantitatively measure tenets of food deserts and food swamps, such as food availability, using GIS (Geographic Information - Systems). Absolute metrics attached to density (healthy food outlets per square mile), linear (miles) or time (minutes) units used to measure food availability are being replaced by relative metrics that comparatively express units against each other. We developed a way to measure relative food availability using a pixel-based relative travel-time index (PRTI). The PRTI measures travel-time to the nearest healthy food source versus that to the nearest unhealthy food source at the pixel level. The result is a high-resolution surface that can analyzed on its own or agglomerated for comparison's sakes. In areas with lower relative availability of healthy foods, preliminary analysis has shown differences between socio-economic variables in rural regions compared to a high availability counterpart. Distinct differences between the PRTI and other metrics used to measure food availability are - evident. These results can lead to an increased - understanding of food-needy areas not constrained by man-made boundaries at scales necessary to facilitate necessary interventions.</t>
  </si>
  <si>
    <t>Mulrooney, Timothy/0000-0001-9333-9641</t>
  </si>
  <si>
    <t>0038-366X</t>
  </si>
  <si>
    <t>1549-6929</t>
  </si>
  <si>
    <t>10.1353/sgo.2017.0015</t>
  </si>
  <si>
    <t>WOS:000403703500005</t>
  </si>
  <si>
    <t>Mulrooney, T; Beratan, K; McGinn, C; Branch, B</t>
  </si>
  <si>
    <t>Mulrooney, Timothy; Beratan, Kathi; McGinn, Christopher; Branch, Benjamin</t>
  </si>
  <si>
    <t>A comparison of raster-based travel time surfaces against vector-based network calculations as applied in the study of rural food deserts</t>
  </si>
  <si>
    <t>While the term food insecurity is gaining popularity in, contemporary literature, there is debate as to how tenets of this phenomenon can be quantitatively measured. One of these tenets, proximity to food resources, which is used to measure food deserts, can be measured within a digital GIS (Geographic Information System). Metrics such as Euclidean and network distance represent planimetric distance measurements between locations and resources, but do not truly represent the empirical cost that serves as a barrier, most notably time and/or money, to those who must decide to travel to these resources. While the vector data model has been the standard by which these calculations are done within a GIS, raster-based travel time surfaces can serve as a faster, replicable and scalable alternative. However, little research has been done to test the efficacy of these surfaces and their alignment with vector-based network calculations. In this research, we developed two travel-time surfaces for a rural region in southeastern North Carolina. One represented travel times to grocery stores and while the other represented travel time to convenience stores. We found that the travel times derived from this surface were statistically consistent with vector-based counterparts for sample sizes at a 95% confidence. When utilized correctly using an appropriate scale and spatial resolution, these surfaces have the potential to be effective tools in the study of food deserts. (C) 2016 The Authors. Published by Elsevier Ltd. This is an open access article under the CC BY-NC-ND license.</t>
  </si>
  <si>
    <t>10.1016/j.apgeog.2016.10.006</t>
  </si>
  <si>
    <t>WOS:000392895900002</t>
  </si>
  <si>
    <t>Vargas, CM; Stines, EM; Granado, HS</t>
  </si>
  <si>
    <t>Vargas, Clemencia M.; Stines, Elsie M.; Granado, Herta S.</t>
  </si>
  <si>
    <t>Health-equity issues related to childhood obesity: a scoping review</t>
  </si>
  <si>
    <t>JOURNAL OF PUBLIC HEALTH DENTISTRY</t>
  </si>
  <si>
    <t>PurposeThe purpose of this scoping review was to determine the health-equity issues that relate to childhood obesity. MethodsHealth-equity issues related to childhood obesity were identified by analyzing food environment, natural and built environment, and social environment. The authors searched Medline, PubMed, and Web of Science, using the keywords children and obesity. Specific terms for each environment were added: food desert, advertising, insecurity, price, processing, trade, and school for food environment; urban design, land use, transportation mode, public facilities, and market access for natural and built environment; and financial capacity/poverty, living conditions, transport access, remoteness, social support, social cohesion, working practices, eating habits, time, and social norms for social environment. Inclusion criteria were studies or reports with populations under age 12, conducted in the United States, and published in English in 2005 or later. ResultsThe final search yielded 39 references (16 for food environment, 11 for built environment, and 12 for social environment). Most food-environment elements were associated with obesity, except food insecurity and food deserts. A natural and built environment that hinders access to physical activity resources and access to healthy foods increased the risk of childhood obesity. Similarly, a negative social environment was associated with childhood obesity. More research is needed on the effects of food production, living conditions, time for shopping, and exercise, as related to childhood obesity. ConclusionsMost elements of food, natural and built, and social-environments were associated with weight in children under age 12, except food insecurity and food deserts.</t>
  </si>
  <si>
    <t>0022-4006</t>
  </si>
  <si>
    <t>1752-7325</t>
  </si>
  <si>
    <t>S1</t>
  </si>
  <si>
    <t>S32</t>
  </si>
  <si>
    <t>S42</t>
  </si>
  <si>
    <t>10.1111/jphd.12233</t>
  </si>
  <si>
    <t>WOS:000407260000003</t>
  </si>
  <si>
    <t>Identifying transit deserts in major Texas cities where the supplies missed the demands</t>
  </si>
  <si>
    <t>JOURNAL OF TRANSPORT AND LAND USE</t>
  </si>
  <si>
    <t>Coined by the author, the concept transit desert is developed from the now common concept of a food desert,which is an area where there is limited or no access to fresh food (Clark et al. 2002; Jiao et al. 2012; Whelan et al. 2002; Wrigley 1993; Wrigley et al. 2002). The food desert concept has received a lot of attention and influenced planning policies and practices. By applying the same idea to transit systems within urban areas, geographic areas can be identified where there is a lack of transit service. This involves identifying the transit dependent populations as a measure of transit demand, calculating the transit supply, and then subtracting the supply from the demand to measure the gap (Jiao &amp; Dillivan 2013). In detail, transit dependent populations are those who might require transit service to get around more than other people. The transit supply is measured by aggregating a number of criteria that contribute to better transit access and measured within a designated geographic area. Transit deserts are defined as areas where the transit demand is significantly greater than the supply.</t>
  </si>
  <si>
    <t>1938-7849</t>
  </si>
  <si>
    <t>10.5198/jtlu.2017.899</t>
  </si>
  <si>
    <t>WOS:000404406500030</t>
  </si>
  <si>
    <t>McDermot, D; Igoe, B; Stahre, M</t>
  </si>
  <si>
    <t>McDermot, Dennis; Igoe, Bridget; Stahre, Mandy</t>
  </si>
  <si>
    <t>Assessment of Healthy Food Availability in Washington State-Questioning the Food Desert Paradigm</t>
  </si>
  <si>
    <t>Objective: To assess the geographic distribution of healthy food retailers in Washington State and estimate the number of Washington State residents with restricted availability of healthy food. Methods: Street network service areas were drawn around Special Supplemental Nutrition Program for Women, Infant, and Children retailers for multiple drive times and walking distances in urban and rural Washington State. Population characteristics inside and outside each service area were examined. Results: Nearly all Washington State residents in urban areas lived within a 10-minute drive of a Special Supplemental Nutrition Program for Women, Infant, and Children retailer. Among rural residents, 4.6% were in census blocks outside a 20-minute drive, but the populations were dispersed. Differential access related to income was attributable to a lack of transportation. Conclusions and Implications: Disparities in nutrition described in the published literature may not be due to the geographic distribution of healthy food retailers. Programs for improving nutrition should consider broader interventions to increase access to healthy food.</t>
  </si>
  <si>
    <t>Stahre, Mandy/0000-0001-6373-1714</t>
  </si>
  <si>
    <t>10.1016/j.jneb.2016.10.012</t>
  </si>
  <si>
    <t>WOS:000396446300008</t>
  </si>
  <si>
    <t>Singleton, CR; Li, Y; Duran, AC; Zenk, SN; Odoms-Young, A; Powell, LM</t>
  </si>
  <si>
    <t>Singleton, Chelsea R.; Li, Yu; Duran, Ana Clara; Zenk, Shannon N.; Odoms-Young, Angela; Powell, Lisa M.</t>
  </si>
  <si>
    <t>Food and Beverage Availability in Small Food Stores Located in Healthy Food Financing Initiative Eligible Communities</t>
  </si>
  <si>
    <t>Food deserts are a major public health concern. This study aimed to assess food and beverage availability in four underserved communities eligible to receive funding from the Healthy Food Financing Initiative (HFFI). Data analyzed are part of a quasi-experimental study evaluating the impact of the HFFI on the retail food environment in selected Illinois communities. In 2015, 127 small grocery and limited service stores located in the four selected communities were audited. All communities had a large percentage of low-income and African-American residents. Differences in food and beverage item availability (e.g., produce, milk, bread, snack foods) were examined by store type and community location. Food stores had, on average, 1.8 fresh fruit and 2.9 fresh vegetable options. About 12% of stores sold low-fat milk while 86% sold whole milk. Only 12% of stores offered 100% whole wheat bread compared to 84% of stores offering white bread. Almost all (97%) stores offered soda and/or fruit juice. In summary, we found limited availability of healthier food and beverage items in the communities identified for HFFI support. Follow up findings will address how the introduction of new HFFI-supported supermarkets will affect food and beverage availability in these communities over time.</t>
  </si>
  <si>
    <t>Odoms-Young, Angela/AGT-6945-2022; Zennk, Shannon/D-4096-2018; Duran, Ana Clara/E-5585-2013</t>
  </si>
  <si>
    <t>Zennk, Shannon/0000-0003-2409-7022; Singleton, Chelsea/0000-0002-4494-157X; Duran, Ana Clara/0000-0001-7317-5790</t>
  </si>
  <si>
    <t>10.3390/ijerph14101242</t>
  </si>
  <si>
    <t>WOS:000414763200151</t>
  </si>
  <si>
    <t>Palmer, SM; Winham, DM; Baler, JL; Roe, TA</t>
  </si>
  <si>
    <t>Palmer, Shelly M.; Winham, Donna M.; Baler, Jenny L.; Roe, Taylor A.</t>
  </si>
  <si>
    <t>The Latino Tienda as Food Oasis not Food Desert</t>
  </si>
  <si>
    <t>APR 22-26, 2017</t>
  </si>
  <si>
    <t>Amer Soc Pharmacol &amp; Expt Therapeut,Amer Assoc Anatomists,Amer Physiol Soc,Amer Soc Biochem &amp; Mol Biol,Amer Soc Investigat Pathol,Amer Soc Nutr</t>
  </si>
  <si>
    <t>Winham, Donna/B-2091-2014</t>
  </si>
  <si>
    <t>WOS:000405461405086</t>
  </si>
  <si>
    <t>Kelli, HM; Hammadah, M; Ahmed, H; Ko, YA; Topel, M; Samman-Tahhan, A; Awad, M; Patel, K; Mohammed, K; Sperling, LS; Pemu, P; Vaccarino, V; Lewis, T; Taylor, H; Martin, G; Gibbons, GH; Quyyumi, AA</t>
  </si>
  <si>
    <t>Kelli, Heval M.; Hammadah, Muhammad; Ahmed, Hina; Ko, Yi-An; Topel, Matthew; Samman-Tahhan, Ayman; Awad, Mossab; Patel, Keyur; Mohammed, Kareem; Sperling, Laurence S.; Pemu, Priscilla; Vaccarino, Viola; Lewis, Tene; Taylor, Herman; Martin, Greg; Gibbons, Gary H.; Quyyumi, Arshed A.</t>
  </si>
  <si>
    <t>Association Between Living in Food Deserts and Cardiovascular Risk</t>
  </si>
  <si>
    <t>CIRCULATION-CARDIOVASCULAR QUALITY AND OUTCOMES</t>
  </si>
  <si>
    <t>Background-Food deserts (FD), neighborhoods defined as low-income areas with low access to healthy food, are a public health concern. We evaluated the impact of living in FD on cardiovascular risk factors and subclinical cardiovascular disease (CVD) with the hypothesis that people living in FD will have an unfavorable CVD risk profile. We further assessed whether the impact of FD on these measures is driven by area income, individual household income, or area access to healthy food. Methods and Results-We studied 1421 subjects residing in the Atlanta metropolitan area who participated in the METAHealth study (Morehouse and Emory Team up to Eliminate Health Disparities; n=712) and the Predictive Health study (n=709). Participants' zip codes were entered into the United States Food Access Research Atlas for FD status. Demographic data, metabolic profiles, hs-CRP (high-sensitivity C-reactive protein) levels, oxidative stress markers (glutathione and cystine), and arterial stiffness were evaluated. Mean age was 49.4 years, 38.5% male and 36.6% black. Compared with those not living in FD, subjects living in FD (n=187, 13.2%) had a higher prevalence of hypertension and smoking, higher body mass index, fasting glucose, and 10-year risk for CVD. They also had higher hs-CRP (P=0.014), higher central augmentation index (P=0.015), and lower glutathione level (P=0.003), indicative of increased oxidative stress. Area income and individual income, rather than food access, were associated with CVD risk measures. In a multivariate analysis that included food access, area income and individual income, both low-income area and low individual household income, were independent predictors of a higher 10-year risk for CVD. Only low individual income was an independent predictor of higher hs-CRP and augmentation index. Conclusions-Although living in FD is associated with a higher burden of cardiovascular risk factors and preclinical indices of CVD, these associations are mainly driven by area income and individual income rather than access to healthy food.</t>
  </si>
  <si>
    <t>Pemu, Priscilla/HJZ-4484-2023; Vaccarino, Viola/AAW-5600-2020; Stefanadis, Christodoulos/ABH-2232-2020; Martin, Greg/B-4085-2009</t>
  </si>
  <si>
    <t>Stefanadis, Christodoulos/0000-0001-5974-6454; Vaccarino, Laura Viola/0000-0002-9054-0654; Martin, Greg/0000-0002-9684-7593</t>
  </si>
  <si>
    <t>1941-7705</t>
  </si>
  <si>
    <t>1941-7713</t>
  </si>
  <si>
    <t>e003532</t>
  </si>
  <si>
    <t>10.1161/CIRCOUTCOMES.116.003532</t>
  </si>
  <si>
    <t>WOS:000411069000005</t>
  </si>
  <si>
    <t>Smith, JP; Li, XX; Turner, BL</t>
  </si>
  <si>
    <t>Smith, Jordan P.; Li, Xiaoxiao; Turner, B. L., II</t>
  </si>
  <si>
    <t>Lots for greening: Identification of metropolitan vacant land and its potential use for cooling and agriculture in Phoenix, AZ, USA</t>
  </si>
  <si>
    <t>The greening of vacant parcels for urban sustainability continues to gain attention from researchers and practitioners, including its use to ameliorate the urban heat island effect and food deserts. Planning for such uses requires accurate inventories of the amount and distribution of vacant parcels, which may prove difficult to produce for large, sprawling urban complexes. This study provides a systematic approach that combines remote sensing and cadastral data to distinguish different forms of vacant land for the Phoenix, Arizona metropolitan area while reducing computation time. The approach identifies vacant parcels for potential greening, focusing on privately owned land lacking buildings and impervious surfaces. The results for the Phoenix area reveal hot spots of these parcels, many of which reside along the fringe of the metropolis awaiting development. A large number of vacant parcels, however, reside within the metropolitan core and are suitable for greening as well, potentially serving to mitigate the urban heat island effect and food deserts in this region. The identification method and parcel results are detailed. (C) 2017 Elsevier Ltd. All rights reserved.</t>
  </si>
  <si>
    <t>Smith, Jordan/0000-0002-0468-9680</t>
  </si>
  <si>
    <t>10.1016/j.apgeog.2017.06.005</t>
  </si>
  <si>
    <t>WOS:000407525200012</t>
  </si>
  <si>
    <t>Carlet, F; Schilling, J; Heckert, M</t>
  </si>
  <si>
    <t>Carlet, Fanny; Schilling, Joseph; Heckert, Megan</t>
  </si>
  <si>
    <t>Greening US legacy cities: urban agriculture as a strategy for reclaiming vacant land</t>
  </si>
  <si>
    <t>AGROECOLOGY AND SUSTAINABLE FOOD SYSTEMS</t>
  </si>
  <si>
    <t>OCT, 2015</t>
  </si>
  <si>
    <t>Torino, ITALY</t>
  </si>
  <si>
    <t>Repurposing vacant land for food production is expanding as a response to urban blight, food insecurity, and food deserts. As municipalities integrate urban agriculture in their sustainability plans and zoning regulations, scholars are beginning to take a broader look at the benefits from this and other types of greening strategies. This article investigates current state of research and practice of urban agriculture as an emerging strategy for regenerating shrinking cities. It highlights key findings while offering observations on how public officials and practitioners can leverage this research to enhance urban agriculture as a treatment for vacant land.</t>
  </si>
  <si>
    <t>Heckert, Megan/0000-0002-8947-0409; Carlet, Fanny/0000-0001-9023-3358</t>
  </si>
  <si>
    <t>2168-3565</t>
  </si>
  <si>
    <t>2168-3573</t>
  </si>
  <si>
    <t>10.1080/21683565.2017.1311288</t>
  </si>
  <si>
    <t>WOS:000414091700002</t>
  </si>
  <si>
    <t>Ferdinand, KC; Mahata, I</t>
  </si>
  <si>
    <t>Ferdinand, Keith C.; Mahata, Indrajeet</t>
  </si>
  <si>
    <t>Food Deserts Limited Healthy Foods in the Land of Plenty</t>
  </si>
  <si>
    <t>mahata, indrajeet/HTR-1157-2023</t>
  </si>
  <si>
    <t>e004131</t>
  </si>
  <si>
    <t>10.1161/CIRCOUTCOMES.117.004131</t>
  </si>
  <si>
    <t>WOS:000411069000016</t>
  </si>
  <si>
    <t>Caceres, BC; Geoghegan, J</t>
  </si>
  <si>
    <t>Caceres, Belkis Cerrato; Geoghegan, Jacqueline</t>
  </si>
  <si>
    <t>Effects of New Grocery Store Development on Inner-City Neighborhood Residential Prices</t>
  </si>
  <si>
    <t>AGRICULTURAL AND RESOURCE ECONOMICS REVIEW</t>
  </si>
  <si>
    <t>A difference-in-differences approach is used to measure the impact of new inner-city grocery store developments on residential housing values in Worcester, Massachusetts. Using geocoded housing sales from 1988-2011, we develop a hedonic model, exploiting temporal and spatial discontinuities, to identify the effect of 12 new grocery stores on neighborhood housing prices. Results suggest these new stores were associated with an increase in sale prices of nearby homes, and these results could help inform current policies related to urban food deserts, in that new grocery stores have the potential to improve neighborhood wealth as well as health.</t>
  </si>
  <si>
    <t>1068-2805</t>
  </si>
  <si>
    <t>2372-2614</t>
  </si>
  <si>
    <t>10.1017/age.2016.29</t>
  </si>
  <si>
    <t>WOS:000408060300005</t>
  </si>
  <si>
    <t>Darrouzet-Nardi, AF; Boehm, RL; Stabley, SE</t>
  </si>
  <si>
    <t>Darrouzet-Nardi, Amelia F.; Boehm, Rebecca L.; Stabley, Sophia E.</t>
  </si>
  <si>
    <t>Should the Definition of Food Deserts Incorporate a Seasonal Component?</t>
  </si>
  <si>
    <t>WOS:000405461405085</t>
  </si>
  <si>
    <t>Hardin-Fanning, F; Ricks, JM</t>
  </si>
  <si>
    <t>Hardin-Fanning, Frances; Ricks, JaNelle M.</t>
  </si>
  <si>
    <t>Attitudes, social norms and perceived behavioral control factors influencing participation in a cooking skills program in rural Central Appalachia</t>
  </si>
  <si>
    <t>GLOBAL HEALTH PROMOTION</t>
  </si>
  <si>
    <t>A focus group session, using the Theory of Planned Behavior to guide questions and discussion, was conducted at midpoint of a 12-month cooking skills program in a rural Appalachian food desert. The purpose of this qualitative study was to determine the attitudes, subjective norms and perceived behavioral control beliefs that influenced participation in these classes. Participants viewed the classes as opportunities for social interaction and to have new experiences. Subjective norms were influenced by family members and traditional cooking. Perceived behavioral control was influenced by the opportunity to try new foods without concern of food waste, acquisition of the knowledge to introduce healthy foods into family meals and enhanced food preparation skills. During the evaluation, a strong sense of participant appreciation of researcher presence was discovered. This unexpected positive component of the program will be promoted using motivational interviewing techniques to enhance adherence to healthy eating behaviors during and after cooking skills programs.</t>
  </si>
  <si>
    <t>1757-9759</t>
  </si>
  <si>
    <t>1757-9767</t>
  </si>
  <si>
    <t>10.1177/1757975916636792</t>
  </si>
  <si>
    <t>WOS:000418695800006</t>
  </si>
  <si>
    <t>McAllister, P; Kelli, HM; Kalogeropoulos, A; Georgiopoulou, V; Butler, J; Morris, A</t>
  </si>
  <si>
    <t>McAllister, Paris; Kelli, Heval Mohamed; Kalogeropoulos, Andreas; Georgiopoulou, Vasiliki; Butler, Javed; Morris, Alanna</t>
  </si>
  <si>
    <t>LIVING IN A FOOD DESERT IS ASSOCIATED WITH AN EARLY HAZARD OF DEATH AND HOSPITALIZATION IN HEART FAILURE PATIENTS</t>
  </si>
  <si>
    <t>MAR 17-19, 2017</t>
  </si>
  <si>
    <t>Washington, DC</t>
  </si>
  <si>
    <t>Kalogeropoulos, Andreas/AET-1994-2022</t>
  </si>
  <si>
    <t>MAR 21</t>
  </si>
  <si>
    <t>1201-295</t>
  </si>
  <si>
    <t>10.1016/S0735-1097(17)34244-4</t>
  </si>
  <si>
    <t>WOS:000397342301377</t>
  </si>
  <si>
    <t>Androff, D; Fike, C; Rorke, J</t>
  </si>
  <si>
    <t>Androff, David; Fike, Chris; Rorke, John</t>
  </si>
  <si>
    <t>Greening Social Work Education: Teaching Environmental Rights and Sustainability in Community Practice</t>
  </si>
  <si>
    <t>JOURNAL OF SOCIAL WORK EDUCATION</t>
  </si>
  <si>
    <t>Green issues such as protecting environmental rights and promoting sustainability are growing in importance to social work practice but are largely ignored in social work curricula. This article uses comparative case studies of three student-led community practice projects to demonstrate how environmental rights can be incorporated into social work education. The three cases detail student projects related to promoting farmer's markets in food deserts, community gardens in homeless shelters, and political advocacy against mining. These cases provide examples of how environmental rights can be incorporated into the social work curriculum and reveal the interconnection of human and environmental rights, and of social and environmental justice. Lessons from the case studies and implications for social work education are presented.</t>
  </si>
  <si>
    <t>1043-7797</t>
  </si>
  <si>
    <t>2163-5811</t>
  </si>
  <si>
    <t>10.1080/10437797.2016.1266976</t>
  </si>
  <si>
    <t>WOS:000405200300004</t>
  </si>
  <si>
    <t>Fukuda, Y; Ishikawa, M; Yokoyama, T; Hayashi, T; Nakaya, T; Takemi, Y; Kusama, K; Yoshiike, N; Nozue, M; Yoshiba, K; Murayama, N</t>
  </si>
  <si>
    <t>Fukuda, Yoshiharu; Ishikawa, Midori; Yokoyama, Tetsuji; Hayashi, Tatsumi; Nakaya, Tomoki; Takemi, Yukari; Kusama, Kaoru; Yoshiike, Nobuo; Nozue, Miho; Yoshiba, Kaori; Murayama, Nobuko</t>
  </si>
  <si>
    <t>Physical and social determinants of dietary variety among older adults living alone in Japan</t>
  </si>
  <si>
    <t>GERIATRICS &amp; GERONTOLOGY INTERNATIONAL</t>
  </si>
  <si>
    <t>AimFood security and sufficient nutrient intake are critical to longevity and active aging. The present study aimed to elucidate physical and social factors related to dietary variety among single-living older adults in Japanese communities. MethodsThe cross-sectional survey with a self-administrated questionnaire was carried out for all older adults living alone aged 65 years and older in three cities of Japan during 2014. Dietary variety score (DVS) was determined by counting the number of 10 food groups consumed at least once in 2 days using a food frequency questionnaire. Using the data of 704 men and 1366 women, the sex-specific association of low DVS (&lt;4) with age, region, frailty, annual income, social support, distance to the nearest supermarket and car ownership was analyzed. ResultsThe prevalence of low DVS was 40.9% for men and 18.4% for women. Frailty and low social support were associated with low DVS. A gradient association with income was found for women, whereas men showed a threshold: &lt;1.5 million yen per year was associated with low DVS. The distance to the nearest supermarket was not significantly associated with DVS. ConclusionsThe findings of the present study imply that as well as frailty, poor social support and economic disadvantage are associated with a decline in dietary variety. In particular, frail men with income &lt;1.5 million yen per year had a high risk of decreased dietary variety. Formal and informal support to secure food accessibility for physically and socially vulnerable older adults should be encouraged. Geriatr Gerontol Int 2017; 17: 2232-2238.</t>
  </si>
  <si>
    <t>Nakaya, Tomoki/AFL-7923-2022; Ishikawa, Midori/AAZ-1374-2021; HAYASHI, TATSUMI/IAR-5728-2023</t>
  </si>
  <si>
    <t>Nakaya, Tomoki/0000-0002-3827-1012</t>
  </si>
  <si>
    <t>1444-1586</t>
  </si>
  <si>
    <t>1447-0594</t>
  </si>
  <si>
    <t>10.1111/ggi.13004</t>
  </si>
  <si>
    <t>WOS:000416330000061</t>
  </si>
  <si>
    <t>Phookan, S; DeMoss, B; Gupta, D</t>
  </si>
  <si>
    <t>Phookan, Sujoy; DeMoss, Benjamin; Gupta, Divya</t>
  </si>
  <si>
    <t>Obesity Protects Against Heart Failure Readmissions for Patients Living in Food Deserts</t>
  </si>
  <si>
    <t>JOURNAL OF CARDIAC FAILURE</t>
  </si>
  <si>
    <t>SEP 16-19, 2017</t>
  </si>
  <si>
    <t>Dallas, TX</t>
  </si>
  <si>
    <t>Heart Failure Soc Amer</t>
  </si>
  <si>
    <t>1071-9164</t>
  </si>
  <si>
    <t>1532-8414</t>
  </si>
  <si>
    <t>S78</t>
  </si>
  <si>
    <t>10.1016/j.cardfail.2017.07.223</t>
  </si>
  <si>
    <t>WOS:000408403100208</t>
  </si>
  <si>
    <t>Raponi, S</t>
  </si>
  <si>
    <t>Raponi, Sandra</t>
  </si>
  <si>
    <t>A Defense of the Human Right to Adequate Food</t>
  </si>
  <si>
    <t>RES PUBLICA-A JOURNAL OF MORAL LEGAL AND POLITICAL PHILOSOPHY</t>
  </si>
  <si>
    <t>I argue that recognizing a human right to adequate food and enforcing it as a legal right is an important way to promote and ensure sustainable food security. I consider objections that have been raised against subsistence rights and socioeconomic rights, including the argument that such rights are not feasible, that they are not justiciable, and that they are too amorphous-that it is not clear what is required to fulfill these rights and by whom. I defend the right to adequate food against these objections by considering how this right has been interpreted and applied in international law and how it has been protected in other domestic legal systems. I analyze different dimensions of the right to adequate food and I apply these to recent issues concerning sustainable food security in the United States, such as food deserts.</t>
  </si>
  <si>
    <t>Raponi, Sandra/0000-0001-7800-9089</t>
  </si>
  <si>
    <t>1356-4765</t>
  </si>
  <si>
    <t>1572-8692</t>
  </si>
  <si>
    <t>10.1007/s11158-015-9315-9</t>
  </si>
  <si>
    <t>WOS:000408734600006</t>
  </si>
  <si>
    <t>Runge, KK; Brossard, D; Scheufele, DA; Rose, KM; Larson, BJ</t>
  </si>
  <si>
    <t>Runge, Kristin K.; Brossard, Dominique; Scheufele, Dietram A.; Rose, Kathleen M.; Larson, Brita J.</t>
  </si>
  <si>
    <t>THE POLLS-TRENDS ATTITUDES ABOUT FOOD AND FOOD-RELATED BIOTECHNOLOGY</t>
  </si>
  <si>
    <t>PUBLIC OPINION QUARTERLY</t>
  </si>
  <si>
    <t>Over the past 50 years, the food industry has transformed. The first food-related crops containing gene modifications were commercialized in the late 1990s, and researchers began documenting trends toward consumption of larger portions of food, increased reliance on fast food, and the health impacts of living in food deserts. Polls examined here document a general, though not monotonic, decline in confidence that the federal government can ensure the safety of the food supply, a similar decline in confidence that food in restaurants or grocery stores is safe to eat, a decline in the belief that packaged-food companies are doing a good job, and an increased sensitivity to the negative aspects of GMO foods. At the same time, we find that fewer people are attending to biotechnology-related news or the information on food packaging, but increasingly attending to food warnings and nutritional recommendations.</t>
  </si>
  <si>
    <t>Scheufele, Dietram/A-8737-2008</t>
  </si>
  <si>
    <t>Scheufele, Dietram/0000-0002-9914-5407; Rose, Kathleen/0000-0003-2690-9848</t>
  </si>
  <si>
    <t>0033-362X</t>
  </si>
  <si>
    <t>1537-5331</t>
  </si>
  <si>
    <t>10.1093/poq/nfw038</t>
  </si>
  <si>
    <t>WOS:000402615500009</t>
  </si>
  <si>
    <t>Ceryes, CA; Flamm, L; Fitzgerald, S</t>
  </si>
  <si>
    <t>Ceryes, Caitlin A.; Flamm, Laura; Fitzgerald, Sheila</t>
  </si>
  <si>
    <t>Investigating the Occupational Challenges of Corner Store Workers Operating in Baltimore City Food Deserts</t>
  </si>
  <si>
    <t>WORKPLACE HEALTH &amp; SAFETY</t>
  </si>
  <si>
    <t>A qualitative pilot study was conducted in Baltimore City with the aim of documenting specific occupational safety challenges of small-scale urban retailers, or corner store owners. Semistructured interviews with a small sample (n = 4) revealed significant challenges for owners and workers, and revealed potential areas for occupational health intervention.</t>
  </si>
  <si>
    <t>Ceryes, Caitlin/0000-0002-8620-1991</t>
  </si>
  <si>
    <t>2165-0799</t>
  </si>
  <si>
    <t>2165-0969</t>
  </si>
  <si>
    <t>10.1177/2165079917690174</t>
  </si>
  <si>
    <t>WOS:000394781400008</t>
  </si>
  <si>
    <t>Taillie, LS; Grummon, AH; Fleischhacker, S; Grigsby-Toussaint, DS; Leone, L; Caspi, CE</t>
  </si>
  <si>
    <t>Taillie, Lindsey Smith; Grummon, Anna H.; Fleischhacker, Sheila; Grigsby-Toussaint, Diana S.; Leone, Lucia; Caspi, Caitlin Eicher</t>
  </si>
  <si>
    <t>Best practices for using natural experiments to evaluate retail food and beverage policies and interventions</t>
  </si>
  <si>
    <t>NUTRITION REVIEWS</t>
  </si>
  <si>
    <t>Policy and programmatic change in the food retail setting, including excise taxes on beverages with added-caloric sweeteners, new supermarkets in food deserts, and voluntary corporate pledges, often require the use of natural experimental evaluation for impact evaluation when randomized controlled trials are not possible. Although natural experimental studies in the food retail setting provide important opportunities to test how nonrandomized interventions affect behavioral and health outcomes, researchers face several key challenges to maintaining strong internal and external validity when conducting these studies. Broadly, these challenges include 1) study design and analysis; 2) selection of participants, selection of measures, and obtainment of data; and 3) real-world considerations. This article addresses these challenges and different approaches to meeting them. Case studies are used to illustrate these approaches and to highlight advantages and disadvantages of each approach. If the trade-offs required to address these challenges are carefully considered, thoughtful natural experimental evaluations can minimize bias and provide critical information about the impacts of food retail interventions to a variety of stakeholders, including the affected population, policymakers, and food retailers.</t>
  </si>
  <si>
    <t>Grummon, Anna/0000-0002-8705-038X</t>
  </si>
  <si>
    <t>0029-6643</t>
  </si>
  <si>
    <t>1753-4887</t>
  </si>
  <si>
    <t>10.1093/nutrit/nux051</t>
  </si>
  <si>
    <t>WOS:000417961900002</t>
  </si>
  <si>
    <t>Clary, C; Matthew, SA; Kestens, Y</t>
  </si>
  <si>
    <t>Clary, Christelle; Matthew, Stephen Augustus; Kestens, Yan</t>
  </si>
  <si>
    <t>Between exposure, access and use: Reconsidering foodscape influences on dietary behaviours</t>
  </si>
  <si>
    <t>Good accessibility to both healthy and unhealthy food outlets is a greater reality than food deserts. Yet, there is a lack of conceptual insights on the contextual factors that push individuals to opt for healthy or unhealthy food outlets when both options are accessible. Our comprehension of foodscape influences on dietary behaviours would benefit from a better understanding of the decision-making process for food outlet choices. Ih this paper, we build on the fundamental position that outlet choices are conditioned by how much outlets' attributes accommodate individuals' constraints and preferences. We further argue that food outlets continuously experienced within individuals' daily-path help people re-evaluate food acquisition possibilities, push them to form intentions, and shape their preferences for the choices they will subsequently make. Doing so, we suggest differentiating access, defined as the potential for the foodscape to be used at the time when individuals decide to do so, from exposure, which acts as a constant catalyst for knowledge, intention, preferences and routine tendency. We conclude with implications for future research, and discuss consequences for public policy.</t>
  </si>
  <si>
    <t>Kestens, Yan/D-1631-2012; Matthews, Stephen/GRR-7264-2022; Matthews, Stephen/P-6906-2017</t>
  </si>
  <si>
    <t>Kestens, Yan/0000-0003-2619-5750; Matthews, Stephen/0000-0002-1645-4854</t>
  </si>
  <si>
    <t>10.1016/j.healthplace.2016.12.005</t>
  </si>
  <si>
    <t>WOS:000396955900001</t>
  </si>
  <si>
    <t>Gittelsohn, J; Trude, AC; Poirier, L; Ross, A; Ruggiero, C; Schwendler, T; Steeves, EA</t>
  </si>
  <si>
    <t>Gittelsohn, Joel; Trude, Angela C.; Poirier, Lisa; Ross, Alexandra; Ruggiero, Cara; Schwendler, Teresa; Steeves, Elizabeth Anderson</t>
  </si>
  <si>
    <t>The Impact of a Multi-Level Multi-Component Childhood Obesity Prevention Intervention on Healthy Food Availability, Sales, and Purchasing in a Low-Income Urban Area</t>
  </si>
  <si>
    <t>The multifactorial causes of obesity require multilevel and multicomponent solutions, but such combined strategies have not been tested to improve the community food environment. We evaluated the impact of a multilevel (operating at different levels of the food environment) multicomponent (interventions occurring at the same level) community intervention. The B'more Healthy Communities for Kids (BHCK) intervention worked at the wholesaler (n = 3), corner store (n = 50), carryout (n = 30), recreation center (n = 28), household (n = 365) levels to improve availability, purchasing, and consumption of healthier foods and beverages (low-sugar, low-fat) in low-income food desert predominantly African American zones in the city of Baltimore (MD, USA), ultimately intending to lead to decreased weight gain in children (not reported in this manuscript). For this paper, we focus on more proximal impacts on the food environment, and measure change in stocking, sales and purchase of promoted foods at the different levels of the food system in 14 intervention neighborhoods, as compared to 14 comparison neighborhoods. Sales of promoted products increased in wholesalers. Stocking of these products improved in corner stores, but not in carryouts, and we did not find any change in total sales. Children more exposed to the intervention increased their frequency of purchase of promoted products, although improvement was not seen for adult caregivers. A multilevel food environment intervention in a low-income urban setting improved aspects of the food system, leading to increased healthy food purchasing behavior in children.</t>
  </si>
  <si>
    <t>Poirier, Lisa/AAG-5292-2019</t>
  </si>
  <si>
    <t>TRUDE, ANGELA/0000-0002-2881-1089; Ruggiero, Cara/0000-0001-6498-991X; Schwendler, Teresa R./0000-0002-0822-4880</t>
  </si>
  <si>
    <t>10.3390/ijerph14111371</t>
  </si>
  <si>
    <t>WOS:000416545200087</t>
  </si>
  <si>
    <t>Bernstein, M</t>
  </si>
  <si>
    <t>Bernstein, Melissa</t>
  </si>
  <si>
    <t>Nutritional Needs of the Older Adult</t>
  </si>
  <si>
    <t>PHYSICAL MEDICINE AND REHABILITATION CLINICS OF NORTH AMERICA</t>
  </si>
  <si>
    <t>Older adults are particularly vulnerable to compromised nutritional status. With advancing age, the consumption of a high-quality, nutritionally dense diet is increasingly essential to optimize health and well-being. Proportionally, macronutrient needs for older adults are similar to younger adults; however, overall calorie requirements tend to decline with age. Unique factors influencing food intake should be considered and individualized guidance should be designed to help overcome medical, physical, and social barriers to a healthy diet. The goal for nutrition intervention should ultimately be to promote health and quality of life across the continuum of the aging process.</t>
  </si>
  <si>
    <t>1047-9651</t>
  </si>
  <si>
    <t>1558-1381</t>
  </si>
  <si>
    <t>10.1016/j.pmr.2017.06.008</t>
  </si>
  <si>
    <t>WOS:000415031000012</t>
  </si>
  <si>
    <t>Vaughan, CA; Collins, R; Ghosh-Dastidar, M; Beckman, R; Dubowitz, T</t>
  </si>
  <si>
    <t>Vaughan, Christine A.; Collins, Rebecca; Ghosh-Dastidar, Madhumita; Beckman, Robin; Dubowitz, Tamara</t>
  </si>
  <si>
    <t>Does where you shop or who you are predict what you eat?: The role of stores and individual characteristics in dietary intake</t>
  </si>
  <si>
    <t>PREVENTIVE MEDICINE</t>
  </si>
  <si>
    <t>Interventions to address diet, a modifiable risk factor for diabetes, cancer, and cardiovascular disease, have increasingly emphasized the influence of the physical environment on diet, while more traditional approaches have focused on individual characteristics. We examined environmental and individual influences on diet to understand the role of both. Household interviewswere conducted in 2011 with 1372 individuals randomly selected from two low-income, predominantly African American neighborhoods in Pittsburgh, PA. Participants reported their sociodemographic characteristics, food shopping behavior, and dietary intake. Both food shopping frequency at different types of food stores and sociodemographic characteristics showed significant associations with diet in adjusted regression models. More frequent shopping at convenience and neighborhood stores and being younger, male, without a college degree, and receiving SNAP benefits were associated with greater intake of sugar-sweetened beverages (SSBs), added sugars, and discretionary fats. Being older, male, and having a college degree were associatedwith greater intake of fruits and vegetables. However, while food shopping behavior and sociodemographic characteristics accounted for similar amounts of nonoverlapping variance in fruit and vegetable intake, food shopping behavior accounted formuch less variance, and little unique variance, in SSBs, added sugars, and discretionary fats inmodels with sociodemographic characteristics. The current study reinforces the need for policies and interventions at both the environmental and individual levels to improve diet in food desert residents. Individual interventions to address food choices associated with certain sociodemographic characteristics might be particularly important for curbing intake of SSBs, added sugars, and discretionary fats. (C) 2017 Elsevier Inc. All rights reserved.</t>
  </si>
  <si>
    <t>0091-7435</t>
  </si>
  <si>
    <t>1096-0260</t>
  </si>
  <si>
    <t>10.1016/j.ypmed.2017.03.015</t>
  </si>
  <si>
    <t>WOS:000405677000003</t>
  </si>
  <si>
    <t>Kahn, EM</t>
  </si>
  <si>
    <t>Kahn, Eve M.</t>
  </si>
  <si>
    <t>FOOD IN THE COLLECTION MUSEUMS, LIBRARIES, AND OTHER INSTITUTIONS ARE DOING THEIR PART TO SHRINK FOOD DESERTS</t>
  </si>
  <si>
    <t>LANDSCAPE ARCHITECTURE MAGAZINE</t>
  </si>
  <si>
    <t>0023-8031</t>
  </si>
  <si>
    <t>WOS:000402448300009</t>
  </si>
  <si>
    <t>Trembosová, M; Vlacuhová, V; Jakab, I</t>
  </si>
  <si>
    <t>Klimova, V; Zitek, V</t>
  </si>
  <si>
    <t>Trembosova, Miroslava; Vlacuhova, Viktoria; Jakab, Imrich</t>
  </si>
  <si>
    <t>ACCESSIBILITY OF RETAIL STORES IN THE NITRA SELF-GOVERNING REGION</t>
  </si>
  <si>
    <t>20TH INTERNATIONAL COLLOQUIUM ON REGIONAL SCIENCES</t>
  </si>
  <si>
    <t>JUN 14-16, 2017</t>
  </si>
  <si>
    <t>Kurdejov, CZECH REPUBLIC</t>
  </si>
  <si>
    <t>Masaryk Univ, Fac Eon &amp; Adm, Dept Reg Econ &amp; Adm</t>
  </si>
  <si>
    <t>Since 2008, i.e. at the stage of concentration, the retail network of rural areas has been characterized by decline processes. Cancellation of stores under the relentless competitive struggle with transnational chains in towns of the Nitra Self-governing Region is the basic process of concentration stage in rural areas. This process has particularly affected small municipalities and many of them remained without retail facilities. Moreover, another decadent phenomenon was created and deepened such as the so-called food deserts, increased demands for commuting to shops, increased time accessibility to selected stores. This creates an urban-rural conflict in providing retail services in favor of towns/cities. The aim of the paper is to analyze the locations of food stores of COOP Jednota in the Nitra Self-governing Region and definition of distance and time accessibility to these stores for residents living in this area. For Accessibility definition, we applied binary (trivial) accessibility which provides data on distance and time reachability of the node from another node in the network. The result is the knowledge that most municipalities in the Nitra Self-governing Region have COOP Jednota as the nearest food store in the distance of more than 1001 m.</t>
  </si>
  <si>
    <t>Trembošová, Miroslava/AAC-7952-2020; Jakab, Imrich/AAC-8961-2020</t>
  </si>
  <si>
    <t>978-80-210-8586-2; 978-80-210-8587-9</t>
  </si>
  <si>
    <t>10.5817/CZ.MUNI.P210-8587-2017-75</t>
  </si>
  <si>
    <t>WOS:000426864500075</t>
  </si>
  <si>
    <t>Santorelli, ML; Okeke, JO</t>
  </si>
  <si>
    <t>Santorelli, Melissa L.; Okeke, Janice O.</t>
  </si>
  <si>
    <t>Evaluating Community Measures of Healthy Food Access</t>
  </si>
  <si>
    <t>Several community level measures of healthy food access exist, but evaluation efforts have been limited leaving uncertainty about how to prioritize communities for intervention. This study aimed to assess several existing measures to inform statewide public health planning efforts in New Jersey, USA. We assessed agreement between community measures of healthy food access and then evaluated the predictive validity of each measure by describing its association with complete fruit and vegetable cash-value voucher redemption (proportion redeemed ae70, ae80, ae90%) among 30,078 low-income households participating in the New Jersey Special Supplemental Nutrition Program for Women, Infants, and Children (WIC) during 2013-2014. The United States Department of Agriculture's (USDA) food desert measure agreed with the Centers for Disease Control and Prevention's (CDC) no healthier food retailers (NHFR) measure for 76.5% of New Jersey census tracts, but the Kappa statistic was only 0.10. For urban households, the NHFR measure was negatively associated with complete redemption after adjusting for demographic factors and Supplemental Nutrition Assistance Program participation (ae70% odds ratio (OR) 0.68, 95% confidence interval (CI) 0.61-0.75; ae80% OR 0.67, 95% CI 0.62-0.73; ae90% OR 0.72, 95% CI 0.66-0.77). For rural households, a negative association was observed for the USDA's low-income/low-vehicle access measure (ae70% OR 0.48, 95% CI 0.26-0.90). The CDC's NHFR measure is more appropriate for prioritizing urban areas while the USDA's low-income/low-vehicle access measure may be better for rural areas.</t>
  </si>
  <si>
    <t>10.1007/s10900-017-0346-3</t>
  </si>
  <si>
    <t>WOS:000410472900022</t>
  </si>
  <si>
    <t>Wilde, P; Steiner, A; Ver Ploeg, M</t>
  </si>
  <si>
    <t>Wilde, Parke; Steiner, Abigail; Ver Ploeg, Michele</t>
  </si>
  <si>
    <t>For Low-Income Americans, Living ≤1 Mile (≤1.6 km) from the Nearest Supermarket Is Not Associated with Self-Reported Household Food Security</t>
  </si>
  <si>
    <t>CURRENT DEVELOPMENTS IN NUTRITION</t>
  </si>
  <si>
    <t>Background: Motivated by concern over lack of access to nutritious food in low-income neighborhoods, healthy food financing initiatives have encouraged the introduction of new supermarkets. Extensive research on the association between the food retail environment and nutrition outcomes has shown mixed results. There has been less research specifically on food security outcomes. Objective: We assessed the association between multiple food environment measures and food security for low-income US households. Methods: By using the USDA's nationally representative 2012-2013 Food Acquisition and Purchase Survey (FoodAPS; n = 4826 households), which provides unique information about neighborhood- and household-level food retailer access, we quantified cross-sectional associations between food environment characteristics and household-level outcomes, with and without regression controls. Logistic regression analysis was used for binary household food security outcomes. Results: Most households bypassed the nearest retailer to select a primary retailer farther from home. For low-income households, distance to the nearest supermarket and to the primary retailer was not associated with food security. In comparison to shopping with households' own automobile, the odds of being food secure were lower for households that used another automobile (OR: 0.59; 95% CI: 0.38, 0.90) or other transportation (OR: 0.32; 95% CI: 0.17, 0.61) to reach the primary retailer. Conclusions: Having a closest supermarket &lt;= 1 mile from home was not associated with household food security. In contrast, the mode of transportation used to access the primary retailer was associated with household food security. In future research, it may be valuable to not only focus on the distance to the nearest supermarket but to investigate the qualities of the food retail environment at distances &gt;1 mile that are most strongly associated with food security outcomes.</t>
  </si>
  <si>
    <t>Steiner, Abigail/0000-0001-5614-9216; Wilde, Parke/0000-0002-9596-9230; Ver Ploeg, Michele/0000-0001-8476-7281</t>
  </si>
  <si>
    <t>2475-2991</t>
  </si>
  <si>
    <t>UNSP e001446</t>
  </si>
  <si>
    <t>10.3945/cdn.117.001446</t>
  </si>
  <si>
    <t>WOS:000436989900005</t>
  </si>
  <si>
    <t>Pike, SN; Trapl, ES; Clark, JK; Rouse, CD; Bell, BA; Sehgal, AR; To, T; Borawski, E; Freedman, DA</t>
  </si>
  <si>
    <t>Pike, Stephanie N.; Trapl, Erika S.; Clark, Jill K.; Rouse, Chaturia D.; Bell, Bethany A.; Sehgal, Ashwini R.; To, Thomas; Borawski, Elaine; Freedman, Darcy A.</t>
  </si>
  <si>
    <t>Examining the Food Retail Choice Context in Urban Food Deserts, Ohio, 2015</t>
  </si>
  <si>
    <t>Clark, Jill/A-1661-2013; Freedman, Darcy/Q-7239-2019; Trapl, Erika/O-8237-2019; Borawski, Elaine/R-9959-2019; Bell, Bethany/AAV-6917-2021</t>
  </si>
  <si>
    <t>Trapl, Erika/0000-0002-5021-8505; Pike Moore, Stephanie/0000-0002-6301-9185; Borawski, Elaine/0000-0001-7629-6889; Freedman, Darcy/0000-0002-0521-9621</t>
  </si>
  <si>
    <t>E90</t>
  </si>
  <si>
    <t>10.5888/pcd14.160408</t>
  </si>
  <si>
    <t>WOS:000423786000003</t>
  </si>
  <si>
    <t>Barnes, KL; Bendixsen, CG</t>
  </si>
  <si>
    <t>Barnes, Kathrine Lynn; Bendixsen, Casper G.</t>
  </si>
  <si>
    <t>When This Breaks Down, It's Black Gold: Race and Gender in Agricultural Health and Safety</t>
  </si>
  <si>
    <t>JOURNAL OF AGROMEDICINE</t>
  </si>
  <si>
    <t>Farmers are growing older, and fewer new agriculturists are rising to take their place. Concurrently, women and minorities are entering agriculture at an increasing rate. These rates are particularly curious viewed in light of the racialized and gendered nature of agriculture. Slavery and agriculture share strong historical roots, with many male slaves performing agricultural labor. So then, why would African American women choose to engage in agriculture in any form? Participant observation and in-depth interviews with a group of African American women urban farmers in the southeastern United States were asked this question. Interviews with seven such women revealed their perception of self-sustainable small-scale agriculture as a departure from, not return to, slavery. The women drew metaphors between the Earth and femininity, believing their work to be uniquely feminine. Production of food for consumption and trade provides a source for community and healthy food amid urban poverty and the plight of food deserts. These data encourage agricultural health and safety professionals and researchers to tackle the health-promoting nature of such work, with the entree of anthropology and other social sciences into the field. In many ways, these women portrayed small-scale food cultivation as an important component of, rather than a threat to, health and safety. Indeed, they viewed such labor as wholly health promoting. Their strong social connections provide a potential means for community-led dissemination of any relevant health and safety information.</t>
  </si>
  <si>
    <t>Bendixsen, Casper/AGT-1084-2022</t>
  </si>
  <si>
    <t>Bendixsen, Casper/0000-0002-3419-6940</t>
  </si>
  <si>
    <t>1059-924X</t>
  </si>
  <si>
    <t>1545-0813</t>
  </si>
  <si>
    <t>10.1080/1059924X.2016.1251368</t>
  </si>
  <si>
    <t>WOS:000392229600009</t>
  </si>
  <si>
    <t>Richardson, AS; Ghosh-Dastidar, M; Beckman, R; Flórez, KR; DeSantis, A; Collins, RL; Dubowitz, T</t>
  </si>
  <si>
    <t>Richardson, Andrea S.; Ghosh-Dastidar, Madhumita; Beckman, Robin; Florez, Karen R.; DeSantis, Amy; Collins, Rebecca L.; Dubowitz, Tamara</t>
  </si>
  <si>
    <t>Can the introduction of a full-service supermarket in a food desert improve residents' economic status and health?</t>
  </si>
  <si>
    <t>ANNALS OF EPIDEMIOLOGY</t>
  </si>
  <si>
    <t>Purpose: To estimate the impacts of a new supermarket in a low-income desert, on residents' economic status and health. Methods: We surveyed a randomly selected cohort in two low-income Pittsburgh neighborhoods before and about 1 year following the opening of a supermarket. We used difference-in-difference approach to test changes across the two neighborhoods in residents' food security, United States Department of Agriculture Supplemental Nutrition Assistance Program and Special Supplemental Nutrition Program for Women Infant and Children participation, employment, income, and self-reported health/chronic disease diagnoses. Results: We observed declines in food insecurity (-11.8%, P &lt;.01), Supplemental Nutrition Assistance Program participation (-12.2%, P &lt;.01), and fewer new diagnoses of high cholesterol (-9.6%, P =.01) and arthritis (-7.4%, P =.02) in the neighborhood with the new supermarket relative to residents of the comparison neighborhood. We also found suggestive evidence that residents' incomes increased more ($1550, P =.09) and prevalence of diabetes increased less in the neighborhood with the supermarket than in the comparison neighborhood (-3.6%, P =.10). Conclusions: Locating a new supermarket in a low-income neighborhood may improve residents' economic well-being and health. Policymakers should consider broad impacts of neighborhood investment that could translate into improved health for residents of underserved neighborhoods. (C) 2017 Elsevier Inc. All rights reserved.</t>
  </si>
  <si>
    <t>1047-2797</t>
  </si>
  <si>
    <t>1873-2585</t>
  </si>
  <si>
    <t>10.1016/j.annepidem.2017.10.011</t>
  </si>
  <si>
    <t>WOS:000417772800003</t>
  </si>
  <si>
    <t>Pitts, SBJ; Wu, Q; Truesdale, KP; Laska, MN; Grinchak, T; McGuirt, JT; Haynes-Maslow, L; Bell, RA; Ammerman, AS</t>
  </si>
  <si>
    <t>Pitts, Stephanie B. Jilcott; Wu, Qiang; Truesdale, Kimberly P.; Laska, Melissa N.; Grinchak, Taras; McGuirt, Jared T.; Haynes-Maslow, Lindsey; Bell, Ronny A.; Ammerman, Alice S.</t>
  </si>
  <si>
    <t>Baseline Assessment of a Healthy Corner Store Initiative: Associations between Food Store Environments, Shopping Patterns, Customer Purchases, and Dietary Intake in Eastern North Carolina</t>
  </si>
  <si>
    <t>In 2016, the North Carolina (NC) Legislature allocated $250,000 to the NC Department of Agriculture, to identify and equip small food retailers to stock healthier foods and beverages in eastern NC food deserts (the NC Healthy Food Small Retailer Program, HFSRP). The purpose of this study was to examine associations between food store environments, shopping patterns, customer purchases, and dietary consumption among corner store customers. We surveyed 479 customers in 16 corner stores regarding demographics, food purchased, shopping patterns, and self-reported fruit, vegetable, and soda consumption. We objectively assessed fruit and vegetable consumption using a non-invasive reflection spectroscopy device to measure skin carotenoids. We examined associations between variables of interest, using Pearson's correlation coefficients and adjusted linear regression analyses. A majority (66%) of participants were African American, with a mean age of 43 years, and a mean body mass index (BMI) of 30.0 kg/m(2). There were no significant associations between the healthfulness of food store offerings, customer purchases, or dietary consumption. Participants who said they had purchased fruits and vegetables at the store previously reported higher produce intake (5.70 (4.29) vs. 4.60 (3.28) servings per day, p = 0.021) versus those who had not previously purchased fresh produce. The NC Legislature has allocated another $250,000 to the HFSRP for the 2018 fiscal year. Thus, evaluation results will be important to inform future healthy corner store policies and initiatives.</t>
  </si>
  <si>
    <t>Bell, Ronny/IOW-3146-2023</t>
  </si>
  <si>
    <t>Haynes-Maslow, Lindsey/0000-0001-9571-1478; Laska, Melissa/0000-0002-3836-0269</t>
  </si>
  <si>
    <t>10.3390/ijerph14101189</t>
  </si>
  <si>
    <t>WOS:000414763200098</t>
  </si>
  <si>
    <t>Helbich, M; Hagenauer, J</t>
  </si>
  <si>
    <t>Helbich, Marco; Hagenauer, Julian</t>
  </si>
  <si>
    <t>DATA</t>
  </si>
  <si>
    <t>This data descriptor introduces data on healthy food supplied by supermarkets in the city of Amsterdam, The Netherlands. In addition to two neighborhood variables (i.e., share of autochthons and average housing values), the data comprises three street network-based accessibility measures derived from analyses using a geographic information system. Data are provided on a spatial micro-scale utilizing grid cells with a spatial resolution of 100 m. We explain how the data were collected and pre-processed, and how alternative analyses can be set up. To illustrate the use of the data, an example is provided using the R programming language.</t>
  </si>
  <si>
    <t>Hagenauer, Julian/0000-0001-5780-2504</t>
  </si>
  <si>
    <t>2306-5729</t>
  </si>
  <si>
    <t>10.3390/data2010007</t>
  </si>
  <si>
    <t>WOS:000415064500006</t>
  </si>
  <si>
    <t>Subramony, M</t>
  </si>
  <si>
    <t>Subramony, Mahesh</t>
  </si>
  <si>
    <t>Transformative Service Research as an Exemplar for Humanitarian I-O Psychology</t>
  </si>
  <si>
    <t>INDUSTRIAL AND ORGANIZATIONAL PSYCHOLOGY-PERSPECTIVES ON SCIENCE AND PRACTICE</t>
  </si>
  <si>
    <t>The focal article (Gloss, Carr, Reichman, Abdul-Nasiru, &amp; Oesterich, 2017) highlights the neglect of individual and societal well-being concerns in I-O psychology theory and practice. A similar concern is currently being articulated within the interdisciplinary field of services (i.e., service management, services marketing, and service science) with the identification of critical underrepresented issues including economic disparities in healthcare, food deserts in poor urban locations, racial-ethnic discrimination in retail, discriminatory practices in lending, lack of access to basic quality-of-life services among poor base of the pyramid populations, and the underemphasis of employee and consumer health in service design and delivery (e.g., Fisk et al., 2016; Rosenbaum et al., 2011). Originating in a call for improving consumer well-being through academic research (Mick, 2006), transformative service research (TSR) is now recognized as a key research priority in services (Ostrom, Parasuraman, Bowen, Patricio, &amp; Voss, 2015). Indicators of the scholarly interest in this topic include but are not limited to the following: (a) a seminal article in this research stream (Anderson et al., 2013) has been cited an average of 40 times each year since its publication, (b) multiple special issues have appeared in service-related journals (Journal of Business Research and Journal of Service Research), and (c) special conferences have been organized to examine transformative issues. It can be argued that a humanitarian or POSH agenda in I-O psychology can be informed by TSR while deriving its sustenance from our time tested scientist-practitioner traditions. Some of the key lessons that can be learned from the current trajectory of TSR evolution are discussed in this article.</t>
  </si>
  <si>
    <t>1754-9426</t>
  </si>
  <si>
    <t>1754-9434</t>
  </si>
  <si>
    <t>10.1017/iop.2017.31</t>
  </si>
  <si>
    <t>WOS:000409048700006</t>
  </si>
  <si>
    <t>Cowling, K; Lindberg, R; Dannenberg, AL; Neff, RA; Pollack, KM</t>
  </si>
  <si>
    <t>Cowling, Krycia; Lindberg, Ruth; Dannenberg, Andrew L.; Neff, Roni A.; Pollack, Keshia M.</t>
  </si>
  <si>
    <t>Review of health impact assessments informing agriculture, food, and nutrition policies, programs, and projects in the United States</t>
  </si>
  <si>
    <t>Policies, programs, and projects related to agriculture, food, and nutrition can significantly affect public health. Health impact assessment (HIA) is one tool that can be used to improve awareness of the health effects of decisions outside the health sector, and increasing the use of HIA for agriculture, food, and nutrition decisions presents an opportunity to improve public health. This study identifies and reviews all HIAs completed in the United States on agriculture, food, and nutrition topics. Studies were identified from HIA databases, an Internet search, and expert consultation. Key characteristics were extracted from each study: type of decision assessed, location, level of jurisdiction, lead organization, methods of analysis, and recommendations. Twenty-five eligible HIAs that were conducted between 2007 and 2016 address topics such as regulations on land use for agriculture; food and beverage taxes; and developing grocery stores in food deserts. These HIAs have predominantly supported policy, as opposed to program or project, decisions. Four case studies are presented to illustrate in detail the HIA process and the mechanisms through which HIA findings affected policy decisions. Among other influences, these four HIAs affected the language of legislation and provided guidance for federal regulations. These examples demonstrate several findings: appropriate timing is critical for findings to have an influence; diverse stakeholder involvement generates support for recommendations; and the clear communication of feasible recommendations is highly important. There is substantial scope to increase the use of HIA in the agriculture, food, and nutrition sectors. Challenges include the paucity of monitoring and evaluation of HIAs' effects on health outcomes, and the limited funding available to conduct HIAs. Opportunities include integrating HIAs and community food assessments, and more widely sharing HIA findings to inform related decisions in different jurisdictions and to increase support for additional HIAs that address the food system.</t>
  </si>
  <si>
    <t>Neff, Roni/0000-0002-0010-2635</t>
  </si>
  <si>
    <t>SPR-SUM</t>
  </si>
  <si>
    <t>10.5304/jafscd.2017.073.009</t>
  </si>
  <si>
    <t>WOS:000424543600011</t>
  </si>
  <si>
    <t>Wansink, B</t>
  </si>
  <si>
    <t>Wansink, Brian</t>
  </si>
  <si>
    <t>Healthy Profits: An Interdisciplinary Retail Framework that Increases the Sales of Healthy Foods</t>
  </si>
  <si>
    <t>JOURNAL OF RETAILING</t>
  </si>
  <si>
    <t>Disruptive layouts, smart carts, suggestive signage, GPS alerts, and touch-screen preordering all foreshadow an evolution in how healthy foods will be sold in grocery stores. Although seemingly unrelated, they will all influence sales by altering either how convenient, attractive, or normal (CAN) it is to purchase a healthy target food. A Retail Intervention Matrix shows how a retailer's actions in these three areas can be redirected to target shoppers based on whether the shoppers are Health Vigilant, Health Predisposed, or Health Disinterested. For researchers, this review offers an organizing framework that integrates marketing, nutrition, psychology, public health, and behavioral economics to identify next generation research. For managers, this framework underscores how small, low cost changes can surprisingly increase sales of entire categories of healthy food. (C) 2017 New York University. Published by Elsevier Inc. All rights reserved.</t>
  </si>
  <si>
    <t>0022-4359</t>
  </si>
  <si>
    <t>1873-3271</t>
  </si>
  <si>
    <t>10.1016/j.jretai.2016.12.007</t>
  </si>
  <si>
    <t>WOS:000399855000006</t>
  </si>
  <si>
    <t>Williamson, S; McGregor-Shenton, M; Brumble, B; Wright, B; Pettinger, C</t>
  </si>
  <si>
    <t>Williamson, S.; McGregor-Shenton, M.; Brumble, B.; Wright, B.; Pettinger, C.</t>
  </si>
  <si>
    <t>Deprivation and healthy food access, cost and availability: a cross-sectional study</t>
  </si>
  <si>
    <t>BackgroundFood access, cost and availability have been identified as determinants of dietary choice. It has been suggested that these are socio-economically patterned; however, the evidence is inconclusive. The present study investigated whether differences exist with respect to healthy food access, cost and availability between areas of contrasting deprivation. MethodsAn ecological, cross-sectional study was conducted in two of the most and two of the least deprived wards in Plymouth. Food retail outlets (FROs) (n = 38) were identified and mapped using Geographic Information Systems to assess physical access', by foot, to food retail provision. Healthy food basket (HFB) surveys were conducted (n = 32) to compare the cost and availability of 28 healthy food items between the more and less deprived areas. ResultsAreas of poor access to food retail provision were identified in both study areas, with a higher number of households in the more-deprived areas being affected than in the less-deprived areas, after accounting for car ownership levels. Median [IQR] HFB availability was lower in more-deprived than the less-deprived areas (48%, [39-71%] vs. 75%, [68-82%]; P=0.003), and in convenience stores than supermarkets (54%, [43-72%] vs. 78%, [72-96%]; P=0.001). Descriptive summaries revealed negligible differences in total median HFB cost between the more-deprived and less-deprived areas (55.97 versus 55.94) pound and a larger cost difference between convenience stores and supermarkets (62.39 pound versus 44.25) pound. ConclusionsDifferences were found with respect to healthy food access, cost and availability in areas of contrasting deprivation. These appeared to be related to FRO type rather than deprivation alone.</t>
  </si>
  <si>
    <t>Pettinger, Clare/0000-0001-7182-9463</t>
  </si>
  <si>
    <t>1365-277X</t>
  </si>
  <si>
    <t>10.1111/jhn.12489</t>
  </si>
  <si>
    <t>WOS:000415888000014</t>
  </si>
  <si>
    <t>Banerjee, T; Crews, DC; Wesson, DE; Dharmarajan, S; Saran, R; Burrows, NR; Saydah, S; Powe, NR</t>
  </si>
  <si>
    <t>Banerjee, Tanushree; Crews, Deidra C.; Wesson, Donald E.; Dharmarajan, Sai; Saran, Rajiv; Burrows, Nilka Rios; Saydah, Sharon; Powe, Neil R.</t>
  </si>
  <si>
    <t>CDC CKD Surveillance Team</t>
  </si>
  <si>
    <t>Food Insecurity, CKD, and Subsequent ESRD in US Adults</t>
  </si>
  <si>
    <t>AMERICAN JOURNAL OF KIDNEY DISEASES</t>
  </si>
  <si>
    <t>Background: Poor access to food among low-income adults has been recognized as a risk factor for chronic kidney disease (CKD), but there are no data for the impact of food insecurity on progression to end-stage renal disease (ESRD). We hypothesized that food insecurity would be independently associated with risk for ESRD among persons with and without earlier stages of CKD. Study Design: Longitudinal cohort study. Setting &amp; Participants: 2,320 adults (aged &gt;= 20 years) with CKD and 10,448 adults with no CKD enrolled in NHANES III (1988-1994) with household income &lt;= 400% of the federal poverty level linked to the Medicare ESRD Registry for a median follow-up of 12 years. Predictor: Food insecurity, defined as an affirmative response to the food-insecurity screening question. Outcome: Development of ESRD. Measurements: Demographics, income, diabetes, hypertension, estimated glomerular filtration rate, and albuminuria. Dietary acid load was estimated from 24-hour dietary recall. We used a Fine-Gray competing-risk model to estimate the relative hazard (RH) for ESRD associated with food insecurity after adjusting for covariates. Results: 4.5% of adults with CKD were food insecure. Food-insecure individuals were more likely to be younger and have diabetes (29.9%), hypertension (73.9%), or albuminuria (90.4%) as compared with their counterparts (P &lt; 0.05). Median dietary acid load in the food-secure versus food-insecure group was 51.2 mEq/d versus 55.6 mEq/d, respectively (P = 0.05). Food-insecure adults were more likely to develop ESRD (RH, 1.38; 95% CI, 1.08-3.10) compared with food-secure adults after adjustment for demographics, income, diabetes, hypertension, estimated glomerular filtration rate, and albuminuria. In the non-CKD group, 5.7% were food insecure. We did not find a significant association between food insecurity and ESRD (RH, 0.77; 95% CI, 0.40-1.49). Limitations: Use of single 24-hour diet recall; lack of laboratory follow-up data and measure of changes in food insecurity over time; follow-up of cohort ended 10 years ago. Conclusions: Among adults with CKD, food insecurity was independently associated with a higher likelihood of developing ESRD. Innovative approaches to address food insecurity should be tested for their impact on CKD outcomes. (C) 2016 by the National Kidney Foundation, Inc. Published by Elsevier Inc. All rights reserved.</t>
  </si>
  <si>
    <t>Rubinsky, Anna/U-8314-2018</t>
  </si>
  <si>
    <t>Rubinsky, Anna/0000-0002-8977-4779; Robinson, Bruce/0000-0003-0749-1714</t>
  </si>
  <si>
    <t>0272-6386</t>
  </si>
  <si>
    <t>1523-6838</t>
  </si>
  <si>
    <t>10.1053/j.ajkd.2016.10.035</t>
  </si>
  <si>
    <t>WOS:000403821100011</t>
  </si>
  <si>
    <t>Fan, LL; Baylis, K; Gundersen, C; Ver Ploeg, M</t>
  </si>
  <si>
    <t>Fan, Linlin; Baylis, Kathy; Gundersen, Craig; Ver Ploeg, Michele</t>
  </si>
  <si>
    <t>Does a nutritious diet cost more in food deserts?</t>
  </si>
  <si>
    <t>AGRICULTURAL ECONOMICS</t>
  </si>
  <si>
    <t>Food deserts and their potential effects on diet and nutrition have received much attention from policymakers. While some research has found a correlation between food deserts and consumer outcomes, it is unclear whether food deserts truly affect consumer choices. In this article, we compare food prices in food deserts, defined as low-income, low-access census tracts, and nonfood deserts to observe whether and to what extent consumers face higher prices for a complete diet in food deserts. If a nutritionally complete diet costs significantly more in food deserts, resident consumers may be constrained from consuming healthier foods. We use store-level scanner data from a nationally representative sample and calculate a census-tract level Exact Price Index (EPI) based on a food basket defined by the Thrifty Food Plan (TFP). The EPI addresses potential biases from both product heterogeneity and variety availability. We find that the overall price impact of living in a food desert is small; low-access areas have only 3.5% higher EPI than high-access counterparts. However, consumers who are constrained to shop within their own census tracts face a much higher EPI than high-access counterparts (9.2%). The higher EPI primarily comes from lower variety availability in food deserts.</t>
  </si>
  <si>
    <t>0169-5150</t>
  </si>
  <si>
    <t>1574-0862</t>
  </si>
  <si>
    <t>10.1111/agec.12444</t>
  </si>
  <si>
    <t>WOS:000443378900004</t>
  </si>
  <si>
    <t>Semple, H; Giguere, A</t>
  </si>
  <si>
    <t>Semple, Hugh; Giguere, Andrew</t>
  </si>
  <si>
    <t>The Evolution of Food Deserts in a Small Midwestern City: The Case of Ypsilanti, Michigan: 1970 to 2010</t>
  </si>
  <si>
    <t>This study examines long-term geographic and demographic changes in food deserts in Ypsilanti, a small city of approximately 19,500 people located in Washtenaw County, Michigan. Because of the small size of Ypsilanti, it is sometimes difficult to imagine that food deserts can emerge in such urban settings and persist for decades. We argue that the persistence and geographic spread over time of food deserts in Ypsilanti are related to suburbanization, the decline of a once thriving auto-manufacturing sector, and changes in the structure of grocery retailing.</t>
  </si>
  <si>
    <t>1552-6577</t>
  </si>
  <si>
    <t>10.1177/0739456X17702222</t>
  </si>
  <si>
    <t>WOS:000440688700009</t>
  </si>
  <si>
    <t>Colón-Ramos, U; Monge-Rojas, R; Stevenson, TR; Burns, H; Thurman, S; Gittelsohn, J; Gurman, TA</t>
  </si>
  <si>
    <t>Colon-Ramos, Uriyoan; Monge-Rojas, Rafael; Stevenson, Tambra R.; Burns, Haley; Thurman, Shaneka; Gittelsohn, Joel; Gurman, Tilly A.</t>
  </si>
  <si>
    <t>How Do African-American Caregivers Navigate a Food Desert to Feed Their Children? A Photovoice Narrative</t>
  </si>
  <si>
    <t>Objectives To determine how African-American caregivers living in a food desert navigate neighborhood resources to procure foods for their children and to identify actions to improve those resources. Design Using the Photovoice approach, we conducted two sets of individual in-depth interviews with 16 African-American primary caregivers of children (total of 32 interviews) and one culminating workshop (n=10 participants). Data were systematically analyzed according to the Social Ecological Framework to evaluate the role of different environments in shaping individual decisions. Setting Urban, low-income and geographically marginalized neighborhoods. Results Despite the challenges of living in a food desert, caregivers perceived that they were providing the foods that they wanted for their children. These perceptions were based on their own health concerns, food customs, time and convenience, and responses to their children's food preferences. Caregivers were resourceful in how they procured these foods, searching for quality and better-priced foods. They relied on their friends, family, and local/national programs to mitigate the challenges of the food desert. Caregivers were interested in taking action to improve the underlying determinants of food access and choice (eg, affordable housing, job training, nutrition knowledge, food shopping experience). Conclusion These African-American caregivers procured foods they thought were best for their children by relying on their strong social relationships and national and local food programs to navigate the food desert. Public health nutrition interventions that aim to reduce diet-related disparities should look beyond the presence or absence of supermarkets in food deserts to address multisectoral determinants of access while shaping food choices.</t>
  </si>
  <si>
    <t>Colon-Ramos, Uriyoan/0000-0002-0870-9722</t>
  </si>
  <si>
    <t>10.1016/j.jand.2018.04.016</t>
  </si>
  <si>
    <t>WOS:000448047700006</t>
  </si>
  <si>
    <t>Crowe, J; Lacy, C; Columbus, Y</t>
  </si>
  <si>
    <t>Crowe, Jessica; Lacy, Constance; Columbus, Yolanda</t>
  </si>
  <si>
    <t>Barriers to Food Security and Community Stress in an Urban Food Desert</t>
  </si>
  <si>
    <t>URBAN SCIENCE</t>
  </si>
  <si>
    <t>By analyzing data from focus groups in a poor, mostly African American neighborhood in a large U.S. city, we describe how residents in urban food deserts access food, the barriers they experience in accessing nutritious, affordable food, and how community food insecurity exacerbates prior social, built, and economic stressors. Provided the unwillingness of supermarkets and supercenters to locate to poor urban areas and the need for nutritious, affordable food, it may be more efficient and equitable for government programs to financially partner with ethnic markets and smaller locally-owned grocery stores to increase the distribution and marketing of healthy foods rather than to spend resources trying to entice a large supermarket to locate to the neighborhood. By focusing on improving the conditions of the neighborhood and making smaller grocery stores and markets more affordable and produce more attractive to residents, the social, built, and economic stressors experienced by residents will be reduced, thereby possibly improving overall mental and physical health.</t>
  </si>
  <si>
    <t>Crowe, Jessica/0000-0003-2460-2578</t>
  </si>
  <si>
    <t>2413-8851</t>
  </si>
  <si>
    <t>10.3390/urbansci2020046</t>
  </si>
  <si>
    <t>WOS:000621630000018</t>
  </si>
  <si>
    <t>Jürgens, U</t>
  </si>
  <si>
    <t>Juergens, Ulrich</t>
  </si>
  <si>
    <t>'Real' versus 'mental' food deserts from the consumer perspective - concepts and quantitative methods applied to rural areas of Germany</t>
  </si>
  <si>
    <t>ERDE</t>
  </si>
  <si>
    <t>Developments in food retail in Germany have for decades tended to lead to ever larger retail units, the filling of these units with ever broader and deeper product ranges, and an increasingly oligopolistic market dominated by chain stores. However, as the large chain stores only choose the ` best possible' sites according to population density, absolute purchasing power and transport networks, there has been a dramatic thinning out of food-retail facilities in large, particularly rural areas. Has this made it possible to detect supply gaps or, more polemically expressed, food deserts? The term 'food deserts', in particular, has achieved a certain amount of acclaim in the Anglo-American context since the 2000s. However, the concept has neither been transferred to nor empirically verified for the German context. In this paper quantitative and qualitative methods are applied to investigate the situation in the rural regions of the most northerly state of Germany (Schleswig-Holstein), in order that food deserts no longer be understood only as 'real', tangible and bounded patterns arising from the thinning out of infrastructure but rather as cognitive, perceived patterns (mental food deserts). It is suggested that customer (groups) have long-term and varied shopping predispositions so that diverse groups no longer perceive the loss of supply options and actually create local supply gaps for others through their shopping behaviour. Cluster, discriminant and network analyses are used to complement an inventory of tangible retail facilities with 'lived' mental attitudes and shopping behaviour, distinctly broadening the present understanding of food deserts.</t>
  </si>
  <si>
    <t>Juergens, Ulrich/0000-0002-7704-2490</t>
  </si>
  <si>
    <t>0013-9998</t>
  </si>
  <si>
    <t>10.12854/erde-149-56</t>
  </si>
  <si>
    <t>WOS:000429838400003</t>
  </si>
  <si>
    <t>Liese, AD; Lamichhane, AP; Garzia, SCA; Puett, RC; Porter, DE; Dabelea, D; D'Agostino, RB; Standiford, D; Liu, L</t>
  </si>
  <si>
    <t>Liese, Angela D.; Lamichhane, Archana P.; Garzia, Sara C. A.; Puett, Robin C.; Porter, Dwayne E.; Dabelea, Dana; D'Agostino, Ralph B., Jr.; Standiford, Debra; Liu, Lenna</t>
  </si>
  <si>
    <t>Neighborhood characteristics, food deserts, rurality, and type 2 diabetes in youth: Findings from a case-control study</t>
  </si>
  <si>
    <t>Little is known about the influence of neighborhood characteristics on risk of type 2 diabetes (T2D) among youth. We used data from the SEARCH for Diabetes in Youth Case-Control Study to evaluate the association of neighborhood characteristics, including food desert status of the census tract, with T2D in youth. We found a larger proportion of T2D cases in tracts with lower population density, larger minority population, and lower levels of education, household income, housing value, and proportion of the population in a managerial position. However, most associations of T2D with neighborhood socioeconomic characteristics were attributable to differences in individual characteristics. Notably, in multivariate logistic regression models, T2D was associated with living in the least densely populated study areas, and this finding requires further exploration.</t>
  </si>
  <si>
    <t>, Puett/A-4449-2012; Dagostino Jr, Ralph/C-4060-2017</t>
  </si>
  <si>
    <t>Dagostino Jr, Ralph/0000-0002-3550-8395</t>
  </si>
  <si>
    <t>10.1016/j.healthplace.2018.01.004</t>
  </si>
  <si>
    <t>WOS:000426612000009</t>
  </si>
  <si>
    <t>Widener, MJ</t>
  </si>
  <si>
    <t>Widener, Michael J.</t>
  </si>
  <si>
    <t>Spatial access to food: Retiring the food desert metaphor</t>
  </si>
  <si>
    <t>The food desert metaphor has been widely used over the past few decades as a way to identify regions as being at risk for having little or no access to healthy food. While the simplicity of the metaphor is attractive, this article argues that its usefulness to researchers interested in understanding the relationship between the geography of healthy food opportunities and dietary behaviours is limited. More nuanced approaches to incorporating geography into food access studies, like including transportation, economic factors, and time use, in addition to considering other dimensions of accessibility, are warranted.</t>
  </si>
  <si>
    <t>SEP 1</t>
  </si>
  <si>
    <t>B</t>
  </si>
  <si>
    <t>10.1016/j.physbeh.2018.02.032</t>
  </si>
  <si>
    <t>WOS:000442703600016</t>
  </si>
  <si>
    <t>Wang, YL; Touboulic, A; O'Neill, M</t>
  </si>
  <si>
    <t>Wang, Yingli; Touboulic, Anne; O'Neill, Martin</t>
  </si>
  <si>
    <t>An exploration of solutions for improving access to affordable fresh food with disadvantaged Welsh communities</t>
  </si>
  <si>
    <t>EUROPEAN JOURNAL OF OPERATIONAL RESEARCH</t>
  </si>
  <si>
    <t>Our research is rooted in community operational research (community OR) and adopts a qualitative problem structuring approach to exploring potential solutions for addressing inequality in access to affordable healthy food in disadvantaged communities in Wales, UK. Existing food provisions are synthesised and barriers to their effectiveness are identified. A portfolio of actions and commitment packages is co-developed with multiple stakeholders in order to bring about desired changes. Although these solutions address concerns specific to local Welsh communities, they can be generalised and applied in similar settings where food desert problems prevail. We draw upon insights from the literature on inequality, food deserts, and social capital to conceptualise the solutions around both material (providing and accessing) and social (reconnecting and strengthening) aspects. By addressing both material and social aspects simultaneously, we show how community-driven intervention can contribute to reducing inequality in disadvantaged communities. Our research experience reveals that community OR is particularly effective in tackling a 'wicked' problem such as food deserts, and allows researchers to engage with communities, gain an understanding about the problematic situation and guide intervention efforts in a sustainable and systemic manner. A number of methodological reflections are offered as a way to contribute to the development of the field as a whole. (C) 2017 The Author(s). Published by Elsevier B.V.</t>
  </si>
  <si>
    <t>Touboulic, Anne/S-2456-2016</t>
  </si>
  <si>
    <t>Touboulic, Anne/0000-0001-8629-7199; Wang, Yingli/0000-0001-5630-9558</t>
  </si>
  <si>
    <t>0377-2217</t>
  </si>
  <si>
    <t>1872-6860</t>
  </si>
  <si>
    <t>10.1016/j.ejor.2017.11.065</t>
  </si>
  <si>
    <t>WOS:000431164000021</t>
  </si>
  <si>
    <t>Hanson, C; Schumacher, MV; Lyden, E; Su, DJ; Furtado, J; Cammack, R; Bereitschaft, B; Van Ormer, M; Needelman, H; McGinn, E; Rilett, K; Cave, C; Johnson, R; Weishaar, K; Anderson-Berry, A</t>
  </si>
  <si>
    <t>Hanson, Corrine; Schumacher, Marina Verdi; Lyden, Elizabeth; Su, Dejun; Furtado, Jeremy; Cammack, Rex; Bereitschaft, Bradley; Van Ormer, Matthew; Needelman, Howard; McGinn, Elizabeth; Rilett, Katherine; Cave, Caleb; Johnson, Rebecca; Weishaar, Kara; Anderson-Berry, Ann</t>
  </si>
  <si>
    <t>Fat-soluble vitamins A and E and health disparities in a cohort of pregnant women at delivery</t>
  </si>
  <si>
    <t>JOURNAL OF NUTRITIONAL SCIENCE</t>
  </si>
  <si>
    <t>The objective of the present study was to evaluate intakes and serum levels of vitamin A, vitamin E, and related compounds in a cohort of maternal-infant pairs in the Midwestern USA in relation to measures of health disparities. Concentrations of carotenoids and tocopherols in maternal serum were measured using HPLC and measures of socio-economic status, including food security and food desert residence, were obtained in 180 mothers upon admission to a Midwestern Academic Medical Center labour and delivery unit. The Kruskal-Wallis and independent-samples t tests were used to compare measures between groups; logistic regression models were used to adjust for relevant confounders. P &lt; 005 was considered statistically significant. The odds of vitamin A insufficiency/deficiency were 217 times higher for non-whites when compared with whites (95% CI 116, 405; P=001) after adjustment for relevant confounders. Similarly, the odds of being vitamin E deficient were 352 times higher for non-whites (95% CI 151, 810; P=0003). Those with public health insurance had lower serum lutein concentrations compared with those with private health insurance (P=005), and living in a food desert was associated with lower serum concentrations of -carotene (P=002), after adjustment for confounders. Subjects with low/marginal food security had higher serum levels of lutein and -cryptoxanthin compared with those with high food security (P=0004 and 002 for lutein and beta-cryptoxanthin). Diet quality may be a public health concern in economically disadvantaged populations of industrialised societies leading to nutritional disadvantages as well.</t>
  </si>
  <si>
    <t>Furtado, Jeremy/0000-0002-5258-1869; Hanson, Corrine/0000-0002-5118-591X; Bereitschaft, Bradley/0000-0003-0586-6914; Su, Dejun/0000-0002-7723-3262</t>
  </si>
  <si>
    <t>2048-6790</t>
  </si>
  <si>
    <t>APR 12</t>
  </si>
  <si>
    <t>e14</t>
  </si>
  <si>
    <t>10.1017/jns.2018.5</t>
  </si>
  <si>
    <t>WOS:000430015500001</t>
  </si>
  <si>
    <t>MacNell, L</t>
  </si>
  <si>
    <t>MacNell, Lillian</t>
  </si>
  <si>
    <t>A geo-ethnographic analysis of low-income rural and urban women's food shopping behaviors</t>
  </si>
  <si>
    <t>Many scholars have found evidence that low-income neighborhoods contain fewer supermarkets, but there is a lack of consensus regarding whether and how this matters to residents. A few qualitative studies have asked food desert residents about their experiences of their food environments, while a small number of other studies have utilized spatial analyses to examine actual shopping behaviors. To better understand barriers to food access, this study combines the two in a geo-ethnographic analysis. This study draws on data from a USDA-funded project about families and food to combine quantitative geographic data with qualitative interview data of 100 rural and urban low-income mothers of young children. For each participant, the nearest supermarket, as well most frequented supermarket, was mapped, and distances to stores were calculated. On average, participants traveled more than twice as far as their nearest supermarket to reach a preferred store. Interviews with participants were conducted to assess the motivations and strategies of shoppers, in particular why they chose to bypass their nearest supermarkets. They shared a variety of reasons for doing so; foremost to find lower prices of food in order to stretch income and SNAP benefits. Access to transportation also played a major role in determining where people shopped for food. This research challenges scholars, policymakers, and health practitioners to look beyond proximate food environments to consider the lived experiences of food desert residents. Efforts to address poor food access should aim to increase household income, in addition to providing targeted food and nutrition assistance.</t>
  </si>
  <si>
    <t>10.1016/j.appet.2018.05.147</t>
  </si>
  <si>
    <t>WOS:000441490000036</t>
  </si>
  <si>
    <t>Ross, A; Krishnan, N; Ruggiero, C; Kerrigan, D; Gittelsohn, J</t>
  </si>
  <si>
    <t>Ross, Alexandra; Krishnan, Nandita; Ruggiero, Cara; Kerrigan, Deanna; Gittelsohn, Joel</t>
  </si>
  <si>
    <t>A mixed methods assessment of the barriers and readiness for meeting the SNAP depth of stock requirements in Baltimore's small food stores</t>
  </si>
  <si>
    <t>We sought to understand Baltimore corner store owners' awareness of and readiness for the then-approved Supplemental Nutrition Assistance Program depth of stock requirements and assess potential barriers and solutions. In-depth interviews and stocking observations were conducted in 17 corner stores in low-income food deserts of Baltimore City. Corner store owners conveyed little to no awareness of the pending depth of stock changes. Only two stores were currently ready for the requirements. Low customer demand, high amounts of potential spoilage, and unfair pricing at the wholesaler were identified by store owners as barriers to stocking required foods.</t>
  </si>
  <si>
    <t>Krishnan, Nandita/0000-0003-4957-2061; Ruggiero, Cara/0000-0001-6498-991X</t>
  </si>
  <si>
    <t>10.1080/03670244.2017.1416362</t>
  </si>
  <si>
    <t>WOS:000425388700003</t>
  </si>
  <si>
    <t>Gary-Webb, TL; Bear, TM; Mendez, DD; Schiff, MD; Keenan, E; Fabio, A</t>
  </si>
  <si>
    <t>Gary-Webb, Tiffany L.; Bear, Todd M.; Mendez, Dara D.; Schiff, Mary D.; Keenan, Ehrrin; Fabio, Anthony</t>
  </si>
  <si>
    <t>Evaluation of a Mobile Farmer's Market Aimed at Increasing Fruit and Vegetable Consumption in Food Deserts: A Pilot Study to Determine Evaluation Feasibility</t>
  </si>
  <si>
    <t>HEALTH EQUITY</t>
  </si>
  <si>
    <t>Purpose: In November 2015, Greater Pittsburgh Community Food Bank implemented a pilot phase of the Green Grocer mobile market, a program aimed at improving access to locally sourced fresh foods in low-resource neighborhoods. We conducted an evaluation of this pilot phase. Methods: We conducted baseline surveys of residents in six neighborhoods that received Green Grocer in the pilot phase to understand the food environment, including perceptions of fresh food availability, and another survey of Green Grocer consumers to evaluate their experiences and satisfaction. We measured respondent intake of fruit and vegetable in the terms of days per week and servings per day. We used Poisson regression with cluster-robust standard errors to model the average change in produce consumption pre-post intervention. Results: Residents of select communities observed meaningful improvements in intake. After covariate adjustment, Homewood residents observed an average 13% increase in vegetable intake (days/week) rates post-Green Grocer (p=0.04). Clairton residents also showed marked increases, with an average 20% increase in vegetable intake (servings/day) (p=0.049). After 6 months, declines in produce purchase from discount stores and supercenters were observed alongside increases in procurement from Green Grocer, farmer's markets, gardens, and other sources. Conclusion: Our preliminary work provides support that this mobile market serving under-resourced areas was valued by consumers and showed increases in vegetable consumption in several neighborhoods. When scaled-up, this program had the potential to reduce geographically-based food and health disparities.</t>
  </si>
  <si>
    <t>Fabio, Anthony/0000-0002-6808-4939; Bear, Todd/0000-0001-5252-6926; Schiff, Mary/0000-0002-7702-6677; Gary-Webb, Tiffany/0000-0001-9843-1084</t>
  </si>
  <si>
    <t>2473-1242</t>
  </si>
  <si>
    <t>10.1089/heq.2018.0003</t>
  </si>
  <si>
    <t>WOS:000617436500051</t>
  </si>
  <si>
    <t>Schwartz, G; Grindal, T; Wilde, P; Klerman, J; Bartlett, S</t>
  </si>
  <si>
    <t>Schwartz, Gabriel; Grindal, Todd; Wilde, Parke; Klerman, Jacob; Bartlett, Susan</t>
  </si>
  <si>
    <t>Supermarket Shopping and The Food Retail Environment among SNAP Participants</t>
  </si>
  <si>
    <t>Much of the research on food deserts has focused on the relationship between the food retail environment and nutrition and health outcomes. Intermediary differences in food shopping patterns are often implicitly assumed to drive these relationships (environment hypothetically affects shopping, which hypothetically affects consumption). Research is limited, though, on whether these food shopping discrepancies exist. This article investigates whether a number of food shopping outcomes and the food retail environment are in fact associated and in which kinds of neighborhoods, using the Electronic Benefit Transfer (EBT) records of over 40 000 households receiving Supplemental Nutrition Assistance Program (SNAP) benefits in western Massachusetts. In some, though not all, food retail environments, we find a small but statistically significant negative association between continuous distance and both the percentage of SNAP redemptions spent at supermarkets and the number of benefit-spending trips taken to supermarkets. Nonetheless, SNAP households located in neighborhoods with what would be considered poor access to supermarkets still spent, on average, more than 75% of their redemptions at these retailers, only 5 percentage points lower than households located one block from a supermarket. These results suggest that SNAP participants' inability to reach healthy food retailers is at most a minor driver of geographic disparities in nutrition and health outcomes.</t>
  </si>
  <si>
    <t>Grindal, Todd/AAS-8481-2020; Wilde, Parke/B-6011-2009</t>
  </si>
  <si>
    <t>Schwartz, Gabriel/0000-0001-8299-1407; Wilde, Parke/0000-0002-9596-9230</t>
  </si>
  <si>
    <t>10.1080/19320248.2017.1315324</t>
  </si>
  <si>
    <t>WOS:000437182000002</t>
  </si>
  <si>
    <t>Hammelman, C</t>
  </si>
  <si>
    <t>Hammelman, Colleen</t>
  </si>
  <si>
    <t>Investigating connectivity in the urban food landscapes of migrant women facing food insecurity in Washington, DC</t>
  </si>
  <si>
    <t>The survival strategies of migrant women living in urban poverty are embedded in urban food landscapes ('foodscapes') characterized by dynamic social relationships and mobility. Relying on interviews with 31 migrant women in Washington, DC, this paper traces the socio-spatial conditions of their urban foodscapes to show that urban environments inhabited by low-income migrants are dynamic, stretching across multiple neighborhoods as they move throughout the city with social networks to obtain affordable, quality, and culturally appropriate food. Investigating these foodscapes demonstrates the relational nature of food provisioning strategies thus providing a critique of simplistic explanations of hunger that treat food insecure residents as static, ignorant, and individual economic actors. These explanations risk producing equally simplistic and inefficient approaches to addressing food insecurity such as increasing mainstream consumption opportunities in so-called food deserts or focusing on nutrition education and individual choice without considering residents' dynamic urban experiences. As a result, this paper argues that programmatic responses to insecure urban foodscapes should be developed that foster social and physical connectivity while better addressing structural causes of hunger.</t>
  </si>
  <si>
    <t>10.1016/j.healthplace.2018.01.003</t>
  </si>
  <si>
    <t>WOS:000426612000010</t>
  </si>
  <si>
    <t>Frayne, B; McCordic, C</t>
  </si>
  <si>
    <t>Frayne, Bruce; McCordic, Cameron</t>
  </si>
  <si>
    <t>Food Swamps and Poor Dietary Diversity: Longwave Development Implications in Southern African Cities</t>
  </si>
  <si>
    <t>SUSTAINABILITY</t>
  </si>
  <si>
    <t>While the literature on food deserts focuses on limited availability of food in urban settings, food swamps' may better characterize the extensive prevalence and accessibility of cheap, highly processed foods. For urban populations, access to nutritionally inadequate poor-quality food has dire developmental consequences. The long-wave impacts of malnutrition at gestational and early childhood stages are negative and can be non-reversible. Moreover, those who survive into adulthood may face a lifetime of sub-optimal physical and mental development that undermines the second and third UN Sustainable Development Goalsto end hunger and to ensure healthy lives. This paper assesses the long-term health vulnerability of children with limited access to adequate and nutritious food in rapidly urbanizing cities. The analysis focuses on the African Urban Food Security Network (AFSUN) data drawn from 6453 household surveys in 11 cities and nine countries in Southern Africa. The results indicate that children in these households are consuming a limited diversity of food, have limited access to resources and have greater odds of experiencing both short-term and long-term food and nutrition insecurity. These findings demonstrate an underlying vulnerability to long-term health impacts stemming from nutritionally inadequate diets, with potentially significant costs to human capital.</t>
  </si>
  <si>
    <t>Frayne, Bruce/0000-0002-9942-801X</t>
  </si>
  <si>
    <t>2071-1050</t>
  </si>
  <si>
    <t>10.3390/su10124425</t>
  </si>
  <si>
    <t>WOS:000455338100091</t>
  </si>
  <si>
    <t>Major, E; Delmelle, E; Delmelle, E</t>
  </si>
  <si>
    <t>Major, Elizabeth; Delmelle, Elizabeth; Delmelle, Eric</t>
  </si>
  <si>
    <t>SNAPScapes: Using Geodemographic Segmentation to Classify the Food Access Landscape</t>
  </si>
  <si>
    <t>Scholars are in agreement that the local food environment is shaped by a multitude of factors from socioeconomic characteristics to transportation options, as well as the availability and distance to various food establishments. Despite this, most place-based indicators of food deserts, including those identified as so by the US Department of Agriculture (USDA), only include a limited number of factors in their designation. In this article, we adopt a geodemographic approach to classifying the food access landscape that takes a multivariate approach to describing the food access landscape. Our method combines socioeconomic indicators, distance measurements to Supplemental Nutrition Assistance Program (SNAP) participating stores, and neighborhood walkability using a k-means clustering approach and North Carolina as a case study. We identified seven distinct food access types: three rural and four urban. These classes were subsequently prioritized based on their defining characteristics and specific policy recommendations were identified. Overall, compared to the USDA's food desert calculation, our approach identified a broader swath of high-needs areas and highlights neighborhoods that may be overlooked for intervention when using simple distance-based methods.</t>
  </si>
  <si>
    <t>Delmelle, Eric/0000-0002-5117-2238</t>
  </si>
  <si>
    <t>10.3390/urbansci2030071</t>
  </si>
  <si>
    <t>WOS:000621632500021</t>
  </si>
  <si>
    <t>Abel, KC; Faust, KM</t>
  </si>
  <si>
    <t>Wang, C; Harper, C; Lee, Y; Harris, R; Berryman, C</t>
  </si>
  <si>
    <t>Abel, Kelsey C.; Faust, Kasey M.</t>
  </si>
  <si>
    <t>Modeling Food Desert Disruptors: Impact of Public Transit Systems on Food Access</t>
  </si>
  <si>
    <t>CONSTRUCTION RESEARCH CONGRESS 2018: INFRASTRUCTURE AND FACILITY MANAGEMENT</t>
  </si>
  <si>
    <t>APR 02-04, 2018</t>
  </si>
  <si>
    <t>Louisiana State Univ, Bert S Turner Dept Construct Management, New Orleans, LA</t>
  </si>
  <si>
    <t>Amer Soc Civil Engineers, Construct Inst, Construct Res Council,Amer Soc Civil Engineers,Amer Soc Civil Engineers, Construct Inst</t>
  </si>
  <si>
    <t>Louisiana State Univ, Bert S Turner Dept Construct Management</t>
  </si>
  <si>
    <t>Nearly 23.5 million people across the U.S. live in food deserts (FDs), or regions in which residents lack access to healthy, affordable food. Food access depends in part on individual and aggregate mobility within the FD. Therefore, the amount of people with access to healthy foods depends on the number of private vehicles per household, the walk ability of the region, and available public transit options. This study aims to assess how expanding public transit options affects food access, measured by the percentage of people lacking access to food. Object-oriented programming combining agent based modeling, discrete event simulation, and GIS is used to model and simulate FDs. A FD in Austin, Texas, with approximately 6,500 residents and a median annual income of similar to$ 32,000 is used as a case study to demonstrate this methodology. Previous research that validated the modeling framework in this case study region justifiably treated public transit as extensive to the system. However, expanding the functionality of the model to include public transit options will allow for the impact of public transit to be evaluated in this and other FD regions. Data from publically available sources are used to establish the existing conditions within the selected FD, including resident demographics (e.g., employment rate, car ownership), resident behaviors (e.g., method of transportation for grocery trips), walking paths, spatial distribution of bus routes, and the frequency at which buses move through the system. Public transit systems were found to have significant impacts on the number of people who must walk to the store as a last resort, effectively improving food access within the case study region by up to 23%. This result demonstrates the importance of considering public transit systems in FD models, and the interconnections that exist between the built environment and food system networks.</t>
  </si>
  <si>
    <t>Faust, Kasey/AAT-2629-2021</t>
  </si>
  <si>
    <t>Faust, Kasey/0000-0001-7986-4757</t>
  </si>
  <si>
    <t>978-0-7844-8129-5</t>
  </si>
  <si>
    <t>WOS:000432426900037</t>
  </si>
  <si>
    <t>Sanches, LD; Lopes, RF; Melzer, MRTF; de Oliveira, MA; Martins, PA</t>
  </si>
  <si>
    <t>Sanches, Lucas Daniel; Lopes, Renata Fagundes; Theodosio Fernandes Melzer, Matheus Ribeiro; de Oliveira, Maria Aparecida; Martins, Paula Andrea</t>
  </si>
  <si>
    <t>Development and validity of an instrument to evaluate the impact of an intervention in food stores at an urban food desert</t>
  </si>
  <si>
    <t>GEOGRAFARES</t>
  </si>
  <si>
    <t>The objective was to develop and validate a culturally appropriate instrument to evaluate the impact of a pilot intervention program in the food environment to promote healthy eating in small food stores in an urban food desert. A formative research was carried out for the validation of the instrument, including meetings of researchers, visits to all the streets in the study's region to identify food stores, visits to food distribution system agents, community workshops with the local community and in-depth interviews with food store owners for content and apparent validity. Instrument reliability was tested by Cronbach alpha coefficient. The development of the instrument included questions to evaluate the Identification and Characterization of Store; Marketing Parameters (i.e. influencers for induding new food itens and frequency of product acquisition and profitability); and Psychosocial Factors Scale (i.e. expectations regarding healthy food sales, expectations regarding impact of intervention, and self-efficacy in relation to the marketing of healthy foods). Validation process allowed a review of all questions and questions' responses, with Cronbach alpha between 0.440 to 0.967 in the final instrument questions. It can be concluded that the instrument was developed to identify relevant characteristics of the food distribution system and can be used in epidemiological studies and public policies to evaluate increase access to healthy foods.</t>
  </si>
  <si>
    <t>SANCHES, LUCAS/D-7985-2016; Oliveira, Maria/HNP-2661-2023; Martins, Paula/E-7161-2011</t>
  </si>
  <si>
    <t>, Lucas Daniel Sanches/0000-0003-0758-9631; De Oliveira, Maria Aparecida/0000-0001-5717-9118; Martins, Paula/0000-0002-3857-1656</t>
  </si>
  <si>
    <t>2175-3709</t>
  </si>
  <si>
    <t>JAN-JUN</t>
  </si>
  <si>
    <t>WOS:000436784700019</t>
  </si>
  <si>
    <t>Berkowitz, SA; Karter, AJ; Corbie-Smith, G; Seligman, HK; Ackroyd, SA; Barnard, LS; Atlas, SJ; Wexler, DJ</t>
  </si>
  <si>
    <t>Berkowitz, Seth A.; Karter, Andrew J.; Corbie-Smith, Giselle; Seligman, Hilary K.; Ackroyd, Sarah A.; Barnard, Lily S.; Atlas, Steven J.; Wexler, Deborah J.</t>
  </si>
  <si>
    <t>Food Insecurity, Food Deserts, and Glycemic Control in Patients With Diabetes: A Longitudinal Analysis</t>
  </si>
  <si>
    <t>OBJECTIVE Both food insecurity (limited food access owing to cost) and living in areas with low physical access to nutritious foods are public health concerns, but their relative contribution to diabetes management is poorly understood. RESEARCH DESIGN AND METHODS This was a prospective cohort study. A random sample of patients with diabetes in a primary care network completed food insecurity assessment in 2013. Low physical food access at the census tract level was defined as no supermarket within 1 mile in urban areas and 10 miles in rural areas. HbA(1c) measurements were obtained from electronic health records through November 2016. The relationship among food insecurity, low physical food access, and glycemic control (as defined by HbA(1c)) was analyzed using hierarchical linear mixed models. RESULTS Three hundred and ninety-one participants were followed for a mean of 37 months. Twenty percent of respondents reported food insecurity, and 31% resided in an area of low physical food access. In adjusted models, food insecurity was associated with higher HbA(1c)(difference of 0.6%[6.6mmol/mol], 95% CI 0.4-0.8[4.4-8.7], P &lt; 0.0001), which did not improve over time (P = 0.50). Living in an area with low physical food access was not associated with a difference in HbA(1c) (difference 0.2%[2.2mmol/mol], 95% CI-20.2 to 0.5 [-22.2 to 5.6], P = 0.33) or with change over time (P = 0.07). CONCLUSIONS Food insecurity is associated with higher HbA(1c), but living in an area with low physical food access is not. Food insecurity screening and interventions may help improve glycemic control for vulnerable patients.</t>
  </si>
  <si>
    <t>Wexler, Deborah/AAE-4205-2019</t>
  </si>
  <si>
    <t>1935-5548</t>
  </si>
  <si>
    <t>10.2337/dc17-1981</t>
  </si>
  <si>
    <t>WOS:000432673000024</t>
  </si>
  <si>
    <t>Coughenour, C; Bungum, TJ; Regalado, MN</t>
  </si>
  <si>
    <t>Coughenour, Courtney; Bungum, Timothy J.; Regalado, M. Nikki</t>
  </si>
  <si>
    <t>Healthy Food Options at Dollar Discount Stores Are Equivalent in Quality and Lower in Price Compared to Grocery Stores: An Examination in Las Vegas, NV</t>
  </si>
  <si>
    <t>Food deserts indicate limited access to and affordability of healthy foods. One potential mediator is the availability of healthy food in non-traditional outlets such as dollar-discount stores, stores selling produce at the fixed $1 price. The purpose of this study was to compare availability, quality, price differences in healthier' versus regular' food choices, price per each food item, and summary score in dollar-discount stores to grocery stores in Las Vegas using the NEMS-S; a protocol consisting of three subscoresavailability, quality, price of healthier versus regular food, and a summary score. A 25% sample of grocery stores (n = 40) and all dollar-discount stores (n = 14) were evaluated. t-tests showed that dollar-discount stores were less likely to price healthy options lower than their unhealthy alternatives (mean (M) = 1.0 vs. M = 2.5; p &lt; 0.001) and had reduced availability (M = 20.50 vs. M = 23.80; p &lt; 0.001) compared to grocery stores. The quality of produce did not differ (M = 5.93 vs. M = 6.00; p = 0.34). Price comparisons revealed that 84.2% of produce and 89.5% of other food items were significantly less expensive at the dollar-discount stores, with only two items being more expensive. While dollar-discount stores did have lower availability, they provided quality fresh and healthy foods which were usually less expensive. Findings indicate that dollar discount stores may be an existing community asset, and considering them as such may aid in efforts to strengthen the overall food system. Practitioners should consider dollar discount stores when assessing the community food environment and designing and implementing outreach programs, as they may bridge some disparities in access.</t>
  </si>
  <si>
    <t>Coughenour, Courtney/AAZ-7892-2021</t>
  </si>
  <si>
    <t>Coughenour, Courtney/0000-0001-6979-4660</t>
  </si>
  <si>
    <t>10.3390/ijerph15122773</t>
  </si>
  <si>
    <t>WOS:000456527000164</t>
  </si>
  <si>
    <t>Larimore, S</t>
  </si>
  <si>
    <t>Larimore, Savannah</t>
  </si>
  <si>
    <t>Cultural Boundaries to Access in Farmers Markets Accepting Supplemental Nutrition Assistance Program (SNAP)</t>
  </si>
  <si>
    <t>QUALITATIVE SOCIOLOGY</t>
  </si>
  <si>
    <t>The alternative food movement aims to alleviate racial and class inequalities in the conventional American food system by providing economically and socially sustainable markets that invigorate communities while providing access to environmentally safe, nutritious foods. While activists and organizers reach towards this ideal, many alternative food markets fall short, creating additional cultural barriers to food access that restrict participation among marginalized groups. Through ethnographic methods including participant observation and formal, semi-structured interviews, I examine the process through which these cultural barriers are created and persist in two urban farmers markets; both markets are located in or in very close proximity to food deserts and accept Supplemental Nutrition Assistance Program (SNAP; formerly known as food stamps). I find that one field site has been successful in integrating low-income, minority consumers into the market economy, while the other field site has not. I identify three salient narratives-norms of market participation, the concept of community, and perceptions of low-income consumers-that differ in content across markets. In addition, based on interviews and field notes, I describe the alternative food system experiences of low-income, racial minority consumers who reside in food deserts and or receive SNAP. I build on previous theories of cultural distinction and boundary maintenance in alternative food systems and offer several implications based on these findings.</t>
  </si>
  <si>
    <t>0162-0436</t>
  </si>
  <si>
    <t>1573-7837</t>
  </si>
  <si>
    <t>10.1007/s11133-017-9370-y</t>
  </si>
  <si>
    <t>WOS:000424683500004</t>
  </si>
  <si>
    <t>Banner, GC; Weaver, KN; Rushovich, T; York, SL; Yee, LM</t>
  </si>
  <si>
    <t>Banner, Grace C.; Weaver, Kingsley N.; Rushovich, Tamara; York, Sloane L.; Yee, Lynn M.</t>
  </si>
  <si>
    <t>Association between food deserts and gestational diabetes mellitus</t>
  </si>
  <si>
    <t>AMERICAN JOURNAL OF OBSTETRICS AND GYNECOLOGY</t>
  </si>
  <si>
    <t>JAN 29-FEB 03, 2018</t>
  </si>
  <si>
    <t>Soc Maternal Fetal Med</t>
  </si>
  <si>
    <t>0002-9378</t>
  </si>
  <si>
    <t>1097-6868</t>
  </si>
  <si>
    <t>S557</t>
  </si>
  <si>
    <t>S558</t>
  </si>
  <si>
    <t>10.1016/j.ajog.2017.11.428</t>
  </si>
  <si>
    <t>WOS:000423616600440</t>
  </si>
  <si>
    <t>Parisi, SM; Bodnar, LM; Dubowitz, T</t>
  </si>
  <si>
    <t>Parisi, Sara M.; Bodnar, Lisa M.; Dubowitz, Tamara</t>
  </si>
  <si>
    <t>Weight resilience and fruit and vegetable intake among African-American women in an obesogenic environment</t>
  </si>
  <si>
    <t>Objective: To investigate relationships between weight resilience (maintaining a normal weight in a food desert environment) and fruit and vegetable (F&amp;V) intake, attitudes and barriers. Design: Cross-sectional, in-person surveys collected May-December 2011, including self-reported data on F&amp;V-related psychosocial factors, attitudes and barriers. Two 24h dietary recalls were completed; weight and height were measured. Multivariable regression models estimated prevalence ratios (95% CI). Setting: Two low-income, predominantly African-American food deserts in Pittsburgh, Pennsylvania, USA. Subjects: Women aged 18-49 years (n 279) who were the primary food shopper in a household randomly selected for a parent study. Results: Fifteen per cent were weight resilient, 30% were overweight and 55% were obese. Overall, 25% repotted eating &gt;= 5 F&amp;V servings/d. After adjustment for age, education, parity, employment, living alone, physical activity, per capita income and mean daily energy intake, women eating &gt;= 5 F&amp;V servings/d were 94% more likely to be weight resilient compared with those eating &lt; 5 servings/d (1.94; 1.10, 3.43). Across BMI groups, self-efficacy regarding F&amp;V consumption was high and few F&amp;V barriers were reported. The most frequently reported barrier was concern about the cost of F&amp;V (36%). Of the attitudinal F&amp;V-related factors, only concern about wasting food when serving F&amp;V was associated with weight resilience in adjusted models (0.29; 0.09, 0.94). In a model predicting consuming &gt;= 5 F&amp;V servings/d, driving one's own car to the store was the only attitudinal F&amp;V-related factor associated with consumption (1.50; 1.00, 2.24). Conclusions: In this population, weight resilience may be encouraged by improving access to affordable and convenient F&amp;V options and providing education on ways to make them palatable to the entire household, rather than by shifting women's F&amp;V perceptions, which are already positive.</t>
  </si>
  <si>
    <t>Bodnar, Lisa/W-3978-2019</t>
  </si>
  <si>
    <t>Bodnar, Lisa M/0000-0001-9427-5467</t>
  </si>
  <si>
    <t>10.1017/S1368980017002488</t>
  </si>
  <si>
    <t>WOS:000438385300016</t>
  </si>
  <si>
    <t>Braightmeyer, K; Beausang, J</t>
  </si>
  <si>
    <t>Braightmeyer, Kelli; Beausang, Jasjit</t>
  </si>
  <si>
    <t>Food Deserts and Gestational Weight Gain: An Urban Problem?</t>
  </si>
  <si>
    <t>OBSTETRICS AND GYNECOLOGY</t>
  </si>
  <si>
    <t>APR 27-30, 2018</t>
  </si>
  <si>
    <t>Austin, TX</t>
  </si>
  <si>
    <t>Amer Coll Obstetricians &amp; Gynecologists</t>
  </si>
  <si>
    <t>0029-7844</t>
  </si>
  <si>
    <t>24R</t>
  </si>
  <si>
    <t>201S</t>
  </si>
  <si>
    <t>10.1097/01.AOG.0000533274.03842.19</t>
  </si>
  <si>
    <t>WOS:000442482900704</t>
  </si>
  <si>
    <t>Furness, WW; Gallaher, CM</t>
  </si>
  <si>
    <t>Furness, Walter W.; Gallaher, Courtney M.</t>
  </si>
  <si>
    <t>Food access, food security and community gardens in Rockford, IL</t>
  </si>
  <si>
    <t>LOCAL ENVIRONMENT</t>
  </si>
  <si>
    <t>Urban agriculture projects seek to ameliorate issues of food access and food security for people living in areas with low access to fresh foods, including food deserts. Within this discourse, community gardens have been promoted as vehicles to reclaim unused urban space, produce food locally and connect populations to their food sources and larger community. A variety of community garden models exist; in the Midwestern city of Rockford, Illinois, many community gardens grow food for donation to food pantries as part of a programme to benefit socioeconomically disadvantaged persons in the city. However, the ability of these gardens to involve neighbourhood participants and provide the social capital-related benefits attributed to community gardens in the literature is uncertain. Here we examine community gardens in Rockford, IL to assess the extent to which they contribute to residents' ability to obtain fresh produce as well as other social benefits. Data for this project come from a combination of interviews with gardeners, focus groups with food pantry users and a survey of pantry users. We find that while non-gardening community members are benefitting from the increased produce that the gardens provide, they are not receiving all of the social and communal benefits associated with actively participating in a garden.</t>
  </si>
  <si>
    <t>Furness, Walter/AAB-4379-2019</t>
  </si>
  <si>
    <t>Furness, Walter/0000-0003-3266-8438</t>
  </si>
  <si>
    <t>1354-9839</t>
  </si>
  <si>
    <t>1469-6711</t>
  </si>
  <si>
    <t>10.1080/13549839.2018.1426561</t>
  </si>
  <si>
    <t>WOS:000431185400003</t>
  </si>
  <si>
    <t>Ma, XN; Sharpe, PA; Bell, BA; Liu, JH; White, K; Liese, AD</t>
  </si>
  <si>
    <t>Ma, Xiaonan; Sharpe, Patricia A.; Bell, Bethany A.; Liu, Jihong; White, Kellee; Liese, Angela D.</t>
  </si>
  <si>
    <t>Food Acquisition and Shopping Patterns among Residents of Low-Income and Low-Access Communities in South Carolina</t>
  </si>
  <si>
    <t>Background Little is known about the food acquisition and shopping habits of residents living in food deserts. Objective To identify distinct food acquisition and shopping patterns among residents, most of whom (81%) live in food desert (low income and low access) census tracts, and characterize these patterns with respect to the residents' socioeconomic status, nutrition knowledge, and perceptions of their food environment. Design This is a cross-sectional study. Participants/setting Four hundred sixty-six primary food shoppers were included from two counties in South Carolina during 2013-2014. Main outcome measures Participants' self-reported food acquisition and shopping habits, including shopping distance; frequency; store type; transportation mode; use of farmers' markets, food banks/pantries, and church/social service organizations, were used to develop shopping patterns and group residents. Supplemental Nutrition Assistance Program participation, food security, income, and education, nutrition knowledge, and perceptions of the food environment were used to characterize these groups. Statistical analyses performed Latent class analysis and multinomial logistic regression were used to identify and characterize patterns, respectively. Results Three patterns were identified, including those who use community food resources, are infrequent grocery shoppers, and use someone else's car or public transportation when shopping (Class 1) (35%), those who use community food resources and are more frequent and proximal shoppers (Class 2) (41%), and those who do not use community food resources and are distal shoppers (Class 3) (24%). Compared with Class 3, Class 1 had comparatively lower socioeconomic status. Class 2 also had comparatively lower socioeconomic attributes except for income. Class 2 was not significantly different from Class 1 except that a higher proportion in Class 1 saw food access as a problem. No significant differences across classes were found regarding fruit and vegetable recommendation knowledge. Conclusions Shopping frequency, use of community food resources, transportation methods, and shopping distance were the key factors that defined distinct patterns among residents living in low-income areas. Future interventions to increase healthy food access in underserved areas should not only consider accessibility but also community food resource use.</t>
  </si>
  <si>
    <t>10.1016/j.jand.2018.04.017</t>
  </si>
  <si>
    <t>WOS:000445432100005</t>
  </si>
  <si>
    <t>Garcia, MT; Sato, PM; Trude, ACB; Eckmann, T; Steeves, ETA; Hurley, KM; Bógus, CM; Gittelsohn, J</t>
  </si>
  <si>
    <t>Garcia, Mariana T.; Sato, Priscila M.; Trude, Angela C. B.; Eckmann, Thomas; Steeves, Elizabeth T. Anderson; Hurley, Kristen M.; Bogus, Claudia M.; Gittelsohn, Joel</t>
  </si>
  <si>
    <t>Factors Associated with Home Meal Preparation and Fast-Food Sources Use among Low-Income Urban African American Adults</t>
  </si>
  <si>
    <t>This study aimed to assess the factors associated with home meal preparation (HMP) and fast-food sources use (FFS) frequencies of low-income African-American adults and their healthy food beliefs and attitudes, food-related psychosocial factors, food acquisition patterns, food sources use, and BMI. We used cross-sectional data from 295 adults living in Baltimore, USA. HMP was inversely associated with FFS, which had lower odds of HMP &gt;= 1 time/day and higher BMI scores. HMP was positively associated with positive beliefs and self-efficacy toward healthy foods, getting food from healthier food sources, and lower FFS. Higher odds of HMP &gt;= 1 time/day were associated with getting food from farmers' market and supermarkets or grocery stores. FFS had an inverse association with positive beliefs and self-efficacy toward healthy foods, and a positive association with less healthy food acquisition scores. Higher odds of FFS &gt;= 1 time/week were associated with getting food from corner stores, sit-down restaurants, and convenience stores.</t>
  </si>
  <si>
    <t>Tarricone Garcia, Mariana/A-9027-2013; Bogus, Claudia Maria/G-9404-2015; Sato, Priscila/H-1307-2016</t>
  </si>
  <si>
    <t>Tarricone Garcia, Mariana/0000-0001-5124-8936; Bogus, Claudia Maria/0000-0003-0925-2741; Sato, Priscila/0000-0001-9850-6859; TRUDE, ANGELA/0000-0002-2881-1089</t>
  </si>
  <si>
    <t>10.1080/03670244.2017.1406853</t>
  </si>
  <si>
    <t>WOS:000427206500003</t>
  </si>
  <si>
    <t>Cueva, K; Lovato, V; Nieto, T; Neault, N; Barlow, A; Speakman, K</t>
  </si>
  <si>
    <t>Cueva, Katie; Lovato, Ventura; Nieto, Travis; Neault, Nicole; Barlow, Allison; Speakman, Kristen</t>
  </si>
  <si>
    <t>Increasing Healthy Food Availability, Purchasing, and Consumption: Lessons Learned from Implementing a Mobile Grocery</t>
  </si>
  <si>
    <t>PROGRESS IN COMMUNITY HEALTH PARTNERSHIPS-RESEARCH EDUCATION AND ACTION</t>
  </si>
  <si>
    <t>Background: A mobile grocery (MoGro) was developed through a partnership with community stakeholders, community advisory boards (CABs), Rick and Beth Schnieders, and the Johns Hopkins Center for American Indian Health (JHCAIH). MoGro provided access to subsidized healthy foods, with complementary events, including fitness activities and cooking classes. Objectives: MoGro is an innovative approach to promoting food security. Methods: Within a community-based participatory action research (CPBAR) framework, the JHCAIH and partners designed and administered household surveys at baseline and 3 months after MoGro's launch. A randomly selected 20% of households participated at each timepoint. Results: About 75% of respondents indicated that MoGro had changed the foods they purchased, and 68% reported that MoGro had changed how their families ate. After MoGro's launch, food availability increased significantly and food insecurity decreased. Conclusions: The evaluation documented MoGro's impact in the community; high self-reported positive changes, significant increases in food availability, and decreases in food insecurity.</t>
  </si>
  <si>
    <t>Cueva, Katie/0000-0002-8013-9680</t>
  </si>
  <si>
    <t>1557-0541</t>
  </si>
  <si>
    <t>1557-055X</t>
  </si>
  <si>
    <t>10.1353/cpr.2018.0007</t>
  </si>
  <si>
    <t>WOS:000428790900008</t>
  </si>
  <si>
    <t>De Velde, NV; Gordon, JC; Detti, L; Khanna, P; Christiansen, M; Roman, R; Peregrin-Alvarez, I</t>
  </si>
  <si>
    <t>De Velde, N. Van; Gordon, J. C.; Detti, L.; Khanna, P.; Christiansen, M.; Roman, R.; Peregrin-Alvarez, I.</t>
  </si>
  <si>
    <t>RECURRENT PREGNANCY LOSS IN FOOD DESERTS IN THE MID-SOUTH USING GEOGRAPHIC INFORMATION SYSTEM ANALYSIS.</t>
  </si>
  <si>
    <t>FERTILITY AND STERILITY</t>
  </si>
  <si>
    <t>OCT 06-10, 2018</t>
  </si>
  <si>
    <t>Denver, CO</t>
  </si>
  <si>
    <t>Amer Soc Reprod Med</t>
  </si>
  <si>
    <t>0015-0282</t>
  </si>
  <si>
    <t>1556-5653</t>
  </si>
  <si>
    <t>O-224</t>
  </si>
  <si>
    <t>E94</t>
  </si>
  <si>
    <t>E95</t>
  </si>
  <si>
    <t>WOS:000448713600225</t>
  </si>
  <si>
    <t>Brazil</t>
  </si>
  <si>
    <t>Borges, CA; Cabral-Miranda, W; Jaime, PC</t>
  </si>
  <si>
    <t>Borges, Camila Aparecida; Cabral-Miranda, William; Jaime, Patricia Constante</t>
  </si>
  <si>
    <t>Urban Food Sources and the Challenges of Food Availability According to the Brazilian Dietary Guidelines Recommendations</t>
  </si>
  <si>
    <t>The study investigated availability and food sources in urban areas using elements of the NOVA food classification system, adopted by the Brazilian Dietary Guidelines, in a Brazilian municipality. In addition, the study also aimed to identify inequalities in the geographical distribution of food retailers that commercialize healthy and/or unhealthy foods. This cross-sectional study was performed in the municipality of Jundiai in the State of SAo Paulo, Brazil. Data from within-store audit and geographic data were used to characterizing the nutrition community environment. The mean was calculated for food items available in each of the four NOVA groups for each audited food retailer. The mean of food items available in each of the four NOVA groups for each audited food retail were calculated. The density and proportion of different types of food retailers were georeferenced. The supermarkets, medium market stores, and grocery stores presented the highest availability of unprocessed foods as well as ultra-processed foods. Establishments that sold primarily unprocessed foods and included a fruits and vegetables section at the entrance of the store had a greater availability of healthy foods, but their density in the territory was low compared to establishments that prioritized the sale of ultra-processed foods and sold ultra-processed foods in the checkout area. Especially in middle- and low-income areas, the concentration of food retailers with priority sale of ultra-processed products is reaches 22 times higher than the sale of unprocessed or minimally processed foods. The study supported the identification of regions where it was necessary to improve access to equipment that marketed unprocessed foods as a priority.</t>
  </si>
  <si>
    <t>Cabral-Miranda, William/GQP-7003-2022; Borges, Camila/J-2027-2016; Jaime, Patricia/C-3614-2013</t>
  </si>
  <si>
    <t>Borges, Camila/0000-0002-1743-2315; Jaime, Patricia/0000-0003-2291-8536</t>
  </si>
  <si>
    <t>10.3390/su10124643</t>
  </si>
  <si>
    <t>WOS:000455338100309</t>
  </si>
  <si>
    <t>Gordon, JC; Blackburn, P; Watson, CH; Ulm, MA; Daily, LR; ElNaggar, AC; Tillmanns, T</t>
  </si>
  <si>
    <t>Gordon, J. C.; Blackburn, P.; Watson, C. H.; Ulm, M. A.; Daily, L. R.; ElNaggar, A. C.; Tillmanns, T.</t>
  </si>
  <si>
    <t>Geographic information system (GIS) analysis of food deserts in the southern United States and endometrial cancer recurrence</t>
  </si>
  <si>
    <t>GYNECOLOGIC ONCOLOGY</t>
  </si>
  <si>
    <t>Watson, Catherine/JAD-1936-2023</t>
  </si>
  <si>
    <t>0090-8258</t>
  </si>
  <si>
    <t>1095-6859</t>
  </si>
  <si>
    <t>10.1016/j.ygyno.2018.04.319</t>
  </si>
  <si>
    <t>WOS:000581775700310</t>
  </si>
  <si>
    <t>St Clair, R; Hardman, M; Armitage, RP; Sherriff, G</t>
  </si>
  <si>
    <t>St Clair, Rebecca; Hardman, Michael; Armitage, Richard P.; Sherriff, Graeme</t>
  </si>
  <si>
    <t>The trouble with temporary: Impacts and pitfalls of a meanwhile community garden in Wythenshawe, South Manchester</t>
  </si>
  <si>
    <t>RENEWABLE AGRICULTURE AND FOOD SYSTEMS</t>
  </si>
  <si>
    <t>The rise of Urban Agriculture projects across the UK has led to a surge of interest in their efficacy and resulting social impacts. Real Food Wythenshawe is a Lottery-funded urban food project in the UK that aims to teach the population of Wythenshawe to grow their own food and to cook from scratch. The area, popularly referred to as Europe's largest council estate', suffers from high levels of deprivation and has been described as a food desert' due to a perceived lack of access to fresh fruit and vegetables (Small World Consulting, 2013). In order to encourage Wythenshawe residents to grow their own food and to increase access to fresh fruit and vegetables, Real Food Wythenshawe aims to transform unused areas of land into growing spaces, such as allotments and community gardens. This paper focuses on research conducted at a community garden in Wythenshawe, established by Real Food Wythenshawe as an example of a meanwhile' or temporary growing site for people affected by cancer. The research investigated the impact of the growing activities on community garden participants through a series of observations and interviews. The findings suggest that the benefits of the space were multiple and diverse, ranging from increased growing knowledge to therapeutic effects, while there has been minimal effect on participants' dietary behavior. The organization of the community garden also raises questions over some of the practicalities of temporary urban growing sites and highlights the tensions that can arise between small community growing groups and larger institutions with control over land use. These findings add to a growing body of research that considers the value of growing in the city and reflects on the role of community gardening in deprived urban areas of the UK.</t>
  </si>
  <si>
    <t>; Armitage, Richard/B-1639-2010</t>
  </si>
  <si>
    <t>St. Clair, Rebecca/0000-0002-4080-1289; Sherriff, Graeme/0000-0002-3420-3477; Hardman, Michael/0000-0002-4282-0766; Armitage, Richard/0000-0002-7569-425X</t>
  </si>
  <si>
    <t>1742-1705</t>
  </si>
  <si>
    <t>1742-1713</t>
  </si>
  <si>
    <t>10.1017/S1742170517000291</t>
  </si>
  <si>
    <t>WOS:000447557700006</t>
  </si>
  <si>
    <t>Torrence, C; Griffin, SF; Rolke, L; Kenison, K; Marvin, A</t>
  </si>
  <si>
    <t>Torrence, Caitlin; Griffin, Sarah F.; Rolke, Laura; Kenison, Kelli; Marvin, AltaMae</t>
  </si>
  <si>
    <t>Faithful Families Cooking and Eating Smart and Moving for Health: Evaluation of a Community Driven Intervention</t>
  </si>
  <si>
    <t>Background: There is an increasing need to adapt and use community interventions to address modifiable behaviors that lead to poor health outcomes, like obesity, diabetes, and heart disease. Poor health outcomes can be tied to community-level factors, such as food deserts and individual behaviors, like sedentary lifestyles, consuming large portion sizes, and eating high-calorie fast food and processed foods. Methods: Through a social ecological approach with family, organization and community, the Faithful Families Cooking and Eating Smart and Moving for Health (FFCESMH) intervention was created to address these concerns in a rural South Carolina community. FFCESMH used gatekeepers to identify 18 churches and four apartment complexes in low-income areas; 176 participants completed both pre- and post-survey measures. Results: Paired t-test measures found statistically significant change in participant perception of food security (0.39, p-value = 0.005, d = 0.22), self-efficacy with physical activity and healthy eating (0.26, p-value = 000, d = 0.36), and cooking confidence (0.17, p-value = 0.01, d = 0.19). There was not significant change in cooking behaviors, as assessed through the Cooking Behaviors Scale. Conclusion: FFCESMH shows that a social ecological approach can be effective at increasing and improving individual healthy behaviors and addressing community-level factors in low-income rural communities.</t>
  </si>
  <si>
    <t>Rolke, Laura/HGT-9593-2022</t>
  </si>
  <si>
    <t>Rolke, Laura/0000-0002-4568-1378; Griffin, Sarah/0000-0003-4820-3985; Torrence, Caitlin/0000-0001-7646-319X</t>
  </si>
  <si>
    <t>10.3390/ijerph15091991</t>
  </si>
  <si>
    <t>WOS:000445765600200</t>
  </si>
  <si>
    <t>Hsiao, BS; Sibeko, L; Wicks, K; Troy, LM</t>
  </si>
  <si>
    <t>Hsiao, Bi-sek; Sibeko, Lindiwe; Wicks, Kathy; Troy, Lisa M.</t>
  </si>
  <si>
    <t>Mobile produce market influences access to fruits and vegetables in an urban environment</t>
  </si>
  <si>
    <t>Objective: To assess the influence of a mobile produce market (MPM) on fruit and vegetable access. Design: Novel application of a structured assessment (five dimensions of access framework) to examine fruit and vegetable access through self-administered surveys on shopping behaviours, and perceptions and experiences of shopping at the MPM. Setting: Low-income neighbourhoods with limited access to fruits and vegetables. Subjects: Older (&gt;= 60 years) and younger (18-59.9 years) shoppers. Results: Participants were more likely to be women and non-White, one-third lived alone and nearly half were older adults. Compared with younger, older participants had different shopping behaviours: tended to purchase food for one person (P &lt; 0.001), be long-term shoppers (P = 0.002) and use electronic benefit transfer (EBT) cards (P = 0.012). Older adults were more likely to like the market location (P = 0.03), while younger adults were more likely to want changes in location (P = 0.04), more activities (P = 0.04), taste sampling (P = 0.05) and nutritional counselling (P = 0.01). The MPM captured all dimensions of access: availability, indicated by satisfaction with the produce variety for nearly one-third of all participants; accessibility, indicated by participants travelling &lt; 1 mile (&lt;1.6 km; 72.2 %) and appreciation of location (72.7 %); affordability, indicated by satisfaction with price (47.6 %); acceptability, indicated by appreciation of produce quality (46.2 %); and accommodation, indicated by satisfaction with safety of location (30.1 %) and high EBT use among older adults (41.8 %). Conclusions: MPM may influence fruit and vegetable access in low-income urban neighbourhoods by facilitating the five dimensions of access and may especially benefit older adults and individuals living alone.</t>
  </si>
  <si>
    <t>Hsiao, Benjamin/E-6944-2013</t>
  </si>
  <si>
    <t>10.1017/S1368980017003755</t>
  </si>
  <si>
    <t>WOS:000430065800013</t>
  </si>
  <si>
    <t>Chrisinger, BW; Ramos, A; Shaykis, F; Martinez, T; Banchoff, AW; Winter, SJ; King, AC</t>
  </si>
  <si>
    <t>Chrisinger, Benjamin W.; Ramos, Ana; Shaykis, Fred; Martinez, Tanya; Banchoff, Ann W.; Winter, Sandra J.; King, Abby C.</t>
  </si>
  <si>
    <t>Leveraging Citizen Science for Healthier Food Environments: A Pilot Study to Evaluate Corner Stores in Camden, New Jersey</t>
  </si>
  <si>
    <t>FRONTIERS IN PUBLIC HEALTH</t>
  </si>
  <si>
    <t>Over the last 6 years, a coordinated healthy corner store network has helped an increasing number of local storeowners stock healthy, affordable foods in Camden, New Jersey, a city with high rates of poverty and unemployment, and where most residents have little or no access to large food retailers. The initiative's funders and stakeholders wanted to directly engage Camden residents in evaluating this effort to increase healthy food access. In a departure from traditional survey-or focus group-based evaluations, we used an evidence-based community-engaged citizen science research model (called Our Voice) that has been deployed in a variety of neighborhood settings to assess how different features of the built environment both affect community health and wellbeing, and empower participants to create change. Employing the Our Voice model, participants documented neighborhood features in and around Camden corner stores through geo-located photos and audio narratives. Eight adult participants who lived and/or worked in a predefined neighborhood of Camden were recruited by convenience sample and visited two corner stores participating in the healthy corner store initiative (one highly-engaged in the initiative and the other less-engaged), as well as an optional third corner store of their choosing. Facilitators then helped participants use their collected data (in total, 134 images and 96 audio recordings) to identify and prioritize issues as a group, and brainstorm and advocate for potential solutions. Three priority themes were selected by participants from the full theme list (n = 9) based on perceived importance and feasibility: healthy product selection and display, store environment, and store outdoor appearance and cleanliness. Participants devised and presented a set of action steps to community leaders, and stakeholders have begun to incorporate these ideas into plans for the future of the healthy corner store network. Key elements of healthy corner stores were identified as positive, and other priorities, such as improvements to safety, exterior facades, and physical accessibility, may find common ground with other community development initiatives in Camden. Ultimately, this pilot study demonstrated the potential of citizen science to provide a systematic and data-driven process for public health stakeholders to authentically engage community residents in program evaluation.</t>
  </si>
  <si>
    <t>Ramos, Ana/KEJ-7079-2024; Chrisinger, Benjamin/AGF-2704-2022; King, Abby/AAD-5257-2021; Winter, Sandi/HJA-3055-2022</t>
  </si>
  <si>
    <t>Chrisinger, Benjamin/0000-0002-1480-6481; Winter, Sandra/0000-0002-4930-2005; King, Abby/0000-0002-7949-8811</t>
  </si>
  <si>
    <t>2296-2565</t>
  </si>
  <si>
    <t>MAR 26</t>
  </si>
  <si>
    <t>10.3389/fpubh.2018.00089</t>
  </si>
  <si>
    <t>WOS:000429559300001</t>
  </si>
  <si>
    <t>Pitts, SBJ; Wu, Q; Truesdale, KP; Haynes-Maslow, L; McGuirt, JT; Ammerman, A; Bell, R; Laska, MN</t>
  </si>
  <si>
    <t>Pitts, Stephanie B. Jilcott; Wu, Qiang; Truesdale, Kimberly P.; Haynes-Maslow, Lindsey; McGuirt, Jared T.; Ammerman, Alice; Bell, Ronny; Laska, Melissa N.</t>
  </si>
  <si>
    <t>One-Year Follow-Up Examination of the Impact of the North Carolina Healthy Food Small Retailer Program on Healthy Food Availability, Purchases, and Consumption</t>
  </si>
  <si>
    <t>We examined the short-term impact of the North Carolina Healthy Food Small Retailer Program (HFSRP), a legislatively appropriated bill providing funding up to $25,000 to small food retailers for equipment to stock and promote healthier foods, on store-level availability and purchase of healthy foods and beverages, as well as customer dietary patterns, one year post-policy implementation. We evaluated healthy food availability using a validated audit tool, purchases using customer bag-checks, and diet using self-reported questionnaires and skin carotenoid levels, assessed via Veggie Meter, a non-invasive tool to objectively measure fruit and vegetable consumption. Difference-in-difference analyses were used to examine changes in HFSRP stores versus control stores after 1 year. There were statistically significant improvements in healthy food supply scores (availability), with the Healthy Food Supply HFS score being -0.44 points lower in control stores and 3.13 points higher in HFSRP stores pre/post HFSRP (p = 0.04). However, there were no statistically significant changes in purchases or self-reported consumption or skin carotenoids among customers in HFSRP versus control stores. Additional time or other supports for retailers (e.g., marketing and promotional materials) may be needed for HFSRP implementation to influence purchase and consumption.</t>
  </si>
  <si>
    <t>10.3390/ijerph15122681</t>
  </si>
  <si>
    <t>WOS:000456527000072</t>
  </si>
  <si>
    <t>Zhang, T; Huang, B</t>
  </si>
  <si>
    <t>Zhang, Ting; Huang, Bo</t>
  </si>
  <si>
    <t>Local Retail Food Environment and Consumption of Fruit and Vegetable among Adults in Hong Kong</t>
  </si>
  <si>
    <t>Outside of western countries, the study of the local food environment and evidence for its association with dietary behavior is limited. The aim of this paper was to examine the association between the local retail food environment and consumption of fruit and vegetables (FV) among adults in Hong Kong. Local retail food environment was measured by density of different types of retail food outlets (grocery stores, convenience stores, and fast food restaurants) within a 1000 m Euclidean buffer around individual's homes using a geographic information system (GIS). The Retail Food Environment Index (RFEI) was calculated based on the relative density of fast-food restaurants and convenience stores to grocery stores. Logistic regressions were performed to examine associations using cross-sectional data of 1977 adults (18 years or older). Overall, people living in an area with the highest RFEI (Q4, &gt;5.76) had significantly greater odds of infrequent FV consumption (&lt;7 days/week) after covariates adjustment (infrequent fruit consumption: OR = 1.36, 95% CI 1.04-1.78; infrequent vegetable consumption: OR = 1.72, 95% CI 1.11-2.68) in comparison to the lowest RFEI (Q1, &lt;2.25). Highest density of fast food restaurants (Q4, &gt;53) was also significantly associated with greater odds of infrequent fruit consumption (&lt;7 days/week) (unadjusted model: OR = 1.34, 95% CI 1.04-1.73), relative to lowest density of fast food restaurants (Q1, &lt;13). No significant association of density of grocery stores or convenience stores was observed with infrequent FV consumption regardless of the covariates included in the model. Our results suggest that the ratio of fast-food restaurants and convenience stores to grocery stores near people's home is an important environmental factor in meeting fruit and vegetable consumption guidelines. Food swamps (areas with an abundance of unhealthy foods) rather than food deserts (areas where there is limited access to healthy foods) seems to be more of a problem in Hong Kong's urban areas. We advanced international literature by providing evidence in a non-western setting.</t>
  </si>
  <si>
    <t>Huang, Bo/LIC-1378-2024; Zhang, Ting/HLX-6343-2023; Huang, Bo/H-9874-2014</t>
  </si>
  <si>
    <t>Huang, Bo/0000-0002-5063-3522; ZHANG, TING/0000-0002-2806-8416</t>
  </si>
  <si>
    <t>10.3390/ijerph15102247</t>
  </si>
  <si>
    <t>WOS:000448818100189</t>
  </si>
  <si>
    <t>Chai, WW; Fan, JX; Wen, M</t>
  </si>
  <si>
    <t>Chai, Weiwen; Fan, Jessie X.; Wen, Ming</t>
  </si>
  <si>
    <t>Association of Individual and Neighborhood Factors with Home Food Availability: Evidence from the National Health and Nutrition Examination Survey</t>
  </si>
  <si>
    <t>Background Accumulating evidence suggests the important role of the home food environment in an individual's dietary intake. Objective This study examined the associations of individual and neighborhood-level factors with the availability of healthy and unhealthy foods in the home using a nationally representative sample from the 2007 to 2008 and 2009 to 2010 National Health and Nutrition Examination Surveys (NHANES). Design A cross-sectional study design was used with NHANES merged with the 2000 census data. Food availability was measured through self-report questionnaire regarding the frequency of foods or drinks available in the home. Participants The analysis included 8,975 participants aged 19 to 65 years. Statistical analyses performed Associations of individual and neighborhood factors with home food availability (always or most of the time available) were assessed using logistic regression modeling accounting for NHANES' complex survey design and weights. Individual-level and neighborhood-level factors were simultaneously included in the analysis. Results Family income-to-needs ratio was positively associated with the availability of dark green vegetables (odds ratio [OR]=1.07; 95% CI=1.00 to 1.13), fat-free or low-fat milk (OR=1.16; 95% CI=1.07 to 1.25), and salty snacks (OR=1.12; 95% CI=1.04 to 1.20) in the home. College graduates were more likely to have fruits (OR=1.96, 95% CI=1.48 to 2.60), vegetables (OR=1.48; 95% CI=1.16 to 1.88), and fat-free or low-fat milk (OR=1.81; 95% CI=1.55 to 2.12) and less likely to have salty snacks (OR=0.77; 95% CI=0.63 to 0.95) and sugary drinks (OR=0.46, 95% CI=0.37 to 0.57) available compared with non-college graduates. Tract socioeconomic status (SES) scores were positively associated with fruit (OR=1.15; 95% CI=1.02 to 1.29), vegetable (OR=1.14; 95% CI=1.03 to 1.26), and fat-free or low-fat milk (OR=1.25; 95% CI=1.10 to 1.42) availability. Urban residents were associated with greater availability of fruits (OR=1.47; 95% CI=1.05 to 2.08) and fat-free or low-fat milk (OR=1.33; 95% CI=1.02 to 1.73) in the home compared with rural residents. Food desert status was not associated with home food availability. Conclusions The results show that SES at both individual (education, income) and neighborhood level was linked to home food availability, suggesting a need to improve the home food environment for socioeconomically disadvantaged individuals and neighborhoods.</t>
  </si>
  <si>
    <t>10.1016/j.jand.2017.11.009</t>
  </si>
  <si>
    <t>WOS:000432468200007</t>
  </si>
  <si>
    <t>WATER</t>
  </si>
  <si>
    <t>2073-4441</t>
  </si>
  <si>
    <t>Pitts, SBJ; Wu, Q; McGuirt, JT; Sharpe, PA; Rafferty, AP</t>
  </si>
  <si>
    <t>Pitts, Stephanie Bell Jilcott; Wu, Qiang; McGuirt, Jared T.; Sharpe, Patricia A.; Rafferty, Ann P.</t>
  </si>
  <si>
    <t>Impact on Dietary Choices After Discount Supermarket Opens in Low-Income Community</t>
  </si>
  <si>
    <t>Objective: To examine (1) the association of a new supermarket opening with dietary intake and perceptions of healthy food availability, and (2) associations of distance to the primary food store and mean prices of fruits, vegetables, and sugary beverages with levels of consumption of these foods and body mass index in a low-income, southeastern community. Methods: The researchers used cross-sectional, self-administered questionnaire data and supermarket audit data collected in the supermarket community and comparison community before (2015) and after (2016) the supermarket opening. A difference-in-difference analysis employed propensity scores to compare pretest and posttest differences between communities. Results: There were no significant differences between communities on dietary behaviors. There was a significant cross-sectional, inverse association between distance to the primary food store and fruit and vegetable consumption among all respondents in 2016. Conclusions and Implications: The results suggest that adding a new discount supermarket is not necessarily associated with improvements in residents' fruit, vegetable, or sugary beverage consumption, or in their perceptions of the availability of healthy food in the neighborhood. However, distance to the store may be important.</t>
  </si>
  <si>
    <t>10.1016/j.jneb.2018.03.002</t>
  </si>
  <si>
    <t>WOS:000438770600011</t>
  </si>
  <si>
    <t>Woodruff, RC; Raskind, IG; Harris, DM; Gazmararian, JA; Kramer, M; Haardörfer, R; Kegler, MC</t>
  </si>
  <si>
    <t>Woodruff, Rebecca C.; Raskind, Ilana G.; Harris, Diane M.; Gazmararian, Julie A.; Kramer, Michael; Haardorfer, Regine; Kegler, Michelle C.</t>
  </si>
  <si>
    <t>The dietary impact of introducing new retailers of fruits and vegetables into a community: results from a systematic review</t>
  </si>
  <si>
    <t>Objective: To investigate the potential dietary impact of the opening of new retailers of healthy foods. Design: Systematic review of the peer-reviewed research literature. Setting: References published before November 2015 were retrieved from MEDLINE, EMBASE and Web of Science databases using keyword searches. Subjects: The outcome of the review was change in fruit and vegetable consumption among adults. Results: Of 3514 references retrieved, ninety-two articles were reviewed in full text, and twenty-three articles representing fifteen studies were included. Studies used post-test only (n 4), repeated cross-sectional (n 4) and repeated measures designs (n 7) to evaluate the dietary impact of supermarket (n 7), farmers' market (n 4), produce stand (n 2) or mobile market (n 2) openings. Evidence of increased fruit and vegetable consumption was most consistent among adults who began shopping at the new retailer. Three of four repeated measures studies found modest, albeit not always statistically significant, increases in fruit and vegetable consumption (range 0.23-0.54 servings/d) at 6-12 months after baseline. Dietary change among residents of the broader community where the new retailer opened was less consistent. Conclusions: The methodological quality of studies, including research designs, sampling methods, follow-up intervals and outcome measures, ranged widely. Future research should align methodologically with previous work to facilitate meta-analytic synthesis of results. Opening a new retailer may result in modest short-term increases in fruit and vegetable consumption among adults who choose to shop there, but the potential longer-term dietary impact on customers and its impact on the broader community remain unclear.</t>
  </si>
  <si>
    <t>Kramer, Michael/A-3195-2013</t>
  </si>
  <si>
    <t>Kramer, Michael/0000-0002-6372-6170</t>
  </si>
  <si>
    <t>10.1017/S1368980017003226</t>
  </si>
  <si>
    <t>WOS:000427030100019</t>
  </si>
  <si>
    <t>Testa, A</t>
  </si>
  <si>
    <t>Testa, Alexander</t>
  </si>
  <si>
    <t>The association between food deserts and short sleep duration among young adults in the United States: variation by race and ethnicity</t>
  </si>
  <si>
    <t>SLEEP HEALTH</t>
  </si>
  <si>
    <t>Background: Both food deserts and short sleep duration are serious public health problems that affect the lives of millions of Americans. Although recent research has begun to link community characteristics to sleep problems, the relationship between living in a food desert and sleep behavior has gone largely unexplored. Methods: Using data from the National Longitudinal Study from Adolescent to Adult Health and data on food retailers from the Modified Retail Food Environment Index, this study applies multivariable logistic regression to assess the association between living in a food desert and short sleep duration. Models were stratified by race and ethnicity to examine potential moderating effects. Supplemental analyses are conducted where the comparison category is restricted to respondents who live in census tracts with low access to healthy food retailers but do not live in food deserts. Results: In adjusted logistic regression models, living in a food desert is not associated with short sleep duration. When the sample is stratified, living in a food desert has a positive and significant association with short sleep duration among Hispanic respondents in both the main analysis (odds ratio = 1.7; 95% confidence interval = 1.0-2.7) and supplemental models (odds ratio = 1.9; 95% confidence interval = 1.2-3.2). Conclusions: Living in a food desert is not associated with short sleep duration among young adults. Study results indicate that living in a food desert is associated with increased odds for short sleep duration among Hispanics. Potential explanations for this finding are discussed in the context of extant research. (C) 2018 National Sleep Foundation. Published by Elsevier Inc. All rights reserved.</t>
  </si>
  <si>
    <t>2352-7218</t>
  </si>
  <si>
    <t>2352-7226</t>
  </si>
  <si>
    <t>10.1016/j.sleh.2018.11.006</t>
  </si>
  <si>
    <t>WOS:000462525900003</t>
  </si>
  <si>
    <t>Schupp, J</t>
  </si>
  <si>
    <t>Schupp, Justin</t>
  </si>
  <si>
    <t>Wish you were here? The prevalence of farmers markets in food deserts: an examination of the United States</t>
  </si>
  <si>
    <t>Food deserts have received considerable attention in recent years. Research has shown that individuals hying in these areas have less nutritional diets and experience worse health outcomes compared with those not hying in food deserts. Though the ramifications of living in food deserts are well known, less is known about efforts to alleviate these effects. One proposal for increasing food access while improving nutrition is the farmers market. While the farmers market has been championed as a potential solution and celebrated when it succeeds, little work has explored how often farmers markets are in food deserts nationally. This article explores this by using data from the United States Department of Agriculture and the American Community Survey. Results suggest that though much praise is given toward the promise of farmers markets in food deserts they are infrequently found there. This research contributes to illuminating the present state of US food deserts and proposes several questions about the efficacy of farmers markets as a tool to alleviate the impacts within food deserts.</t>
  </si>
  <si>
    <t>Schupp, Justin/AAE-6232-2020</t>
  </si>
  <si>
    <t>Schupp, Justin/0000-0003-0039-0427</t>
  </si>
  <si>
    <t>10.1080/15528014.2018.1549467</t>
  </si>
  <si>
    <t>WOS:000471768600009</t>
  </si>
  <si>
    <t>De Master, KT; Daniels, J</t>
  </si>
  <si>
    <t>De Master, Kathryn Teigen; Daniels, Jess</t>
  </si>
  <si>
    <t>Desert wonderings: reimagining food access mapping</t>
  </si>
  <si>
    <t>For over 20years, the concept of food deserts has served as an evocative metaphor, signifying spatialized patterns of injustice associated with low access to nutritious foods through retail and social exclusion. Yet in spite of its pithy appeal, scholars and activists increasingly critique the food desert concept as stigmatizing, inaccurate, and insufficient to characterize entrenched structural inequities. These well-founded critiques demonstrate a convincing need to reframe approaches to spatialized food injustice. We argue that food desert maps, which aim to visually illustrate food inequality, can reproduce problematic assumptions, stigmas, and inaccuracies that form the crux of scholarly critiques. For example, food desert maps typically overlook community assets and also utilize decontextualized and overdetermined indicators, such as proximity to supermarkets and transportation access. Although we acknowledge the contributions of food desert maps, in this paper we propose a reimagining of food access mapping. To illustrate our argument, we present a course-based food justice mapping study in Providence, Rhode Island. Our project draws inspiration from studies that interrogate the deficit-oriented framing of food deserts, as well as several alternative mapping practices: critical cartography and counter-mapping, community asset mapping, participatory geographic information systems, and radical cartography. We suggest these alternative mapping approaches have potential to move practitioners and viewers beyond the desolate desert vantage point and toward a more textured understanding of community food access that inspires engaged exploration.</t>
  </si>
  <si>
    <t>10.1007/s10460-019-09914-5</t>
  </si>
  <si>
    <t>WOS:000467900000006</t>
  </si>
  <si>
    <t>The Food Desert as a Concept and Policy Tool in African Cities: An Opportunity and a Risk</t>
  </si>
  <si>
    <t>The idea that food insecurity can be resolved by increasing the presence of supermarkets has been gaining traction in African cities and has recently gained political traction in Africa. This paper interrogates the potential value and risks associated with the adoption of the discourse of the food desert in the African context. The paper draws on findings from a households survey, neighborhoods-scale food retail mapping and surveys, and city-wide supermarket mapping conducted in Cape Town (South Africa), Kisumu (Kenya), and Kitwe (Zambia). Following a discussion of why the concept is gaining traction, the paper identifies false assumptions associated with the food desert framing in Africa, namely: supermarkets provide better access to healthier food, low-income areas have poor access to healthy food; and food security can be reduced to economic and physical accessibility. The paper concludes that although the food desert concept may be valuable for African researchers to provoke debates about systemic inequality, the food desert policy narrative should be rejected as it is ill-informed by the lived experiences of food insecurity in African cities and may promote policy interventions that erode rather than enhance the capacity of the food system to meet the food security needs of African urbanites.</t>
  </si>
  <si>
    <t>10.3390/su11020458</t>
  </si>
  <si>
    <t>WOS:000457129900162</t>
  </si>
  <si>
    <t>Wagner, J; Hinton, L; McCordic, C; Owuor, S; Capron, G; Arellano, SG</t>
  </si>
  <si>
    <t>Wagner, Jeremy; Hinton, Lucy; McCordic, Cameron; Owuor, Samuel; Capron, Guenola; Gonzalez Arellano, Salomon</t>
  </si>
  <si>
    <t>Do Urban Food Deserts Exist in the Global South? An Analysis of Nairobi and Mexico City</t>
  </si>
  <si>
    <t>Recent conceptualizations of food deserts' have expanded from a sole focus on access to supermarkets, to food retail outlets, to all household food sources. Each iteration of the urban food desert concept has associated this kind of food sourcing behavior to poverty, food insecurity, and dietary diversity characteristics. While the term continues to evolve, there has been little empirical evidence to test whether these assumed associations hold in cities of the Global South. This paper empirically tests the premises of three iterations of the urban food desert concept using household survey data collected in Nairobi, Kenya, and Mexico City, Mexico. While these associations are statistically significant and show the expected correlation direction between household food sourcing behavior and food security, the strength of these relationships tends to be weak. These findings indicate that the urban food desert concept developed in North American and UK cities may have limited relevance to measuring urban food insecurity in the Global South.</t>
  </si>
  <si>
    <t>Owuor, Samuel/AAT-1307-2020</t>
  </si>
  <si>
    <t>owuor, samuel/0000-0002-8928-2862</t>
  </si>
  <si>
    <t>10.3390/su11071963</t>
  </si>
  <si>
    <t>WOS:000466551600140</t>
  </si>
  <si>
    <t>Namibia</t>
  </si>
  <si>
    <t>Crush, J; Nickanor, N; Kazembe, L</t>
  </si>
  <si>
    <t>Crush, Jonathan; Nickanor, Ndeyapo; Kazembe, Lawrence</t>
  </si>
  <si>
    <t>Informal Food Deserts and Household Food Insecurity in Windhoek, Namibia</t>
  </si>
  <si>
    <t>Informal settlements in rapidly-growing African cities are urban and peri-urban spaces with high rates of formal unemployment, poverty, poor health outcomes, limited service provision, and chronic food insecurity. Traditional concepts of food deserts developed to describe North American and European cities do not accurately capture the realities of food inaccessibility in Africa's urban informal food deserts. This paper focuses on a case study of informal settlements in the Namibian capital, Windhoek, to shed further light on the relationship between informality and food deserts in African cities. The data for the paper was collected in a 2016 survey and uses a sub-sample of households living in shack housing in three informal settlements in the city. Using various standard measures, the paper reveals that the informal settlements are spaces of extremely high food insecurity. They are not, however, food deprived. The proximity of supermarkets and open markets, and a vibrant informal food sector, all make food available. The problem is one of accessibility. Households are unable to access food in sufficient quantity, quality, variety, and with sufficient regularity.</t>
  </si>
  <si>
    <t>10.3390/su11010037</t>
  </si>
  <si>
    <t>WOS:000457127300037</t>
  </si>
  <si>
    <t>Fitzpatrick, K; Greenhalgh-Stanley, N; Ver Ploeg, M</t>
  </si>
  <si>
    <t>Fitzpatrick, Katie; Greenhalgh-Stanley, Nadia; Ver Ploeg, Michele</t>
  </si>
  <si>
    <t>Food deserts and diet-related health outcomes of the elderly</t>
  </si>
  <si>
    <t>FOOD POLICY</t>
  </si>
  <si>
    <t>It is hypothesized that residents of neighborhoods with limited access to affordable and nutritious food face greater barriers to eating a healthy diet, which may in turn, result in worse health outcomes for them. Low-income elderly in urban areas may be uniquely affected by these so-called food deserts due to limited transportation options, strong attachments to local neighborhoods, fixed incomes, physical limitations in food shopping and meal preparation, and chronic health problems. Using the 2006, 2010, and 2014 waves of the Health and Retirement Study (HRS), the association between the food environment of elderly individuals living in urban Census tracts and their diet-related health was examined. Within urban areas, we find little evidence that food deserts negatively impact the health of lower income elderly individuals. Policies to address the needs of elderly residents of food deserts should be narrowly targeted and carefully justified.</t>
  </si>
  <si>
    <t>0306-9192</t>
  </si>
  <si>
    <t>1873-5657</t>
  </si>
  <si>
    <t>10.1016/j.foodpol.2019.101747</t>
  </si>
  <si>
    <t>WOS:000483452800006</t>
  </si>
  <si>
    <t>Testa, A; Jackson, DB</t>
  </si>
  <si>
    <t>Testa, Alexander; Jackson, Dylan B.</t>
  </si>
  <si>
    <t>Food Insecurity, Food Deserts, and Waist-to-Height Ratio: Variation by Sex and Race/Ethnicity</t>
  </si>
  <si>
    <t>The purpose of this study is to investigate the association between two food-related hardshipsfood insecurity and living in a food deserton waist-to-height ratio (WHtR). Data on participants from waves I and IV of the National Longitudinal Study of Adolescent to Adult Health (Add Health) were analyzed. The association between food-related hardships and waist-to-height ratio were examined using logistic regression. Models were stratified by sex and race/ethnicity to examine potential moderating effects. Study results suggest food insecurity has a positive association with WHtR among female respondents (OR=1.360, p=.017). Living in a food desert has a positive association with WHtR among both females (OR=1.247, p=.026) and males (OR=1.245, p=.024). In models stratified by race/ethnicity living in a food desert is positively associated with WHtR among White respondents (OR=1.279, p=.003). Given the link between food-related hardships and obesity, targeted interventions that alleviate food insecurity and inadequate access to healthy food retailers could be effective in reducing obesity.</t>
  </si>
  <si>
    <t>10.1007/s10900-018-00601-w</t>
  </si>
  <si>
    <t>WOS:000467107800004</t>
  </si>
  <si>
    <t>McCordic, C; Abrahamo, E</t>
  </si>
  <si>
    <t>McCordic, Cameron; Abrahamo, Ezequiel</t>
  </si>
  <si>
    <t>Family Structure and Severe Food Insecurity in Maputo and Matola, Mozambique</t>
  </si>
  <si>
    <t>The rapid growth of Maputo and Matola (neighbouring cities in Mozambique) has dramatically shifted the vulnerability profiles of these cities. Poor neighbourhoods across these two cities may now face the prospect of becoming food deserts. Scholars have defined African urban food deserts by the co-occurrence of poverty and food insecurity. This study aims to assess the assumed relationship between resource poverty and food insecurity in the African urban food desert concept and to assess the contribution of household demographics to this relationship. Using household survey data collected in 2014 across Maputo and Matola, this investigation demonstrated that inconsistent access to water, electricity, medical care, cooking fuel, and cash was associated with increased odds of severe household food insecurity across both cities. In addition, a nuclear household family structure was associated with reduced odds of severe food insecurity in both cities (even when taking limited resource access into account). These findings suggest that the severe food insecurity vulnerabilities associated with African urban food deserts may differ according to the family structure of households in Maputo and Matola.</t>
  </si>
  <si>
    <t>10.3390/su11010267</t>
  </si>
  <si>
    <t>WOS:000457127300267</t>
  </si>
  <si>
    <t>Engler-Stringer, R; Fuller, D; Abeykoon, AMH; Olauson, C; Muhajarine, N</t>
  </si>
  <si>
    <t>Engler-Stringer, Rachel; Fuller, Daniel; Abeykoon, A. M. Hasanthi; Olauson, Caitlin; Muhajarine, Nazeem</t>
  </si>
  <si>
    <t>An Examination of Failed Grocery Store Interventions in Former Food Deserts</t>
  </si>
  <si>
    <t>Background. Implementing food stores in deprived neighborhoods to improve access to healthy food is a debated topic. Aims. To uncover important contributors to the closure of grocery store interventions in urban food deserts. Method. We systematically reviewed both peer-reviewed and gray literature for publications on the failure of grocery store interventions. Results. We found nine articles on six different failed food stores. The reasons stated for closure included low sales, a lack of food retail experience, poor marketing, and difficulty in attracting and retaining a high volume of consumers from the local market. Discussion. Current literature on the topic of the closure of inner-city grocery stores does not have a concise rationale to explain why inner-city grocery store interventions were not successful. Conclusion. We must consider the most appropriate interventions to improve food environments in food deserts using local and national policies to address the social determinants of health.</t>
  </si>
  <si>
    <t>Engler-Stringer, Rachel/0000-0003-1976-1339; Olauson Barlas, Caitlin/0009-0008-2084-7686</t>
  </si>
  <si>
    <t>10.1177/1090198119853009</t>
  </si>
  <si>
    <t>WOS:000486505400004</t>
  </si>
  <si>
    <t>Testa, AM</t>
  </si>
  <si>
    <t>Testa, Alexander M.</t>
  </si>
  <si>
    <t>Access to healthy food retailers among formerly incarcerated individuals</t>
  </si>
  <si>
    <t>Objective: To assess access to healthy food retailers among formerly incarcerated individuals. Design: Using linked data from the National Longitudinal Study of Adolescent to Adult Health and the Modified Retail Food Environment Index, the present study applies multivariate logistic regression to assess the association between incarceration and (i) living in a food desert and (ii) having low access to healthy food retailers. To account for unobserved heterogeneity, additional analyses are performed comparing formerly incarcerated individuals with persons arrested or convicted for a crime but not previously incarcerated. Setting: Sample of respondents living in urban census tracts in the USA. Subjects: Adults (n 10 390) aged 24-34 years. Results: In adjusted logistic regression models, prior incarceration was not significantly associated with living in a food desert (OR = 1.097; 95% CI 0.896, 1.343). Prior incarceration significantly increased the likelihood of living in a census tract with low access to healthy food retailers (OR =1.265; 95 % CI 1.069, 1.498). This significant association remained when comparing formerly incarcerated individuals with those who had been arrested or convicted of a crime, but not previously incarcerated (OR= 1.246; 95% CI 1.032, 1.503). Conclusions: Formerly incarcerated individuals are more likely to live in areas with low access to healthy food retailers compared with their non-incarcerated counterparts. Because lower access healthy food retailers may be associated with worse health and dietary behaviour, disparities in local food retail environments may exacerbate health inequalities among formerly incarcerated individuals.</t>
  </si>
  <si>
    <t>10.1017/S1368980018002720</t>
  </si>
  <si>
    <t>WOS:000462677500009</t>
  </si>
  <si>
    <t>Lloyd, JL</t>
  </si>
  <si>
    <t>Lloyd, Jean L.</t>
  </si>
  <si>
    <t>From Farms to Food Deserts: Food Insecurity and Older Rural Americans</t>
  </si>
  <si>
    <t>GENERATIONS-JOURNAL OF THE AMERICAN SOCIETY ON AGING</t>
  </si>
  <si>
    <t>Rural older people traditionally grew and preserved their own food. Some have speculated that industrial farming and the disappearance of family farms has led to a loss in self-sufficient rural farmers, and to the rise of food deserts. Many rural older adults suffer food insecurity that adversely affects their health, functionality, healthcare costs, and quality of life. Federal programs help to mitigate this situation, but do not reach enough eligible people.</t>
  </si>
  <si>
    <t>0738-7806</t>
  </si>
  <si>
    <t>WOS:000482088700005</t>
  </si>
  <si>
    <t>Wallace, EV</t>
  </si>
  <si>
    <t>Wallace, Edward, V</t>
  </si>
  <si>
    <t>Health disparities: Using policies to rethink our strategies for eliminating the impact of food deserts by focusing on unhealthy dietary patterns</t>
  </si>
  <si>
    <t>JOURNAL OF PUBLIC AFFAIRS</t>
  </si>
  <si>
    <t>For years, we have been interested in understanding the relationship between dietary patterns and diseases, and most recently, we have put efforts toward analyzing the impact of food deserts as they relate to dietary patterns. Unhealthy eating has become an epidemic in low-income neighborhoods that are considered to be food deserts due to the fact that people are not meeting their recommended daily intake of nutritionally dense foods. Adults should be consuming at least 20 to 35 g of fiber daily, however, many Americans only consume 12 to 17 g of fiber daily at best. Furthermore, as a society, we Americans consume way too much added sugar, saturated fat, and salt. Although there are a number of reasons that unhealthy dietary patterns exist in our society especially in low-income communities, it is important that we pay particular attention to how food deserts have developed and how they are major contributors to the overall poor health of low-income Americans. Therefore, the purpose of this is paper is to encourage its audience to rethink how we can implement policies to address the issue of unhealthy dietary patterns by reducing or eliminating food deserts. Specifically, we explore the effect of implementing evidence-based policies such as nutrition initiatives, corner store initiatives, menu labeling, food assistance programs, and the punitive taxation of sugary beverages and unhealthy foods similar to the punitive taxes placed on tobacco.</t>
  </si>
  <si>
    <t>1472-3891</t>
  </si>
  <si>
    <t>1479-1854</t>
  </si>
  <si>
    <t>e1875</t>
  </si>
  <si>
    <t>10.1002/pa.1875</t>
  </si>
  <si>
    <t>WOS:000481524400007</t>
  </si>
  <si>
    <t>Freedman, DA; Bell, BA; Clark, JK; Sharpe, PA; Trapl, ES; Borawski, EA; Pike, SN; Rouse, C; Sehgal, AR</t>
  </si>
  <si>
    <t>Freedman, Darcy A.; Bell, Bethany A.; Clark, Jill K.; Sharpe, Patricia A.; Trapl, Erika S.; Borawski, Elaine A.; Pike, Stephanie N.; Rouse, Chaturia; Sehgal, Ashwini R.</t>
  </si>
  <si>
    <t>Socioecological Path Analytic Model of Diet Quality among Residents in Two Urban Food Deserts</t>
  </si>
  <si>
    <t>Background Diet is critical to chronic disease prevention, yet there are persistent disparities in diet quality among Americans. The socioecological model suggests multiple factors, operating at multiple levels, influence diet quality. Objective The goal was to model direct and indirect relationships among healthy eating identity, perceived control of healthy eating, social support for healthy eating, food retail choice block scores, perceptions of healthy food availability, and food shopping behaviors and diet quality measured using Healthy Eating Index-2010 scores (HEI-2010) for residents living in two urban communities defined as food deserts. Design A cross-sectional design was used including data collected via self-reported surveys, 24-dietary recalls, and through objective observations of food retail environments. Participants/setting Data collection occurred in 2015-2016 in two low-income communities in Cleveland (n=243) and Columbus (n=244), OH. Main outcome measure HEI-2010 scores were calculated based on the average of three 24-hour dietary recalls using the Nutrition Data System for Research. Analysis Separate path models, controlled for income, were run for each community. Analysis was guided by a conceptual model with 15 hypothesized direct and indirect effects on HEI-2010 scores. Associations were considered statistically significant at P&lt;0.05 and P&lt;0.10 because of modest sample sizes in each community. Results Across both models, significant direct effects on HEI-2010 scores included healthy eating identity (beta=.295, Cleveland; beta=.297, Columbus, P&lt;0.05) and distance traveled to primary food store (beta=.111, Cleveland, P&lt;0.10; 0,175, Columbus, P&lt;0.05). Perceptions of healthy food availability had a significant, inverse effect in the Columbus model (beta=-.125, P&lt;0.05). The models explained greater variance in HEI-2010 scores for the Columbus community compared with Cleveland (R-2 =.282 and R-2 =.152, respectively). Conclusions Findings highlight the need for tailored dietary intervention approaches even within demographically comparable communities. Interventions aimed at improving diet quality among residents living in food deserts may need to focus on enhancing healthy eating identity using culturally relevant approaches while at the same time addressing the need for transportation supports to access healthy food retailers located farther away.</t>
  </si>
  <si>
    <t>Clark, Jill/A-1661-2013; Trapl, Erika/O-8237-2019; Bell, Bethany/AAV-6917-2021; Borawski, Elaine/R-9959-2019</t>
  </si>
  <si>
    <t>Borawski, Elaine/0000-0001-7629-6889; Trapl, Erika/0000-0002-5021-8505</t>
  </si>
  <si>
    <t>10.1016/j.jand.2019.02.012</t>
  </si>
  <si>
    <t>WOS:000472505600009</t>
  </si>
  <si>
    <t>Abildso, CG; Bias, TK; Coffman, J</t>
  </si>
  <si>
    <t>Abildso, Christiaan G.; Bias, Thomas K.; Coffman, Jessica</t>
  </si>
  <si>
    <t>Adoption and Reach of a statewide policy, systems, and environment intervention to increase access to fresh fruits and vegetables in West Virginia</t>
  </si>
  <si>
    <t>TRANSLATIONAL BEHAVIORAL MEDICINE</t>
  </si>
  <si>
    <t>Food deserts-areas with limited access to affordable, healthy foods-are disproportionately in low-income areas of the USA and have been linked with poorer nutrition behaviors and health outcomes. From a social ecological perspective, increasing access to affordable fresh fruits and vegetables in communities should encourage consumption and health improvements. Change the Future West Virginia, a statewide intervention, was undertaken to make policy, system, and environment (PSE) changes to enhance access to fresh fruits and vegetables in schools, farmers markets, and retail food outlets. Previous local scale PSE change interventions have shown feasibility and population reach, but broader dissemination has not been evaluated. Thus, the purpose was to evaluate the Adoption and Reach of Change the Future West Virginia statewide nutrition-based PSE strategies, especially in food deserts. Evaluation data were collected monthly using an online performance monitoring tool, including open-ended items to assess barriers and facilitators of PSE changes. Schools from 48 of 55 counties with 261,829 enrollment (54% low-income) implemented 231 PSE activities, resulting in 35 counties serving locally produced foods. Adoption included two thirds (n = 82) of alt farmers markets in the state-signed collaboration agreements, adding electronic benefit transfer machines at 29. Retail food Adoption included signed agreements with 22.1% (n = 101) of all grocery stores and 14.1% (n= 162) of all convenience stores in the state reaching 110,258 people (21.5%) in 27 food desert census tracts. Personnel consistency, local connections, and in-person meetings were important for PSE changes, highlighting the importance of human resources in the rural public health system and the potential of these intervention activities in rural, low-income states.</t>
  </si>
  <si>
    <t>Abildso, Christiaan/0000-0003-1972-2348</t>
  </si>
  <si>
    <t>1869-6716</t>
  </si>
  <si>
    <t>1613-9860</t>
  </si>
  <si>
    <t>10.1093/tbm/ibz095</t>
  </si>
  <si>
    <t>WOS:000496165800004</t>
  </si>
  <si>
    <t>Dhillon, J; Rios, LKD; Aldaz, KJ; De La Cruz, N; Vu, E; Asghar, SA; Kuse, Q; Ortiz, RM</t>
  </si>
  <si>
    <t>Dhillon, Jaapna; Rios, L. Karina Diaz; Aldaz, Kaitlyn J.; De La Cruz, Natalie; Vu, Emily; Asghar, Syed Asad; Kuse, Quintin; Ortiz, Rudy M.</t>
  </si>
  <si>
    <t>We Don't Have a Lot of Healthy Options: Food Environment Perceptions of First-Year, Minority College Students Attending a Food Desert Campus</t>
  </si>
  <si>
    <t>NUTRIENTS</t>
  </si>
  <si>
    <t>First-year college students are at particular risk of dietary maladaptation during their transition to adulthood. A college environment that facilitates consistent access to nutritious food is critical to ensuring dietary adequacy among students. The objective of the study was to examine perceptions of the campus food environment and its influence on the eating choices of first-year students attending a minority-serving university located in a food desert. Focus group interviews with twenty-one first-year students were conducted from November 2016 to January 2017. Students participated in 1 of 5 focus groups. Most interviewees identified as being of Hispanic/Latino or Asian/Pacific Islander origin. A grounded theory approach was applied for inductive identification of relevant concepts and deductive interpretation of patterns and relationships among themes. Themes related to the perceived food environment included adequacy (i.e., variety and quality), acceptability (i.e., familiarity and preferences), affordability, and accessibility (i.e., convenience and accommodation). Subjective norms and processes of decisional balance and agency were themes characterizing interpersonal and personal factors affecting students' eating choices. The perceived environment appeared to closely interact with subjective norms to inform internal processes of decision-making and agency around the eating choices of first-year students attending a minority-serving university campus located in a food desert.</t>
  </si>
  <si>
    <t>2072-6643</t>
  </si>
  <si>
    <t>10.3390/nu11040816</t>
  </si>
  <si>
    <t>WOS:000467749800109</t>
  </si>
  <si>
    <t>Morris, AA; McAllister, P; Grant, A; Geng, SY; Kelli, HM; Kalogeropoulos, A; Quyyumi, A; Butler, J</t>
  </si>
  <si>
    <t>Morris, Alanna A.; McAllister, Paris; Grant, Aubrey; Geng, Siyi; Kelli, Heval M.; Kalogeropoulos, Andreas; Quyyumi, Arshed; Butler, Javed</t>
  </si>
  <si>
    <t>Relation of Living in a Food Desert to Recurrent Hospitalizations in Patients With Heart Failure</t>
  </si>
  <si>
    <t>AMERICAN JOURNAL OF CARDIOLOGY</t>
  </si>
  <si>
    <t>Food deserts (FD), low-income areas with low access to healthful foods, are associated with higher burden of cardiovascular risk factors. Few studies have examined the impact of FD on clinical outcomes in heart failure (HF). FD status was assessed in 457 HF patients (mean age 55.9 +/- 12.5 years; 50.3% Black) using the Food Desert Research Atlas. The Andersen-Gill extension of Cox model was used to examine the association of living in a ED with risk of repeat hospitalization (all-cause and HF-specific). Patients living in a FD were younger (p = 0.01), more likely to be Black (p &lt; 0.0001), less educated (p = 0.003), and less likely to have commercial insurance (p = 0.003). During a median follow-up of 827 (506, 1,379) days, death occurred in 60 (13.1%) subjects, and hospitalizations occurred in 262 (57.3%) subjects. There was no difference in the risk of death based on ED status. The overall frequency of all-cause (94.1 vs 63.6 per 100 patient-years) and HF-specific (59.6 vs 30.5 per 100 patient-years) hospitalizations was higher in subjects who lived in a FD. After adjustment for covariates, living in a FD was associated with an increased risk of repeat all-cause (hazard ratio 1.39, 95% confidence interval 1.19 to 1.63; p = 0.03) and HF-specific (hazard ratio 1.30, 95% confidence interval 1.02 to 1.65; p = 0.03) hospitalizations. In conclusion, patients living in a FD have a higher risk of repeat all-cause and HF-specific hospitalization. (C) 2018 Elsevier Inc. All rights reserved.</t>
  </si>
  <si>
    <t>Kalogeropoulos, Andreas/AET-1994-2022; Kalogeropoulos, Andreas/A-9494-2009</t>
  </si>
  <si>
    <t>Kalogeropoulos, Andreas/0000-0002-1284-429X; Geng, Siyi/0000-0001-9199-4538</t>
  </si>
  <si>
    <t>0002-9149</t>
  </si>
  <si>
    <t>1879-1913</t>
  </si>
  <si>
    <t>JAN 15</t>
  </si>
  <si>
    <t>10.1016/j.amjcard.2018.10.004</t>
  </si>
  <si>
    <t>WOS:000466263300014</t>
  </si>
  <si>
    <t>Ross, A; Krishnan, N; Panchal, J; Brooks, JK; Lloyd, E; Lee, TH; Gittelsohn, J</t>
  </si>
  <si>
    <t>Ross, Alexandra; Krishnan, Nandita; Panchal, Janaki; Brooks, Jennifer K.; Lloyd, Emily; Lee, Ting-Hsuan (Joyce); Gittelsohn, Joel</t>
  </si>
  <si>
    <t>Formative Research for an Innovative Smartphone Application to Improve Distribution of Healthy Foods to Corner Stores in Baltimore City</t>
  </si>
  <si>
    <t>We sought to collect information about the operations of wholesalers and store owner perceptions of smartphones to plan for and create a smartphone application that will facilitate the distribution of healthy foods to corner stores. In-depth interviews were conducted with wholesalers, corner store owners, distributors, and food environment experts in Baltimore City, Maryland, which included providing feedback for a mockup of the app. Store owners that were comfortable with smartphones liked the idea of the app because it was economically practical, culturally suitable, simple and easy to use, and provided a large variety of items at a fair or low price. We found that barriers to uptake among corner store owners would be high delivery costs, no foreign language capability, and a complicated user interface. This work will inform future projects that will utilize mHealth technology to improve distribution of healthier foods in food deserts.</t>
  </si>
  <si>
    <t>Krishnan, Nandita/0000-0003-4957-2061; Lee, Ting-Hsuan/0000-0001-5682-8497</t>
  </si>
  <si>
    <t>10.1080/03670244.2018.1553778</t>
  </si>
  <si>
    <t>WOS:000455516600002</t>
  </si>
  <si>
    <t>Kelli, HM; Kim, JH; Tahhan, AS; Liu, C; Ko, YA; Hammadah, M; Sullivan, S; Sandesara, P; Alkhoder, AA; Choudhary, FK; Gafeer, MM; Patel, K; Qadir, S; Lewis, TT; Vaccarino, V; Sperling, LS; Quyyumi, AA</t>
  </si>
  <si>
    <t>Kelli, Heval M.; Kim, Jeong Hwan; Tahhan, Ayman Samman; Liu, Chang; Ko, Yi-An; Hammadah, Muhammad; Sullivan, Samaah; Sandesara, Pratik; Alkhoder, Ayman A.; Choudhary, Fahad K.; Gafeer, M. Mazen; Patel, Keyur; Qadir, Saqib; Lewis, Tene T.; Vaccarino, Viola; Sperling, Laurence S.; Quyyumi, Arshed A.</t>
  </si>
  <si>
    <t>Living in Food Deserts and Adverse Cardiovascular Outcomes in Patients With Cardiovascular Disease</t>
  </si>
  <si>
    <t>JOURNAL OF THE AMERICAN HEART ASSOCIATION</t>
  </si>
  <si>
    <t>Background-Food deserts (FDs), defined as low-income communities with limited access to healthy food, are a growing public health concern. We evaluated the impact of living in FDs on incident cardiovascular events. Methods and Results-We recruited 4944 subjects (age 64 +/- 12, 64% male) undergoing cardiac catheterization into the Emory Cardiovascular Biobank. Using the US Department of Agriculture definition of FD, we determined whether their residential addresses had (1) poor access to healthy food, (2) low income, or (3) both (=FD). Subjects were prospectively followed for a median of 3.2 years for myocardial infarction (MI) and death. Fine and Gray's subdistribution hazard models for MI and Cox proportional hazard models for death/MI were used to examine the association between area characteristics (FD, poor access, and low income) and the rates of adverse events after adjusting for traditional risk factors. A total of 981 (20%) lived in FDs and had a higher adjusted risk of MI (subdistribution hazard ratio, 1.44 [95% CI, 1.06-1.95]) than those living in non-FDs. In a multivariate analysis including both food access and area income, only living in a low-income area was associated with a higher adjusted risk of MI (subdistribution hazard ratio, 1.40 [1.06-1.85]) and death/MI (hazard ratio, 1.18 [1.02-1.35]) while living in a poor-access area was not significantly associated with either (subdistribution hazard ratio, 1.05 [0.80-1.38] and hazard ratio, 0.99 [0.87-1.14], respectively). Conclusions-Living in an FD is associated with a higher risk of adverse cardiovascular events in those with coronary artery disease. Specifically, low area income of FDs, not poor access to food, was significantly associated with worse outcomes.</t>
  </si>
  <si>
    <t>Vaccarino, Viola/AAW-5600-2020; Lewis, Tene/JBS-7332-2023</t>
  </si>
  <si>
    <t>2047-9980</t>
  </si>
  <si>
    <t>FEB 19</t>
  </si>
  <si>
    <t>e010694</t>
  </si>
  <si>
    <t>10.1161/JAHA.118.010694</t>
  </si>
  <si>
    <t>WOS:000460144600014</t>
  </si>
  <si>
    <t>Brinkley, C; Glennie, C; Chrisinger, B; Flores, J</t>
  </si>
  <si>
    <t>Brinkley, Catherine; Glennie, Charlotte; Chrisinger, Benjamin; Flores, Jose</t>
  </si>
  <si>
    <t>If you Build it with them, they will come: What makes a supermarket intervention successful in a food desert?</t>
  </si>
  <si>
    <t>Using 71 planned supermarket interventions in food deserts, this study assesses the interplay between regional geography, management models, policy drivers, financing, and timing. We find that community engagement and cooperative management models are important factors to opening and sustaining a new store, contributing to subsequent improvements in the foodscape, built environment, and diet-related health. Findings show that none of the nonprofit or community-driven stores have closed whereas nearly half of the commercial-driven and one third of government-driven cases resulted in canceled plans or closed stores. Our research suggests community engagement is a critical component of effective policies for healthy food access. Future studies may wish to include measurements of community engagement with their case studies to better situate explanatory findings.</t>
  </si>
  <si>
    <t>Chrisinger, Benjamin/AGF-2704-2022; Brinkley, Catherine/E-3750-2016</t>
  </si>
  <si>
    <t>Brinkley, Catherine/0000-0002-3642-8207; Glennie, Charlotte/0000-0002-4118-1034; Chrisinger, Benjamin/0000-0002-1480-6481</t>
  </si>
  <si>
    <t>e1863</t>
  </si>
  <si>
    <t>10.1002/pa.1863</t>
  </si>
  <si>
    <t>WOS:000481524400005</t>
  </si>
  <si>
    <t>González-Alejo, AL; Frejomil, EP; Rosales-Tapia, AR</t>
  </si>
  <si>
    <t>Laura Gonzalez-Alejo, Ana; Propin Frejomil, Enrique; Rosa Rosales-Tapia, Ana</t>
  </si>
  <si>
    <t>SPATIAL PATTERNS OF ACCESS TO RETAIL FOOD OUTLETS IN MEXICO CITY</t>
  </si>
  <si>
    <t>FINISTERRA-REVISTA PORTUGUESA DE GEOGRAFIA</t>
  </si>
  <si>
    <t>Trade liberalization in Mexico from 1980 extended the domain of forms of modern supply, as well as stagnating modalities of traditional supply; however, the uneven growth of these supply forms has generated territorial inequalities. This article aims to identify patterns of access to food retail and its association with urban marginalization in Mexico City from a spatial perspective. In the first part, a conceptual revision of the food deserts is presented as an approach through which territorial disparities are recognized in relation to, not only physical access, but also economic limitations that make it impossible for people to move to centres of consumption, restricting them to spaces within their proximity. In the second part, particularities are scrutinized, regarding the urban structure of Mexico City, which influence the differentiated distribution of the types of food supply. Subsequently, a methodological strategy is presented for the delimitation of areas with differentiated proximity to points of sale of fresh and processed foods from a mobile focal reference point, applied in territories with different levels of urban marginalization. Finally, the patterns of access to retail food establishments are revealed. These manifest themselves as large areas of the centre, north and east of the city, exposed to an unhealthy food environment, while the peripheral areas of the west, south and southeast are under the influence of food deserts.</t>
  </si>
  <si>
    <t>Frejomil, Enrique/L-5097-2019; González-Alejo, Ana/AAQ-2394-2021</t>
  </si>
  <si>
    <t>Gonzalez-Alejo, Ana Laura/0000-0003-3446-8093</t>
  </si>
  <si>
    <t>0430-5027</t>
  </si>
  <si>
    <t>2182-2905</t>
  </si>
  <si>
    <t>10.18055/Finis16456</t>
  </si>
  <si>
    <t>WOS:000486389100009</t>
  </si>
  <si>
    <t>Morissette-Desjardins, A; Provencher, V; Lebel, A</t>
  </si>
  <si>
    <t>Morissette-Desjardins, Amelie; Provencher, Veronique; Lebel, Alexandre</t>
  </si>
  <si>
    <t>Characterize the food environment of a regional county municipality to identify priority areas for intervention in food security</t>
  </si>
  <si>
    <t>Objectives Food security intervention is particularly complex in rural areas. The local stakeholders of the regional county municipality (RCM) of Portneuf wished to analyze the regional food supply in order to reduce food insecurity. The objective of this study was to characterize the RCM's food environment and to identify potential food deserts and priority intervention areas. Method We measured the quality of the food supply in the RCM's food stores, using four indicators: freshness, diversity, economic accessibility and relative availability. We mapped the distance between residences and the nearest food store with a favourable result for all four indices to locate potential food deserts. We then presented the mapping of the food environment to a group of local stakeholders and compared it to their own perception. Results This study reveals three sectors that meet the criteria of a food desert in the RCM. Local actors did not perceive these sectors as food deserts, but thought they were at risk of becoming such in the future. We complemented the measures by taking into account the structuring impact of certain infrastructures as well as the temporal and seasonal accessibility of food stores in rural areas. Only one priority intervention area was suggested. Conclusion Presenting geographical analyses to local stakeholders improved the characterization of the studied food environment. The use of a mixed methodology has enabled the particularities of the rural environment to be better accounted for and has facilitated intersectoral mobilization around food insecurity at the regional level.</t>
  </si>
  <si>
    <t>Lebel, Alexandre/HSF-8475-2023</t>
  </si>
  <si>
    <t>Lebel, Alexandre/0000-0001-6774-7633; Provencher, Veronique/0000-0002-0404-8883</t>
  </si>
  <si>
    <t>10.17269/s41997-019-00239-8</t>
  </si>
  <si>
    <t>WOS:000501220900015</t>
  </si>
  <si>
    <t>Fernhaber, SA; Wada, T; Napier, P; Suttles, S</t>
  </si>
  <si>
    <t>Fernhaber, Stephanie A.; Wada, Terri; Napier, Pamela; Suttles, Shellye</t>
  </si>
  <si>
    <t>Engaging diverse community stakeholders to co-create solutions in food deserts: A design-thinking approach</t>
  </si>
  <si>
    <t>Most households in the United States, regardless of income, do the majority of their grocery shopping at supermarkets. However, due to the consolidation of the supermarket industry and some neighborhoods not being able to economically sustain a supermarket, more and more households are struggling to conveniently access affordable, healthy food choices. This article describes a participatory design process used to engage a diverse set of stakeholders in the Indianapolis community to cocreate solutions that improve access to healthy and affordable food. Indianapolis offers an insightful context, given that it was recently ranked the worst city in the United States for food deserts. Our results not only demonstrate the value of using a design-thinking approach in addressing food access issues but also offer unique insight into the problem of food access itself.</t>
  </si>
  <si>
    <t>Suttles, Shellye/GSD-6598-2022; Fernhaber, Stephanie/M-5878-2018</t>
  </si>
  <si>
    <t>Fernhaber, Stephanie/0000-0003-0864-7223</t>
  </si>
  <si>
    <t>e1874</t>
  </si>
  <si>
    <t>10.1002/pa.1874</t>
  </si>
  <si>
    <t>WOS:000481524400004</t>
  </si>
  <si>
    <t>Hosler, AS</t>
  </si>
  <si>
    <t>Hosler, Akiko S.</t>
  </si>
  <si>
    <t>Growing disparities in an urban food desert: Downtown Albany longitudinal food environment studies</t>
  </si>
  <si>
    <t>This paper presents findings from our longitudinal study of food environments in two exemplary, contrasting urban neighborhoods in Downtown Albany, New York. The minority neighborhood (74% racial/ethnic minority population) is a food desert by the United States Department of Agriculture's definition, whereas the adjacent mixed neighborhood (33% minority population) is not. The long-term trend analysis (1970-2018) of the macro-level food environment found that although the minority neighborhood lost all supermarkets and remains supermarket-less since the late 1990s, the mixed neighborhood was able to retain several supermarkets and since 2008, it gained a new supermarket every 3-5 years. The medium-term trend analysis (2003-2015) of the micro-level food environment revealed a more complex picture of changing food environments. The total number of food stores in the minority neighborhood increased in much greater rates than the mixed neighborhood in the 12-year period, and accordingly, the standardized availability measures for any fresh fruits and fresh vegetables increased significantly in the minority neighborhood. The standardized availability measure for adequate (five or more) varieties of nutritionally desirable fresh fruits and vegetables, however, did not increase in the minority neighborhood. Because the mixed neighborhood saw steady increases in such measures, disparities between the two neighborhoods grew incrementally and reached the highest point (rate ratio of over 5.0) in 2015. In this paper, there are also sections to provide historical and contextual background of our food environment research, as well as discussion on intervention ideas to address the disparities in fresh produce availability focusing on ethnic markets.</t>
  </si>
  <si>
    <t>Hosler, Akiko/AAC-4184-2019</t>
  </si>
  <si>
    <t>Hosler, Akiko/0000-0003-0642-1060</t>
  </si>
  <si>
    <t>e1851</t>
  </si>
  <si>
    <t>10.1002/pa.1851</t>
  </si>
  <si>
    <t>WOS:000481524400011</t>
  </si>
  <si>
    <t>Santiago, IC; Carreira, FC; de Aguiar, ACP; Monzoni, MP</t>
  </si>
  <si>
    <t>Santiago, Isabella Cruvinel; Carreira, Fernanda Cassab; Pires de Aguiar, Ana Carolina; Monzoni, Mario Prestes</t>
  </si>
  <si>
    <t>Increasing knowledge of food deserts in Brazil: The contributions of an interactive and digital mosaic produced in the context of an integrated education for sustainability program</t>
  </si>
  <si>
    <t>As efforts to end hunger, food insecurity and malnutrition evolve within the context of United Nations' Global Compact and Sustainable Development Goals; such problems remain far from being solved due, in part, to their complex nature. Brazil exemplifies such multifaceted scenario as the country has left the hunger map in 2014 but now faces another issue: The quality of the food available to its population. Physical, social, economic, cultural, and political factors have impacted the Brazilian food environment, shaping new eating habits such as the replacement of traditional local food for processed foods. Within this context, educational institutions may play an important role in spreading knowledge about major social challenges such as this and their interdependent causes. This paper presents the case study of a project conducted by business and public administration students in a discipline called Integrated Education for Sustainability (FIS), offered to undergraduate students at one of Brazil's most important management schools. In 2017, the project worked on the topic of Food Deserts, challenging the students to develop a digital and interactive mosaic that uncovers the situation of the food deserts in Sao Paulo. Data were collected from participant observation, field trips, events, and interviews conducted in class with 18 professionals working on several areas related to the topic. The article provides insights into (a) the importance of education to tackle the sustainability challenges, (b) lessons learned from the 14th edition of FIS course, and (c) the several barriers to food access in the city of Sao Paulo.</t>
  </si>
  <si>
    <t>Carreira, Fernanda/HJY-8560-2023</t>
  </si>
  <si>
    <t>e1894</t>
  </si>
  <si>
    <t>10.1002/pa.1894</t>
  </si>
  <si>
    <t>WOS:000481524400009</t>
  </si>
  <si>
    <t>Kolavalli, C</t>
  </si>
  <si>
    <t>Kolavalli, Chhaya</t>
  </si>
  <si>
    <t>Whiteness and Food Charity: Experiences of Food Insecure African-American Kansas City Residents Navigating Nutrition Education Programs</t>
  </si>
  <si>
    <t>HUMAN ORGANIZATION</t>
  </si>
  <si>
    <t>This article examines the experiences of African-American food-aid seekers as they navigate food charity programming that includes mandatory nutrition education. This model of food charity provisioning-in which receipt of aid is tied to education-is increasingly common in the United States. Drawing on ethnographic research conducted between 2015 and 2018 in a nationally replicated nutrition education program in Kansas City, this article argues that these models of food charity function as white public spaces (Page and Thomas 1994), with significant negative impacts on their efficacy. It argues that white public space is created in these programs through race avoidant language concerning food deserts and nutritional education. These programmatic foci are both ineffective at addressing urban hunger and create racially discriminatory space within food charity programming. The article offers concrete suggestions for improving food charity programming and disrupting white privilege in food charity spaces, made by African-American food-aid seekers themselves.</t>
  </si>
  <si>
    <t>0018-7259</t>
  </si>
  <si>
    <t>1938-3525</t>
  </si>
  <si>
    <t>WOS:000468519500001</t>
  </si>
  <si>
    <t>Yao, MN; Hillier, A; Wall, E; DiSantis, KI</t>
  </si>
  <si>
    <t>Yao, Mengni; Hillier, Amy; Wall, Elizabeth; DiSantis, Katherine I.</t>
  </si>
  <si>
    <t>The Impact of a Non-profit Market on Food Store Choice and Shopping Experience: A Community Case Study</t>
  </si>
  <si>
    <t>Research evaluating the impact of new food stores in food deserts have reported limited impact on eating and health outcomes of residents who live nearby. Few studies have reported on shoppers' food store choices and experiences in these new stores. This study focused on residents' experience with a new non-profit food market in Chester, PA and analyzes spatial patterns regarding who did and did not choose to shop at the new store. Phone surveys (n = 135) and in-person interviews (n = 13) were conducted with the primary food shopper for households living in Chester 1-2 years, respectively, after the opening of a store. Participants who shopped at the new market reported positive experiences in regard to convenience, customer service, food quality, and prices and believed that the new market had a positive impact on the community. But most participants had not shopped at the new market, citing many of the same factors in their decision to shop at supermarkets outside the city. Our findings underscore the need to combine new food retail strategies with community engagement and other interventions, such as in-store promotions and health education programs, to maximize the number of people who shop at new food outlets designed to improve access to healthful foods.</t>
  </si>
  <si>
    <t>DiSantis, Katherine/0000-0001-8319-7192</t>
  </si>
  <si>
    <t>APR 8</t>
  </si>
  <si>
    <t>10.3389/fpubh.2019.00078</t>
  </si>
  <si>
    <t>WOS:000464543600001</t>
  </si>
  <si>
    <t>Sumner, J; Tarhan, MD; McMurtry, JJ</t>
  </si>
  <si>
    <t>Sumner, Jennifer; Tarhan, M. Derya; McMurtry, J. J.</t>
  </si>
  <si>
    <t>Eating in place: Mapping alternative food procurement in Canadian Indigenous communities</t>
  </si>
  <si>
    <t>This paper reports on alternative food procurement initiatives in Canadian Indigenous communities. Like many communities around the world, they have experienced the 'nutrition transition' toward nutritionally compromised industrial food, with debilitating results. Much of this change in nutritional status has been created by a lethal combination of self-serving government policy and predatory corporate practice that ghettoizes Indigenous communities within a for-profit pseudo-food system. To find solutions to the colonially structured food deserts imposed on them, many Indigenous communities have turned to the social economy, initiating projects such as community gardens, greenhouses, and co-operatives. While largely unrecognized in the wider world, these initiatives are created and managed by communities, for the benefit of communities, giving us a deeper understanding of what place-based food systems can accomplish.</t>
  </si>
  <si>
    <t>Sumner, Jennifer/AAT-3319-2021</t>
  </si>
  <si>
    <t>10.5304/jafscd.2019.09B.016</t>
  </si>
  <si>
    <t>WOS:000511166100020</t>
  </si>
  <si>
    <t>Kutta, E; Hubbart, JA</t>
  </si>
  <si>
    <t>Kutta, Evan; Hubbart, Jason A.</t>
  </si>
  <si>
    <t>Observed climatic changes in West Virginia and opportunities for agriculture</t>
  </si>
  <si>
    <t>REGIONAL ENVIRONMENTAL CHANGE</t>
  </si>
  <si>
    <t>Increasing variability in temperature and precipitation patterns is reducing the security of natural resources including food, water, and energy in many locations globally. Changes in climate are particularly relevant to the agricultural sector, given the increasing demand for food, less predictable water supplies, and more expensive energy. Among these challenges, however, areopportunities to improve human health with climate-conscious approaches to field crop production. Such opportunities may be emerging in historically productive areas in the Appalachian region of the United States including West Virginia that are often typified by food deserts. Long-term records of farm count, farm area, and crop yield data for West Virginia's most valuable crops are presented relative to national averages to better understand emergent challenges and opportunities associated with local climate changes. Observed datasets of daily maximum temperature, minimum temperature, and precipitation for 18 climate observation sites in West Virginia dating back to at least 1930 were used to assess climatic trends between 1900 and 2016. To account for the regions' complex physiography, daily data were averaged annually and spatially (all 18 sites). The maximum temperatures were shown to decrease significantly (-0.78 degrees C/century; p=0.001), whereas the minimum temperatures increased significantly (0.44 degrees C/century; p=0.017), and precipitation increased (25.4mm/century). Additionally, intra-annual variance of maximum temperatures decreased (-0.22 degrees C/century), minimum temperatures increased significantly (0.39 degrees C/century; p=0.041), and precipitation increased (25.4mm/century). Observed climate trends suggest that local and regional changes in land-atmosphere interactions may result in a wetter and more temperate Appalachian climate characterized by longer growing seasons that may be supportive of a broader range of crops. Results suggest that strategically expanding local agriculture to adapt to changing climate could simultaneously improve human health and socioeconomic status in West Virginia, the broader Appalachian region, and other similar physiographic locations globally.</t>
  </si>
  <si>
    <t>Kutta, Evan/0000-0002-5838-9464</t>
  </si>
  <si>
    <t>1436-3798</t>
  </si>
  <si>
    <t>1436-378X</t>
  </si>
  <si>
    <t>10.1007/s10113-018-1455-y</t>
  </si>
  <si>
    <t>WOS:000468544400016</t>
  </si>
  <si>
    <t>Piso, Z; Goralnik, L; Libarkin, JC; Lopez, MC</t>
  </si>
  <si>
    <t>Piso, Zachary; Goralnik, Lissy; Libarkin, Julie C.; Lopez, Maria Claudia</t>
  </si>
  <si>
    <t>Types of urban agricultural stakeholders and their understandings of governance</t>
  </si>
  <si>
    <t>ECOLOGY AND SOCIETY</t>
  </si>
  <si>
    <t>Urban agriculture is a significant driver of urban sustainability and resilience, yet the contribution of urban agriculture to resilience is complicated by governance systems that require further investigation. This study deploys a mixed-methods approach to investigate the agricultural values and understandings of urban agricultural governance among farmers, garden leaders, and other actors in urban agriculture in Lansing, Michigan. Drawing from semistructured interviews and Q-methodology, agricultural values are used to identify four types of urban agriculture stakeholders: urban agricultural stewards, risk managers, food desert irrigators, and urban agricultural contextualists. These groups differ in terms of their agricultural values as well as their participation in local governance and general understandings of the purpose of governance. Urban agricultural stewards place comparatively higher priority on community building, environmental sustainability, and food sovereignty; they participate in the city's formal governance systems and view governance as an opportunity to codify shared norms. Risk managers place comparatively higher priority on safety, and they largely view governance in the traditional mold of state-legislated regulations to which stakeholders should comply. Food desert irrigators place comparatively higher priority on environmental sustainability, health, food access, and convenience; they expect governance to support stakeholders with the greatest needs, and though not active in formal governance, work to craft empathetic policies in their particular organizations. Urban agricultural contextualists place comparatively higher priority on community building and health, and hold that the prioritization of additional values should be determined through local and inclusive governance. The coupling of agricultural values with understandings of governance can support effective and legitimate policy making attentive to the process through which, and scale at which, stakeholders expect their values to inform decision making.</t>
  </si>
  <si>
    <t>Lissy, Goralnik/0000-0001-9326-6470</t>
  </si>
  <si>
    <t>1708-3087</t>
  </si>
  <si>
    <t>10.5751/ES-10650-240218</t>
  </si>
  <si>
    <t>WOS:000482712400003</t>
  </si>
  <si>
    <t>Sucharitha, RS; Lee, S</t>
  </si>
  <si>
    <t>Dagli, CH; Suer, GA</t>
  </si>
  <si>
    <t>Sucharitha, Rahul Srinivas; Lee, Seokcheon</t>
  </si>
  <si>
    <t>Application of Clustering Analysis for Investigation of Food Accessibility</t>
  </si>
  <si>
    <t>25TH INTERNATIONAL CONFERENCE ON PRODUCTION RESEARCH MANUFACTURING INNOVATION: CYBER PHYSICAL MANUFACTURING</t>
  </si>
  <si>
    <t>Procedia Manufacturing</t>
  </si>
  <si>
    <t>AUG 09-14, 2019</t>
  </si>
  <si>
    <t>Access to food assistance programs such as food pantries and food banks needs focus in order to mitigate food insecurity. Accessibility to the food assistance programs is impacted by demographics of the population and geography of the location. It hence becomes imperative to define and identify food assistance deserts (Under-served areas) within a given region to find out the ways to improve the accessibility of food. Food banks, the supplier of food to the food agencies serving the people, can manage its resources more efficiently by targeting the food assistance deserts and increase the food supply in those regions. This paper will examine the characteristics and structure of the food assistance network in the region of Ohio by presenting the possible reasons of food insecurity in this region and identify areas wherein food agencies are needed or may not be needed. Gaussian Mixture Model (GM,M) clustering technique is employed to identify the possible reasons and address this problem of food accessibility. (C) 2019 The Authors. Published by Elsevier Ltd.</t>
  </si>
  <si>
    <t>Sucharitha, Rahul/0000-0002-4739-2510</t>
  </si>
  <si>
    <t>2351-9789</t>
  </si>
  <si>
    <t>10.1016/j.promfg.2020.01.258</t>
  </si>
  <si>
    <t>WOS:000889480200209</t>
  </si>
  <si>
    <t>The Market Inscribed Landscape: An Institutional Logic of Food Deserts</t>
  </si>
  <si>
    <t>CITY &amp; COMMUNITY</t>
  </si>
  <si>
    <t>Focusing on the institutional logics of the grocery industry, this paper argues that the neighborhood effects of a lack of resources provided by organizations to economically disadvantaged areas are moderated by institutional logics. From the 1930s to early 1970s, the grocery industry had a logic of economies of scale. A new mix-margin logic developed after the mid-1970s: using low margins on high-demand items to gain foot traffic needed to sell high-margin items. Using company-specific store location data (from 1970 to 1983), this paper analyzes whether differences in company philosophy affect their presence in economically disadvantaged zip codes. Results show that supermarkets were less likely to locate in economically disadvantaged zip codes when operating under a mix-margin philosophy. These results indicate a shift to a mix-margin institutional logic corresponded with an exodus from economically disadvantaged areas by the grocery industry after the mid-1970s.</t>
  </si>
  <si>
    <t>1535-6841</t>
  </si>
  <si>
    <t>1540-6040</t>
  </si>
  <si>
    <t>10.1111/cico.12365</t>
  </si>
  <si>
    <t>WOS:000461826600020</t>
  </si>
  <si>
    <t>Green, JJ; Worstell, J; Canarios, C; Haggard, R; Alford, K; Bush, S</t>
  </si>
  <si>
    <t>Green, John J.; Worstell, Jim; Canarios, Caroline; Haggard, Rachel; Alford, Katrina; Bush, Sydney</t>
  </si>
  <si>
    <t>Exploring the relationships between local agrifood system resilience, multiple measures of development, and health in the Southern United States</t>
  </si>
  <si>
    <t>Resilience has become an increasingly popular concept, with numerous frameworks to address a range of topics. Among other approaches, constructing domain-specific measures focused on the local level provides opportunities to explore the relationships between resilience and development concerns like inequality, poverty, health, and efforts to improve wellbeing. Informed by livelihoods, community capitals, and resilience literature, and using publicly available county-level data, this article explores the associations between agrifood system indicators, broader socioeconomic development, and health in the Southern US. Of interest are the associations between socioeconomic status, social capital, agrifood system resilience, traditional food desert measures, and population health outcomes of self-rated health and premature age-adjusted mortality. Regression analysis demonstrates that local agrifood system resilience is associated with population health. This study helps scholars, practitioners, and policy analysts to have a more nuanced understanding of the ways development of local agrifood systems intersect with broader community development goals.</t>
  </si>
  <si>
    <t>Green, John/Q-6829-2019</t>
  </si>
  <si>
    <t>Haggard, Rachel/0000-0002-8906-7521; Green, John/0000-0003-3559-071X</t>
  </si>
  <si>
    <t>10.1080/15575330.2018.1527778</t>
  </si>
  <si>
    <t>WOS:000470257100008</t>
  </si>
  <si>
    <t>IEEE</t>
  </si>
  <si>
    <t>Aragon, NU; Stuhlmacher, M; Smith, JP; Clinton, N; Georgescu, M</t>
  </si>
  <si>
    <t>Aragon, Nazli Uludere; Stuhlmacher, Michelle; Smith, Jordan P.; Clinton, Nicholas; Georgescu, Matei</t>
  </si>
  <si>
    <t>Urban agriculture's bounty: contributions to Phoenix's sustainability goals</t>
  </si>
  <si>
    <t>ENVIRONMENTAL RESEARCH LETTERS</t>
  </si>
  <si>
    <t>With over half of the world's population living in cities, there is mounting evidence indicating that investments in urban sustainability can deliver high returns on socioeconomic and environmental fronts. Current scholarship on urban agriculture (UA) reports a wide range of benefits which have been shown to vary with the scale and type of benefit examined. Notably, most city-scale studies do not align benefits of UA with locally meaningful goals. We fill this gap by conducting a city-scale analysis for Phoenix, the fifth largest city in the USA by population, and evaluate these benefits based on their ability to contribute to select desired outcomes specified in Phoenix's 2050 Sustainability Goals: the elimination of food deserts, provision of green open space, and energy and CO2 emissions savings from buildings. We consider three types of surfaces for UA deployment-undeveloped vacant lots, flat rooftops, and building facades-and find that the existing building stock provides 71% of available UA space in the study area. The estimated total food supply from UA is 183 000 tons per year, providing local produce in all existing food deserts of Phoenix, and meeting 90% of current annual consumption of fresh produce based on national per capita consumption patterns. UA would also add green open space and reduce by 60% the number of block groups underserved by public parks. Rooftop deployment of UA could reduce energy use in buildings and has the potential to displace more than 50 000 tons of CO2 per year. Our work highlights the importance of combining a data-driven framework with local information to address place-based sustainability goals and can be used as a template for city-scale evaluations of UA in alternate settings.</t>
  </si>
  <si>
    <t>Georgescu, Matei/G-5442-2011</t>
  </si>
  <si>
    <t>1748-9326</t>
  </si>
  <si>
    <t>10.1088/1748-9326/ab428f</t>
  </si>
  <si>
    <t>WOS:000500816300001</t>
  </si>
  <si>
    <t>Cachelin, A; Ivkovich, L; Jensen, P; Neild, M</t>
  </si>
  <si>
    <t>Cachelin, Adrienne; Ivkovich, Liz; Jensen, Peter; Neild, Milo</t>
  </si>
  <si>
    <t>Leveraging foodways for health and justice</t>
  </si>
  <si>
    <t>The global industrial food system is increasingly recognised as a source of poor health that deepens social and economic inequity. Health advocates, policy makers, and food activists strive to improve nutrition and food access across racial and ethnic divides; however, given established approaches, they may miss fundamental pathways for improving health and justice comprehensively. While food access and nutrition are often identified as primary concerns for marginalised communities and the reason for food insecurity and food-related illness, critical food justice scholars use a more expansive lens to suggest a democratised food system is needed, and that solutions based solely in access to healthy food can undermine more systemic approaches. Our research extends this analysis, highlighting the importance of endemic food culture (foodways) as a tool for retaining identity, building community, and maintaining health among refugee populations in one community in Salt Lake City, Utah. Further, this work suggests that community engagement and expertise is essential in leveraging foodways such that marginalised communities can effectively resist cheap, unhealthy, and placeless calories.</t>
  </si>
  <si>
    <t>MAY 4</t>
  </si>
  <si>
    <t>10.1080/13549839.2019.1585771</t>
  </si>
  <si>
    <t>WOS:000462966800002</t>
  </si>
  <si>
    <t>Nadadur, M; Chen, C; Duan, LW; Lee, MS; Chen, WS</t>
  </si>
  <si>
    <t>Nadadur, Malini; Chen, Cheng; Duan, Lewei; Lee, Mingsum; Chen, Wansu</t>
  </si>
  <si>
    <t>FOOD DESERT AND ITS IMPACT ON MORTALITY AND HOSPITALIZATION IN HEART FAILURE PATIENTS</t>
  </si>
  <si>
    <t>MAR 16-18, 2019</t>
  </si>
  <si>
    <t>MAR 12</t>
  </si>
  <si>
    <t>1244-531</t>
  </si>
  <si>
    <t>10.1016/S0735-1097(19)31468-8</t>
  </si>
  <si>
    <t>WOS:000460565900860</t>
  </si>
  <si>
    <t>Nayak, A; Geng, SY; Kalogeropoulos, A; Quyyumi, AA; Butler, J; Morris, AA</t>
  </si>
  <si>
    <t>Nayak, Aditi; Geng, Siyi; Kalogeropoulos, Andreas; Quyyumi, Arshed A.; Butler, Javed; Morris, Alanna A.</t>
  </si>
  <si>
    <t>Hyperhomocysteinemia Mediates the Association of Food Deserts With Recurrent Heart Failure Hospitalizations</t>
  </si>
  <si>
    <t>MAR 05-08, 2019</t>
  </si>
  <si>
    <t>Kalogeropoulos, Andreas/AET-1994-2022; Nayak, Aditi/AFS-5646-2022</t>
  </si>
  <si>
    <t>AP225</t>
  </si>
  <si>
    <t>10.1161/circ.139.suppl_1.P225</t>
  </si>
  <si>
    <t>WOS:000478079000172</t>
  </si>
  <si>
    <t>Lucan, SC</t>
  </si>
  <si>
    <t>Lucan, Sean C.</t>
  </si>
  <si>
    <t>Local Food Sources to Promote Community Nutrition and Health: Storefront Businesses, Farmers' Markets, and a Case for Mobile Food Vending</t>
  </si>
  <si>
    <t>10.1016/j.jand.2018.09.008</t>
  </si>
  <si>
    <t>WOS:000453824800010</t>
  </si>
  <si>
    <t>Furey, J; Klerman, JA; Grindal, T</t>
  </si>
  <si>
    <t>Furey, Jane; Klerman, Jacob Alex; Grindal, Todd</t>
  </si>
  <si>
    <t>Retailer Proximity and Nutrition Program Redemptions: Evidence From the Summer Electronic Benefit Transfer For Children Program</t>
  </si>
  <si>
    <t>Although nearly all Supplemental Nutrition Assistance Program benefits are redeemed, a moderate share of Special Supplemental Nutrition Program for Women, Infant, and Children (WIC) benefits go unredeemed. Some hypothesize that the redemption rate differences are due to the lower density of WIC-authorized retailers. For the 2012 Summer Electronic Benefit Transfer for Children sites, this paper finds no consistent evidence of a relationship between redemption rates and retailer proximity. In fact, households often travel past the closest participating retailer to redeem their benefits. These findings are consistent with recent food deserts literature, which suggests that correlations between retailer environment and nutritional outcomes are not causal. Rather, it appears that differences in redemption rates may be related to the restrictions on what foods can be redeemed in what form with WIC.</t>
  </si>
  <si>
    <t>Grindal, Todd/AAS-8481-2020</t>
  </si>
  <si>
    <t>Furey, Jane/0000-0002-0353-5997</t>
  </si>
  <si>
    <t>10.1093/aepp/ppy003</t>
  </si>
  <si>
    <t>WOS:000471345200005</t>
  </si>
  <si>
    <t>Warne, D; Wescott, S</t>
  </si>
  <si>
    <t>Warne, Donald; Wescott, Siobhan</t>
  </si>
  <si>
    <t>Social Determinants of American Indian Nutritional Health</t>
  </si>
  <si>
    <t>The American Indian (AI) population suffers from significant health disparities, including nutrition-related chronic diseases (diabetes, cancer, and heart disease). Several risk factors for disease and social determinants of health have unique histories in the AI population, including historical trauma, boarding schools, adverse childhood experiences, poverty, federal food programs, and food deserts. To effectively address these disparities, a multipronged approach in collaboration with stakeholders is needed to address the upstream social determinants of health and to increase access to healthier foods. Promising practices and strategies can be considered in several focus areas, including 1) improving existing food programs, 2) promoting breastfeeding and early childhood nutrition, 3) promoting food sovereignty and access to traditional foods, 4) expanding locally cultivated foods, and 5) taxing unhealthy foods and subsidizing healthier options. As these strategies are implemented, it is vital that they are studied, evaluated, and reported to expand tribally specific evidence-based practices.</t>
  </si>
  <si>
    <t>nzz054</t>
  </si>
  <si>
    <t>10.1093/cdn/nzz054</t>
  </si>
  <si>
    <t>WOS:000493060000009</t>
  </si>
  <si>
    <t>Paré, ER; Body, K; Gilstorf, S; Lucarelli, J</t>
  </si>
  <si>
    <t>Pare, Elizabeth R.; Body, Katherine; Gilstorf, Sarah; Lucarelli, Jennifer</t>
  </si>
  <si>
    <t>The role of food gateways at increasing access to alternative retail food outlets</t>
  </si>
  <si>
    <t>Alternative retail food outlets (ARFOs), places where customers purchase foods outside of traditional supermarkets, grocery stores, or food service establishments, may play a role in improving food access in communities that are food deserts. This study was conducted to understand the way ARFOs function to support food systems and access to fruits and vegetables in low-resource communities. This qualitative study conducted 16 interviews with managers, volunteers, and customers in two produce market ARFOs in a primarily minority urban community. Findings demonstrate that produce market volunteers and customers may act as food gateways, or an intermediate step in accessing food resources, in their communities by providing transportation to ARFOs, distributing food to isolated community members, and providing advocacy support to ARFOs. Interventions to increase food equity and access via ARFOs should examine how people serving as food gateways can assist in improving food access as intermediaries.</t>
  </si>
  <si>
    <t>10.1093/tbm/ibz089</t>
  </si>
  <si>
    <t>WOS:000496165800008</t>
  </si>
  <si>
    <t>Allcott, H; Diamond, R; Dubé, JP; Handbury, J; Rahkovsky, I; Schnell, M</t>
  </si>
  <si>
    <t>Allcott, Hunt; Diamond, Rebecca; Dube, Jean-Pierre; Handbury, Jessie; Rahkovsky, Ilya; Schnell, Molly</t>
  </si>
  <si>
    <t>FOOD DESERTS AND THE CAUSES OF NUTRITIONAL INEQUALITY</t>
  </si>
  <si>
    <t>QUARTERLY JOURNAL OF ECONOMICS</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</si>
  <si>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 D12, I12, I14, L81, R20.</t>
  </si>
  <si>
    <t>0033-5533</t>
  </si>
  <si>
    <t>1531-4650</t>
  </si>
  <si>
    <t>10.1093/qje/qjz015</t>
  </si>
  <si>
    <t>WOS:000489163400003</t>
  </si>
  <si>
    <t>NOV 19</t>
  </si>
  <si>
    <t>Young, BP</t>
  </si>
  <si>
    <t>Young, Barry P.</t>
  </si>
  <si>
    <t>Exploring Differences in the Rate of Type 2 Diabetes Among American Cities: How Urbanization Continues to Challenge the Traditional Epidemiological View</t>
  </si>
  <si>
    <t>As the world's largest urban regions continue to expand, a concomitant rise in non-communicable diseases, particularly type 2 diabetes, poses an increasingly ominous challenge to experts in the field of public health. Given that the majority of the world's population (54%) resides in urban areas, a figure likely to reach two-thirds by 2050, this issue presents serious implications for medical practitioners as well as policymakers seeking to manage long-term healthcare costs while sustaining historic increases in life expectancy. To explore how these trends are continuing to affect the United States, a multiple regression analysis was conducted using data provided by the Centers for Disease Control and Prevention (CDC) through their initiative, 500 Cities: Local Data for Better Health. The regression models revealed that larger cities reported significantly higher rates of type 2 diabetes even after controlling for variables that have been perennially linked to disease onset (e.g., levels of obesity, sedentary behavior). Implications are discussed, most notably the argument for moving beyond the 'food desert' paradigm when identifying and explaining which characteristics of larger cities place their residents at increased risk. This approach could help reveal opportunities for intervention that may not have garnered sufficient attention in the extant literature.</t>
  </si>
  <si>
    <t>10.3390/urbansci3020053</t>
  </si>
  <si>
    <t>WOS:000621634500015</t>
  </si>
  <si>
    <t>Congdon, P</t>
  </si>
  <si>
    <t>Congdon, Peter</t>
  </si>
  <si>
    <t>Obesity and Urban Environments</t>
  </si>
  <si>
    <t>Obesity is a major public health issue, affecting both developed and developing societies. Obesity increases the risk for heart disease, stroke, some cancers, and type II diabetes. While individual behaviours are important risk factors, impacts on obesity and overweight of the urban physical and social environment have figured large in the recent epidemiological literature, though evidence is incomplete and from a limited range of countries. Prominent among identified environmental influences are urban layout and sprawl, healthy food access, exercise access, and the neighbourhood social environment. This paper reviews the literature and highlights the special issue contributions within that literature.</t>
  </si>
  <si>
    <t>Congdon, Peter/P-3639-2018</t>
  </si>
  <si>
    <t>Congdon, Peter/0000-0003-1934-9205</t>
  </si>
  <si>
    <t>10.3390/ijerph16030464</t>
  </si>
  <si>
    <t>WOS:000459113600170</t>
  </si>
  <si>
    <t>Singleton, CR; Li, Y; Odoms-Young, A; Zenk, SN; Powell, LM</t>
  </si>
  <si>
    <t>Singleton, Chelsea R.; Li, Yu; Odoms-Young, Angela; Zenk, Shannon N.; Powell, Lisa M.</t>
  </si>
  <si>
    <t>Change in Food and Beverage Availability and Marketing Following the Introduction of a Healthy Food Financing Initiative-Supported Supermarket</t>
  </si>
  <si>
    <t>AMERICAN JOURNAL OF HEALTH PROMOTION</t>
  </si>
  <si>
    <t>Purpose: The Healthy Food Financing Initiative (HFFI) aims to expand access to healthy foods in low-resourced communities across the United States. This study examined changes in food and beverage availability and marketing in nearby small food stores after the opening of an HFFI-supported supermarket in a predominately low-income and African American community. Design: Natural experiment. Setting: Rockford, Illinois. Participants: A full audit was conducted of the small grocery and limited service stores located in a 1-mile radius around the new supermarket (N = 22) and a 1-square mile area within a nearby demographically matched comparison community (N = 18). Stores were audited in 2015 (1 month preopening) and 2016 (1 year afterward). Measures: Store characteristics, item availability, and interior and exterior promotions/advertisements were examined. Analysis: Difference-in-difference (DID) regression models assessed pre- and postintervention changes in availability and marketing between small food stores in the intervention and comparison communities. Results: The DID regression models indicated no difference between intervention and comparison communities with respect to changes in availability and marketing of all food items with the exception of frozen vegetables which had higher availability postintervention in the comparison community versus intervention (beta for interaction term = .67; standard error: 0.33; P = .04). Conclusion: After the opening of the HFFI-supported supermarket, food and beverage availability and marketing in nearby small food stores did not change significantly. However, the wide range of staple foods offered by the supermarket contributed to the expansion of healthy food retail in the intervention community.</t>
  </si>
  <si>
    <t>Odoms-Young, Angela/AGT-6945-2022; Zennk, Shannon/D-4096-2018</t>
  </si>
  <si>
    <t>0890-1171</t>
  </si>
  <si>
    <t>2168-6602</t>
  </si>
  <si>
    <t>10.1177/0890117118801744</t>
  </si>
  <si>
    <t>WOS:000465287100005</t>
  </si>
  <si>
    <t>Como, DH; Duker, LIS; Polido, JC; Cermak, SA</t>
  </si>
  <si>
    <t>Como, Dominique H.; Duker, Leah I. Stein; Polido, Jose C.; Cermak, Sharon A.</t>
  </si>
  <si>
    <t>The Persistence of Oral Health Disparities for African American Children: A Scoping Review</t>
  </si>
  <si>
    <t>Oral health is an important yet often neglected component of overall health, linked to heart disease, stroke, and diabetic complications. Disparities exist for many groups, including racial and ethnic minorities such as African Americans. The purpose of this study was to examine the potential factors that perpetuate oral health care disparities in African American children in the United States. A systematic search of three literature databases produced 795 articles; 23 articles were included in the final review. Articles were analyzed using a template coding approach based on the social ecological model. The review identified structural, sociocultural, and familial factors that impact the ability of African Americans to utilize oral care services, highlighting the importance of the parent/caregiver role and the patient-provider relationship; policy-level processes that impact access to quality care; the value of autonomy in treatment and prevention options; and the impact of sociocultural factors on food choices (e.g., food deserts, gestures of affection). In conclusion, oral health care remains an underutilized service by African American children, despite increasing access to oral care secondary to improvements in insurance coverage and community-based programs.</t>
  </si>
  <si>
    <t>Duker, Leah/R-4232-2019; Cermak, Sharon/HNP-1073-2023</t>
  </si>
  <si>
    <t>Stein Duker, Leah/0000-0001-7208-9401; Cermak, Sharon/0000-0002-8300-5450</t>
  </si>
  <si>
    <t>1661-7827</t>
  </si>
  <si>
    <t>MAR 1</t>
  </si>
  <si>
    <t>10.3390/ijerph16050710</t>
  </si>
  <si>
    <t>WOS:000462664200035</t>
  </si>
  <si>
    <t>Hanci, O; Jeanes, YM</t>
  </si>
  <si>
    <t>Hanci, Ozan; Jeanes, Yvonne M.</t>
  </si>
  <si>
    <t>Are gluten-free food staples accessible to all patients with coeliac disease?</t>
  </si>
  <si>
    <t>FRONTLINE GASTROENTEROLOGY</t>
  </si>
  <si>
    <t>Introduction Within England the removal of prescribed gluten-free (GF) foods from many Clinical Commissioning Groups has resulted in a greater reliance on commercially available GF food by adults and children with coeliac disease (CD). High cost and limited availability of GF foods are associated with poorer dietary adherence in people with CD. Aim To assess if the rise in popularity of GF diets globally has improved the cost or availability of cereal-based GF foods over the past 6 years. Design Observational study where data were collected on cereal-based GF foods from 50 stores and 10 internet retailers. The number of GF foods within each food category and the cost per 100 g of GF and gluten-containing (GC) foods were compared by store type. Results GF food availability has increased in premium stores and online. The majority (82%) of GF food categories were significantly more expensive online compared with regular supermarkets. On average, GF breads were 400% more expensive compared with GC breads (p&lt;0.001); no narrowing in cost difference over time observed. Convenience stores did not stock any GF bread nor GF pasta and only one of the budget supermarkets stocked them, similar to data reported 6 years ago. Conclusions GF food availability has increased, predominately in premium markets. The GF food desert within convenience and budget stores will continue to disproportionately impact poor socioeconomic cohorts, the elderly and physically disabled. A lack of accessibility to GF foods impacts GF dietary adherence, increasing related comorbidities and healthcare costs.</t>
  </si>
  <si>
    <t>Jeanes, Yvonne/0000-0002-0108-1645</t>
  </si>
  <si>
    <t>2041-4137</t>
  </si>
  <si>
    <t>2041-4145</t>
  </si>
  <si>
    <t>10.1136/flgastro-2018-101088</t>
  </si>
  <si>
    <t>WOS:000471153700005</t>
  </si>
  <si>
    <t>Clark, JK; Rouse, C; Sehgal, AK; Bailey, M; Bell, BA; Pike, SN; Sharpe, PA; Freedman, DA</t>
  </si>
  <si>
    <t>Clark, Jill K.; Rouse, Chaturia; Sehgal, Ashwini K.; Bailey, Mary; Bell, Bethany A.; Pike, Stephanie N.; Sharpe, Patricia A.; Freedman, Daily A.</t>
  </si>
  <si>
    <t>A food hub to address healthy food access gaps: Residents' preferences</t>
  </si>
  <si>
    <t>Interventions aimed at improving access to healthy food in low-income communities should consider the preferences of residents. Household food shoppers in two urban, low-income communities were asked about their preferences for vendors at, and qualities of, a potential nearby food hub. Universally, participants preferred availability of whole foods, primarily fruits and vegetables. They also favored cleanliness, quality, and affordability. The demographics and preferences of potential customers raise central issues that would need to be integrated into the development of a food hub, namely affordability (likely through subsidization), attention to accommodation and cultural accessibility, and programming that builds community.</t>
  </si>
  <si>
    <t>Bell, Bethany/AAV-6917-2021; Clark, Jill/A-1661-2013</t>
  </si>
  <si>
    <t>10.5304/jafscd.2019.091.010</t>
  </si>
  <si>
    <t>WOS:000483357200007</t>
  </si>
  <si>
    <t>Shirey, T; Qi, RW; Nayak, A; Udeshi, E; Patel, S; Butler, J; Quyyumi, AA; Morris, AA</t>
  </si>
  <si>
    <t>Shirey, Tracy; Qi, Ruowen; Nayak, Aditi; Udeshi, Eisha; Patel, Shivani; Butler, Javed; Quyyumi, Arshed A.; Morris, Alanna A.</t>
  </si>
  <si>
    <t>Differences in Self-Care and Symptoms Do Not Explain the Higher Frequency of Hospitalization in Heart Failure Patients Who Lives in a Food Desert</t>
  </si>
  <si>
    <t>NOV 16-18, 2019</t>
  </si>
  <si>
    <t>Philadelphia, PA</t>
  </si>
  <si>
    <t>Nayak, Aditi/AFS-5646-2022</t>
  </si>
  <si>
    <t>A14750</t>
  </si>
  <si>
    <t>WOS:000529998005264</t>
  </si>
  <si>
    <t>Cometti, M; Fredette, D; Panek, AE; Radley, M</t>
  </si>
  <si>
    <t>Cometti, Mario; Fredette, Damara; Panek, Ashley Elizabeth; Radley, Maxwell</t>
  </si>
  <si>
    <t>From Markets to Tech: Governmental Initiatives, Solutions, and Responses to Food Insecurity</t>
  </si>
  <si>
    <t>Food security, or lack thereof, is a global issue, affecting millions of people worldwide. Although it has been determined that there is enough food on the planet to feed everyone, nearly one-third suffer from some form of malnutrition. The purpose of this paper is to bring awareness to this global crisis. The introduction defines food security and food deserts, supported by global and U.S. statistics. Next, the paper discusses the federal and regional initiatives within the U.S. to eliminate food insecurity, including federal laws and individual state laws. The paper highlights the Right to Farm initiative promulgated by New York state, as well as the Farmers' Market of Troy, New York, as attempts to combat food insecurity. The paper then discusses another large metropolitan area in the U.S., Seattle, Washington, and its response to food insecurity: Seattle's Farm-To-Table Initiative and Fresh Bucks program. Next, the discussion turns to advancing technology and its ability to bridge gaps in food accessibility. For example, Sweden has implemented an unstaffed twenty-four-hour grocery store using technology to complete the transactions. Smiliar solutions are being tested in communities in China. Furthermore, Amazon GO, launched in 2016 in Seattle, Washington, is one of the most recent innovations, allowing shoppers to use an Amazon account to track their purchases. The paper concludes by calling on the more economically influential countries to prioritize food security in their respective nations.</t>
  </si>
  <si>
    <t>e1860</t>
  </si>
  <si>
    <t>10.1002/pa.1860</t>
  </si>
  <si>
    <t>WOS:000481524400001</t>
  </si>
  <si>
    <t>Gailey, S; Bruckner, TA</t>
  </si>
  <si>
    <t>Gailey, Samantha; Bruckner, Tim A.</t>
  </si>
  <si>
    <t>Obesity among black women in food deserts: An omnibus test of differential risk</t>
  </si>
  <si>
    <t>SSM-POPULATION HEALTH</t>
  </si>
  <si>
    <t>The omnibus hypothesis, as forwarded by Ford and Dzewaltowski (2008), asserts that poor-quality food environments differentially affect low- and high-socioeconomic status (SES) populations. Accordingly, we examine, in a large sample of non-Hispanic (NH) black women, whether low access to healthy food corresponds with increased risk of obesity among residents of low- and high-poverty neighborhoods. In addition, we analyze whether any discovered association between low-food access and obesity appears stronger in neighborhoods with a high proportion of black residents. We retrieved body mass index (BMI) data for 97,366 NH black women residing in 6258 neighborhoods from the California Department of Public Health birth files for years 2007-2010. We linked BMI data with census tract-level data on neighborhood food access from the 2010 Food Access Research Atlas and neighborhood poverty and black composition from the 2006-2010 American Community Survey 5-year estimates. We applied generalized estimating equation methods that permit analysis of clustered data within neighborhoods. Methods also controlled for individual-level characteristics which might confound the relation between food access and obesity, including health insurance status, age, education, and parity. Results indicate that low-food access does not impact risk of obesity among NH black women residing in low-poverty neighborhoods. However, low-food access varies positively with risk of obesity in high-poverty neighborhoods. Moreover, the association between low- food access and obesity appears stronger in high-poverty, high-black composition neighborhoods, relative to high-poverty, low-black composition neighborhoods. Our findings support the omnibus hypothesis and indicate a potential interaction between factors in the local food and social environments on an individual's risk of obesity.</t>
  </si>
  <si>
    <t>Gailey, Samantha/F-1601-2016</t>
  </si>
  <si>
    <t>Gailey, Samantha/0000-0002-4654-1211</t>
  </si>
  <si>
    <t>2352-8273</t>
  </si>
  <si>
    <t>10.1016/j.ssmph.2019.100363</t>
  </si>
  <si>
    <t>WOS:000477864100056</t>
  </si>
  <si>
    <t>Logan, TM; Williams, TG; Nisbet, AJ; Liberman, KD; Zuo, CT; Guikema, SD</t>
  </si>
  <si>
    <t>Logan, T. M.; Williams, T. G.; Nisbet, A. J.; Liberman, K. D.; Zuo, C. T.; Guikema, S. D.</t>
  </si>
  <si>
    <t>Evaluating urban accessibility: leveraging open-source data and analytics to overcome existing limitations</t>
  </si>
  <si>
    <t>ENVIRONMENT AND PLANNING B-URBAN ANALYTICS AND CITY SCIENCE</t>
  </si>
  <si>
    <t>We revisit the standard methodology for evaluating proximity to urban services and recommend enhancements to address existing limitations. Existing approaches often simplify their measure of proximity by using large areal units and by imposing arbitrary distance thresholds. By doing so, these approaches risk overlooking vulnerable, access-poor populations - the very populations that such studies are often trying to identify. These limitations are primarily motivated by computational constraints. However, recent advances in computational power, open data, and open-source analytics permit high-resolution proximity analyses on large scales. Given the impetus for equitable accessibility in our communities, this is of fundamental importance for researchers and practitioners. In this paper, we present an approach that leverages these open source advances to (a) measure proximity using network distance at the building level, (b) estimate population at that level, and (c) present the resulting distributions so vulnerable populations can be identified. Using three cities and modes of transport, we demonstrate how the approach enhances existing measures and identifies service-poor populations where the previous methods fall short. The proximity results could be used alone, or as inputs to access metrics. Our collating of these components into an open source code provides opportunities for researchers and practitioners to explore fine-resolution, city-wide accessibility across multiple cities and the host of questions that follow.</t>
  </si>
  <si>
    <t>Logan, Tom/J-7609-2019</t>
  </si>
  <si>
    <t>Williams, Tim/0000-0001-5642-728X; Logan, Thomas/0000-0002-9209-3018</t>
  </si>
  <si>
    <t>2399-8083</t>
  </si>
  <si>
    <t>2399-8091</t>
  </si>
  <si>
    <t>10.1177/2399808317736528</t>
  </si>
  <si>
    <t>WOS:000471881100007</t>
  </si>
  <si>
    <t>Miesing, P</t>
  </si>
  <si>
    <t>Miesing, Paul</t>
  </si>
  <si>
    <t>Introduction to the special issue on food deserts and security: Bringing together diverse voices</t>
  </si>
  <si>
    <t>e1998</t>
  </si>
  <si>
    <t>10.1002/pa.1998</t>
  </si>
  <si>
    <t>WOS:000481524400017</t>
  </si>
  <si>
    <t>Brandt, EJ; Silvestri, DM; Mande, JR; Holland, ML; Ross, JS</t>
  </si>
  <si>
    <t>Brandt, Eric J.; Silvestri, David M.; Mande, Jerold R.; Holland, Margaret L.; Ross, Joseph S.</t>
  </si>
  <si>
    <t>Availability of Grocery Delivery to Food Deserts in States Participating in the Online Purchase Pilot</t>
  </si>
  <si>
    <t>JAMA NETWORK OPEN</t>
  </si>
  <si>
    <t>Brandt, Eric/AAH-1157-2019; Holland, Margaret/B-1448-2008</t>
  </si>
  <si>
    <t>Ross, Joseph/0000-0002-9218-3320; Holland, Margaret/0000-0002-6205-1538; Brandt, Eric/0000-0001-5463-4533</t>
  </si>
  <si>
    <t>2574-3805</t>
  </si>
  <si>
    <t>e1916444</t>
  </si>
  <si>
    <t>10.1001/jamanetworkopen.2019.16444</t>
  </si>
  <si>
    <t>WOS:000512329100010</t>
  </si>
  <si>
    <t>Madzia, J; McKinney, D; Kelly, E; DeFranco, E</t>
  </si>
  <si>
    <t>Madzia, Juliana; McKinney, David; Kelly, Elizabeth; DeFranco, Emily</t>
  </si>
  <si>
    <t>Gestational weight gain and preterm birth risk for underweight women living in Ohio food deserts</t>
  </si>
  <si>
    <t>FEB 11-16, 2019</t>
  </si>
  <si>
    <t>Las Vegas, NV</t>
  </si>
  <si>
    <t>S468</t>
  </si>
  <si>
    <t>10.1016/j.ajog.2018.11.733</t>
  </si>
  <si>
    <t>WOS:000454249402188</t>
  </si>
  <si>
    <t>Freire, T; Rudkin, S</t>
  </si>
  <si>
    <t>Freire, Tiago; Rudkin, Simon</t>
  </si>
  <si>
    <t>Healthy food diversity and supermarket interventions: Evidence from the Seacroft Intervention Study</t>
  </si>
  <si>
    <t>Supermarket interventions have been a commonly used treatment for problems of fresh fruit accessibility in areas of previously limited availability, their wide ranges of healthy products and lower-prices making them seemingly perfect for promoting better diets. Empirical studies likewise fall in favour. However, this diversity also serves to give consumers opportunity to entrench bad habits and simply purchase more of the unhealthy foods they enjoy. In this paper we develop a new health index based upon UK government guidelines and look to the Seacroft Intervention Study for empirical evidence of supermarket impact thereupon. Using fixed effects unconditional quantile regression to provide robustness to our parameter estimates against covariate specification, we reinforce the message that supermarkets are not a panacea for dietary improvement Whilst diversity increasPs post-intervention it is unlikely to be healthful, entrenching poor dietary habits rather than delivering improvement as intended. Careful consideration of planning policy, health education and sector regulation is needed.</t>
  </si>
  <si>
    <t>; Freire, Tiago/C-1035-2018</t>
  </si>
  <si>
    <t>Rudkin, Simon/0000-0001-8622-7318; Freire, Tiago/0000-0001-7840-7431</t>
  </si>
  <si>
    <t>10.1016/j.foodpol.2018.12.006</t>
  </si>
  <si>
    <t>WOS:000464090500014</t>
  </si>
  <si>
    <t>2406-6168</t>
  </si>
  <si>
    <t>Hsiao, BS; Sibeko, L; Troy, LM</t>
  </si>
  <si>
    <t>Hsiao, Bi-sek; Sibeko, Lindiwe; Troy, Lisa M.</t>
  </si>
  <si>
    <t>A Systematic Review of Mobile Produce Markets: Facilitators and Barriers to Use, and Associations with Reported Fruit and Vegetable Intake</t>
  </si>
  <si>
    <t>Background Diet-related chronic diseases are a major public health burden. There is growing awareness that disparities in healthful food access contribute to disparities in health. Mobile produce markets (MPMs) have emerged as a strategy to improve fruit and vegetable access and consumption, particularly among low-income, minority, and other vulnerable populations (eg, older adults and children) in food desert neighborhoods. Objective This review examined research on MPMs in the United States and specifically aimed to assess the relationship between MPM use and fruit and/or vegetable intake, and facilitators and barriers related to MPM use within a social ecological framework. Methods A systematic review of the literature consistent with PRISMA (Preferred Reporting Items for Systematic Reviews and Meta-Analyses) guidelines was conducted. Articles published through December 2017 were identified using the following databases: Web of Science, PubMed, Agricola, and CAB Abstracts. MPM studies published in English and in peer-reviewed journals were eligible for inclusion if they were based on primary research of MPMs in the United States, included results, and if MPMs were analyzed separately from other market venues and sold predominantly fruits and/or vegetables. A total of 24 studies were identified for inclusion, which varied in study types as follows: quantitative (n = 15), qualitative (n = 3), and mixed methods (n = 6). Results An association was found between MPM use and higher reported fruit and/or vegetable intake, although existing studies that measured fruit and vegetable intake were not rigorous in study design (eg, lack of control group, use of convenience sample, small sample size). MPM location was the most commonly cited facilitator of MPM use. Other institutional factors (eg, nutrition education), as well as policy factors (eg, food-assistance programs), community factors (eg, market site liaisons), interpersonal factors (eg, socializing at market), and intrapersonal factors (eg, awareness of the benefits of fruit and/or vegetable intake) were identified. Conclusions MPMs offer a promising strategy to improve access to fruits and vegetables and may further support healthful-food purchasing and consumption through food-assistance incentives and enticements for consumers (eg, opportunities for social networking and nutrition education). Future research on MPMs would benefit from more rigorous experimental designs, such as including a control group, and examining multiple levels within a social ecological framework.</t>
  </si>
  <si>
    <t>10.1016/j.jand.2018.02.022</t>
  </si>
  <si>
    <t>WOS:000453824800014</t>
  </si>
  <si>
    <t>Balsas, CJL</t>
  </si>
  <si>
    <t>Balsas, Carlos J. L.</t>
  </si>
  <si>
    <t>The role of public markets in urban habitability and competitiveness</t>
  </si>
  <si>
    <t>JOURNAL OF PLACE MANAGEMENT AND DEVELOPMENT</t>
  </si>
  <si>
    <t>Purpose The purpose of this paper is to examine public market functions in three different continents (Europe, North America and Asia) and to identify a set of planning implications for their use in contexts of urban regeneration. Design/methodology/approach The paper presents a comparative analysis of four downtown market functions based on the LABiMAAM framework: [L]ocation; [A]ccessibility; [B]uilding; nternal structure; [M]ain trading area; [A]menities and services; [A]nimation program; and [M]anagement structure. Findings The lessons learned suggest that centrally located public markets possess: social functions aimed at guaranteeing food security, urban development goals that prevent the leap-frog suburbanization of the territory, walkability goals that reduce automobile dependence and welfare goals that support disenfranchised, usually minority, populations. Originality/value This study results from the realization of increasing developmental pressures and widespread tendencies to multiply specialized retail offers in both traditional, and especially, innovative commercial formats. The findings comprise the identification of public policies aimed at augmenting the relevance of commercial urbanism and urban regeneration strategies.</t>
  </si>
  <si>
    <t>Balsas, Ph.D., AICP, Carlos J. L./0000-0002-4714-9879</t>
  </si>
  <si>
    <t>1753-8335</t>
  </si>
  <si>
    <t>1753-8343</t>
  </si>
  <si>
    <t>NOV 13</t>
  </si>
  <si>
    <t>10.1108/JPMD-05-2019-0033</t>
  </si>
  <si>
    <t>NOV 2019</t>
  </si>
  <si>
    <t>WOS:000505824800001</t>
  </si>
  <si>
    <t>Huang, YY; Tovar, A; Taylor, J; Vadiveloo, M</t>
  </si>
  <si>
    <t>Huang, Yuyao; Tovar, Alison; Taylor, John; Vadiveloo, Maya</t>
  </si>
  <si>
    <t>Staple Food Item Availability among Small Retailers in Providence, RI</t>
  </si>
  <si>
    <t>Inventory requirements for authorized Supplemental Nutrition Assistance Program (SNAP) retailers have undergone several revisions to increase the availability of healthful foods. A proposed rule of 84 staple food items was not implemented due to concerns that stores would not withstand this expansion, resulting in a final rule requiring 36 items. This study used the Food Access Research Atlas data to characterize food provisions in 30 small retailers in areas with high and low proportions of SNAP and racial minority residents in Providence, Rhode Island (RI). Stores were assessed with an audit instrument to tally variety, perishability, and depth of stock of four staple food categories. Descriptive, analysis of variance, and chi-square analyses were performed. Across stores, 80% were compliant with the final rule, but 66.7% would need to expand their offerings to meet the proposed rule. Mean dairy variety was lowest among all categories (p &lt; 0.05). Most stores met the perishability (92.3%) and depth-of-stock requirements (96.1%) under both rules. No difference was detected between areas with high and low proportions of SNAP and racial minority residents. Future expansion of requirements may increase healthful food availability without imposing undue burdens on retailers in Providence, RI, excluding increased requirements for dairy variety.</t>
  </si>
  <si>
    <t>Taylor, John/0000-0002-0689-9032</t>
  </si>
  <si>
    <t>MAR 2</t>
  </si>
  <si>
    <t>10.3390/ijerph16061052</t>
  </si>
  <si>
    <t>WOS:000465159500152</t>
  </si>
  <si>
    <t>Ma, ML; Saitone, TL; Volpe, RJ; Sexton, RJ; Saksena, M</t>
  </si>
  <si>
    <t>Ma, Meilin; Saitone, Tina L.; Volpe, Richard J.; Sexton, Richard J.; Saksena, Michelle</t>
  </si>
  <si>
    <t>Market Concentration, Market Shares, and Retail Food Prices: Evidence from the US Women, Infants, and Children Program</t>
  </si>
  <si>
    <t>We explore pricing in local food-retailing markets where supermarkets operate versus those occupied solely by smaller food retailers. Using data from the Women, Infants, and Children program in the Greater Los Angeles area, we show that supermarkets do not raise prices in local markets or as a function of market concentration or firm market shares. Smaller food retailers charge substantially higher prices on average than supermarkets. Their prices increase with market concentration and shares of sales, especially when small retailers face no direct competition from supermarkets. Given the dominance of small retailers in some low-income areas, our findings have important implications regarding local market power, food costs, and supermarket entry.</t>
  </si>
  <si>
    <t>10.1093/aepp/ppy016</t>
  </si>
  <si>
    <t>WOS:000493326700010</t>
  </si>
  <si>
    <t>Dubowitz, T; Dastidar, MG; Richardson, AS; Colabianchi, N; Beckman, R; Hunter, GP; Sloan, JC; Nugroho, AK; Collins, RL</t>
  </si>
  <si>
    <t>Dubowitz, Tamara; Dastidar, Madhumita Ghosh; Richardson, Andrea S.; Colabianchi, Natalie; Beckman, Robin; Hunter, Gerald P.; Sloan, Jennifer C.; Nugroho, Alvin K.; Collins, Rebecca L.</t>
  </si>
  <si>
    <t>Results from a natural experiment: initial neighbourhood investments do not change objectively-assessed physical activity, psychological distress or perceptions of the neighbourhood</t>
  </si>
  <si>
    <t>BackgroundFew studies have assessed objectively measured physical activity (PA), active transportation, psychological distress and neighborhood perceptions among residents of a neighborhood before and after substantial improvements in its physical environment. Also, most research-to-date has employed study designs subject to neighborhood selection, which may introduce bias in reported findings.We built upon a previously enrolled cohort of households from two low-income predominantly African American Pittsburgh neighborhoods, matched on socio-demographic composition including race/ethnicity, income and education. One of the two neighborhoods received substantial neighborhood investments over the course of this study including, but not limited to public housing development and greenspace/landscaping. We implemented a natural experiment using matched intervention and control neighborhoods and conducted pre-post assessments among the cohort. Our comprehensive assessments included accelerometry-based PA, active transportation, psychological distress and perceptions of the neighborhood, with assessments conducted both prior to and following the neighborhood changes. In 2013, we collected data from 1003 neighborhood participants and in 2016, we re-interviewed 676 of those participants. We conducted an intent to treat analysis, with a difference-in-difference estimator using attrition weighting to account for nonresponse between 2013 and 2016. In addition, we derived an individual-level indicator of exposure to neighbourhood investment and estimated effect of exposure to investment on the same set of outcomes using covariate-adjusted models.ResultsWe observed no statistically significant differences in activity, psychological distress, satisfaction with one's neighborhood as a place to live or any of the other measures we observed prior to and after the neighborhood investments between the intervention and control neighborhoods or those exposed vs not exposed to investments.ConclusionsUsing this rigorous study design, we observed no significant changes in the intervention neighborhood above and beyond secular trends present in the control neighborhood. Although neighborhood investment may have other benefits, we failed to see improvement in PA, psychological distress or related outcomes in the low-income African American neighborhoods in our study. This may be an indication that improvements in the physical environment may not directly translate into improvements in residents' physical activity or health outcomes without additional individual-level interventions. It is also possible that these investments were not dramatic enough to spur change within the three year period. Additional studies employing similar design with other cohorts in other settings are needed to confirm these results.Trial registrationTrial Registration is not applicable since we did not prospectively assign individuals to a health-related intervention.</t>
  </si>
  <si>
    <t>Colabianchi, Natalie/AAX-4395-2020</t>
  </si>
  <si>
    <t>Dubowitz, Tamara/0000-0003-4035-9782; Colabianchi, Natalie/0000-0002-7951-9475</t>
  </si>
  <si>
    <t>MAR 27</t>
  </si>
  <si>
    <t>10.1186/s12966-019-0793-6</t>
  </si>
  <si>
    <t>WOS:000462966900001</t>
  </si>
  <si>
    <t>Campbell, C; Pinedo, MMC; Midgette, W; Vieira, J</t>
  </si>
  <si>
    <t>Campbell, Colin; Calderon Pinedo, Monica Maria; Midgette, Willa; Vieira, Justin</t>
  </si>
  <si>
    <t>The Consequences of Living in a Small-town Food Desert: Mixed Methods Evidence from a Quasi-Experiment</t>
  </si>
  <si>
    <t>SOCIAL CURRENTS</t>
  </si>
  <si>
    <t>Past research finds that living in a food desert is associated with an unhealthy diet and poor health; however, more recent studies of urban food deserts suggest that these findings may be spurious. In this article, we leverage the flooding and subsequent closing of the only grocery store in a small town to examine the effects of living in a small-town food desert. Using difference-in-difference methods, we find that opening a grocery store in a small-town food desert is not associated with changes in diet, but we find that opening a grocery store in a food desert is associated with improved food access. Findings from in-depth interviews shed further light on how residents of a small-town food desert decide where to shop and how routine activities provide access to a range of nonlocal grocery stores. Moreover, we find that the absence of a grocery store negatively affects social relationships. While the findings add to growing skepticism about food desert effects on diet, the findings reveal important food desert effects on food access and also the social consequences of living in a food desert.</t>
  </si>
  <si>
    <t>2329-4965</t>
  </si>
  <si>
    <t>2329-4973</t>
  </si>
  <si>
    <t>10.1177/2329496520928428</t>
  </si>
  <si>
    <t>WOS:000579381100005</t>
  </si>
  <si>
    <t>Hamidi, S</t>
  </si>
  <si>
    <t>Hamidi, Shima</t>
  </si>
  <si>
    <t>Urban sprawl and the emergence of food deserts in the USA</t>
  </si>
  <si>
    <t>Providing access to a variety of healthy and affordable foods has been the goal of several federal and state policy initiatives in the USA. The first step towards the successful implementation of these initiatives is to identify food deserts and to understand the mechanism by which food deserts arise. This national-level study investigates the association between urban sprawl and the emergence of food deserts at both regional and neighbourhood levels. Multilevel analysis is used to model the likelihood of a census tract being a food desert, controlling for sociodemographic and built environmental characteristics. We find that urban sprawl, measured via a compactness index, holds a significant association with the likelihood of a census tract being a food desert. Specifically, a one unit increase in the compactness index is associated with a 5.6% decrease in the odds of a census tract being a food desert. In conclusion, we recommend increasing the land use density, mix and walkability of neighbourhoods to create a supportive and attractive environment for food retailers in which to invest.</t>
  </si>
  <si>
    <t>Hamidi, Shima/D-9363-2014</t>
  </si>
  <si>
    <t>Hamidi, Shima/0000-0001-6717-5700</t>
  </si>
  <si>
    <t>10.1177/0042098019841540</t>
  </si>
  <si>
    <t>WOS:000534334700004</t>
  </si>
  <si>
    <t>Stowers, KC; Jiang, QX; Atoloye, AT; Lucan, S; Gans, K</t>
  </si>
  <si>
    <t>Stowers, Kristen Cooksey; Jiang, Qianxia; Atoloye, Abiodun T.; Lucan, Sean; Gans, Kim</t>
  </si>
  <si>
    <t>Racial Differences in Perceived Food Swamp and Food Desert Exposure and Disparities in Self-Reported Dietary Habits</t>
  </si>
  <si>
    <t>Both food swamps and food deserts have been associated with racial, ethnic, and socioeconomic disparities in obesity rates. Little is known about how the distribution of food deserts and food swamps relate to disparities in self-reported dietary habits, and health status, particularly for historically marginalized groups. In a national U.S. sample of 4305 online survey participants (age 18+), multinomial logistic regression analyses were used to assess by race and ethnicity the likelihood of living in a food swamp or food desert area. Predicted probabilities of self-reported dietary habits, health status, and weight status were calculated using the fitted values from ordinal or multinomial logistic regression models adjusted for relevant covariates. Results showed that non-Hispanic, Black participants (N = 954) were most likely to report living in a food swamp. In the full and White subsamples (N = 2912), the perception of residing in a food swamp/desert was associated with less-healthful self-reported dietary habits overall. For non-Hispanic Blacks, regression results also showed that residents of perceived food swamp areas (OR = 0.66, p &lt; 0.01, 95% CI (0.51, 0.86)) had a lower diet quality than those not lving in a food swamp/food desert area. Black communities in particular may be at risk for environment-linked diet-related health inequities. These findings suggest that an individual's perceptions of food swamp and food desert exposure may be related to diet habits among adults.</t>
  </si>
  <si>
    <t>Atoloye, Abiodun/AAV-3422-2021; Jiang, Qianxia/GMW-8907-2022; Lucan, Sean/B-3815-2009</t>
  </si>
  <si>
    <t>Lucan, Sean/0000-0002-4447-9709; Atoloye, Abiodun T/0000-0001-9825-4321; Gans, Kim/0000-0003-3623-7790</t>
  </si>
  <si>
    <t>10.3390/ijerph17197143</t>
  </si>
  <si>
    <t>WOS:000586491200001</t>
  </si>
  <si>
    <t>Yang, M; Wang, HL; Qiu, F</t>
  </si>
  <si>
    <t>Yang, Meng; Wang, Haoluan; Qiu, Feng</t>
  </si>
  <si>
    <t>Neighbourhood food environments revisited: When food deserts meet food swamps</t>
  </si>
  <si>
    <t>This study uses service area-based coverage and various count regression methods to assess neighbourhood-level healthy and unhealthy food environments, and food access associated with different socio-economic groups in Edmonton, Canada. We identify three types of vulnerable neighbourhoods according to different food environments: food deserts (i.e., neighbourhoods lack sufficient access to healthy foods); food swamps (i.e., neighbourhoods have excess access to unhealthy foods); and those with overlaps of food swamps and food deserts. We also identify neighbourhoods with superior access to healthy foods (i.e., food oases). Additionally, our results from regression analyses indicate: (1) child population is negatively associated with both healthy and unhealthy food resources; (2) good access to public transportation is associated with good coverage of all healthy food outlets and convenience stores; and (3) deprived neighbourhoods with higher percentages of minority populations have better coverage of both healthy and unhealthy foods in general. The results from this study can help the City of Edmonton identify the key neighbourhoods with high potential for local business and the hotspot neighbourhoods that require particular support. Tailored strategies are proposed to effectively and efficiently improve food environments with limited resources.</t>
  </si>
  <si>
    <t>Wang, Haoluan/0000-0001-8414-528X; Qiu, Feng/0000-0001-8273-8567</t>
  </si>
  <si>
    <t>10.1111/cag.12570</t>
  </si>
  <si>
    <t>OCT 2019</t>
  </si>
  <si>
    <t>WOS:000491182400001</t>
  </si>
  <si>
    <t>Woodruff, RC; Haardörfer, R; Raskind, IG; Hermstad, A; Kegler, MC</t>
  </si>
  <si>
    <t>Woodruff, Rebecca C.; Haardorfer, Regine; Raskind, Ilana G.; Hermstad, April; Kegler, Michelle C.</t>
  </si>
  <si>
    <t>Comparing food desert residents with non-food desert residents on grocery shopping behaviours, diet and BMI: results from a propensity score analysis</t>
  </si>
  <si>
    <t>Objective: To determine whether residence in a US Department of Agriculture-designated food desert is associated with perceived access to healthy foods, grocery shopping behaviours, diet and BMI among a national sample of primary food shoppers. Design: Data for the present study came from a self-administered cross-sectional survey administered in 2015. Residential addresses of respondents were geocoded to determine whether their census tract of residence was a designated food desert or not. Inverse probability of treatment-weighted regression was used to assess whether residence in a food desert was associated with dependent variables of interest. Setting: USA. Participants: Of 4942 adult survey respondents, residential addresses of 75 center dot 0 % (n 3705) primary food shoppers were included in the analysis. Results: Residence in a food desert (11 center dot 1 %, n 411) was not significantly associated with perceived access to healthy foods, most grocery shopping behaviours or dietary behaviour, but was significantly associated with primarily shopping at a superstore or supercentre v. a large grocery store (OR = 1 center dot 32; 95 % CI 1 center dot 02, 1 center dot 71; P = 0 center dot 03) and higher BMI (b = 1 center dot 14; 95 % CI 0 center dot 36, 1 center dot 93; P = 0 center dot 004). Conclusions: Results suggest that food desert residents shop at different food stores and have higher BMI than non-food desert residents.</t>
  </si>
  <si>
    <t>PII S136898001900363X</t>
  </si>
  <si>
    <t>10.1017/S136898001900363X</t>
  </si>
  <si>
    <t>WOS:000524934400005</t>
  </si>
  <si>
    <t>Robitaille, É; Paquette, MC</t>
  </si>
  <si>
    <t>Robitaille, Eric; Paquette, Marie-Claude</t>
  </si>
  <si>
    <t>Development of a Method to Locate Deserts and Food Swamps Following the Experience of a Region in Quebec, Canada</t>
  </si>
  <si>
    <t>Unhealthy eating and food insecurity are recognized risk factors for chronic diseases. Collective and environmental factors, such as geographic access to food condition food choices. The objective of this study was to map food deserts and food swamps in Gaspesie, a region of Quebec (Canada), using geographical information systems (GIS) and field validation. Eleven sectors (5 rural and 6 urban) where 5% of the Gaspesie population lives were considered food deserts. Eight sectors (all rural) constituting 4.5% of the population were considered food swamps. Nearly 88% (3/8) of food swamps were located in disadvantaged and very disadvantaged areas. The Gaspesie region is already actively involved in changing environments to make them conducive to healthy eating for all. The mapping of food deserts can support intersectoral collaboration on food security. Food swamp mapping will make it possible to more accurately characterize the existing food environment in the region. Both indicators will be useful in raising awareness and mobilizing partners for a comprehensive strategy to improve the food environment that is not only based on the food desert indicator alone but also takes into account the presence of food swamps.</t>
  </si>
  <si>
    <t>10.3390/ijerph17103359</t>
  </si>
  <si>
    <t>WOS:000539300900016</t>
  </si>
  <si>
    <t>Shipp, G; Weatherspoon, D; Earnesty, D; Mphwanthe, G; Weatherspoon, L</t>
  </si>
  <si>
    <t>Shipp, Gayle; Weatherspoon, Dave; Earnesty, Dawn; Mphwanthe, Getrude; Weatherspoon, Lorraine</t>
  </si>
  <si>
    <t>Factors Associated with Fruit and Vegetable Purchases of SNAP Recipients Residing in Multi-Person Households within a Food Desert</t>
  </si>
  <si>
    <t>Fruit and vegetable (F&amp;V) intake is inversely associated with obesity, which is disproportionately high in urban food deserts and low-income populations, including Supplemental Nutrition Assistance Program (SNAP) participants. This cross sectional study sought to examine factors associated with food desert SNAP recipients' F&amp;V purchases and weight status in multi-person households. Socio-demographic characteristics, access to healthy foods and stores, affordability, purchasing practices, use of food assistance and weight status were analyzed. A convenience sample of seventy-one SNAP recipients were recruited from a Detroit, MI food desert. Participants were 45-54 years of age (33.8%), average BMI = 30.33. Multiple linear regression determined if socio-demographic and household factors were associated with fruit and vegetable purchases and BMI. Results showed that those who were more likely to limit F&amp;V purchases were not getting enough food to eat (p = 0.009), and males who indicated limited finances (p = 0.043). BMI was negatively associated with participants not getting enough food to eat within the household (p = .04). SNAP recipients, living in food deserts can benefit from public health interventions, policies and education that can influence F&amp;V purchases and likely consumption.</t>
  </si>
  <si>
    <t>Mphwanthe, Getrude/JXL-2040-2024; Mphwanthe, Getrude/R-8945-2016</t>
  </si>
  <si>
    <t>Mphwanthe, Getrude/0000-0002-1608-4662; Shipp, Gayle/0000-0001-5565-240X</t>
  </si>
  <si>
    <t>MAY 3</t>
  </si>
  <si>
    <t>10.1080/19320248.2019.1578320</t>
  </si>
  <si>
    <t>WOS:000536121700003</t>
  </si>
  <si>
    <t>Goodman, M; Thomson, J; Landry, A</t>
  </si>
  <si>
    <t>Goodman, Melissa; Thomson, Jessica; Landry, Alicia</t>
  </si>
  <si>
    <t>Food Environment in the Lower Mississippi Delta: Food Deserts, Food Swamps and Hot Spots</t>
  </si>
  <si>
    <t>The objectives for this study were to examine the location and density of measured food outlets in five rural towns in the Lower Mississippi Delta, determine the spatial location of Delta Healthy Sprouts (DHS) participants' homes in the food environment, and examine relationships between the spatial location of participants' homes and their diet quality. Using a food desert/food swamp framework, food outlet geographic locations were analyzed in relation to one another, the distance between DHS participants' residence and closest food outlets by class were computed, and associations among residents' diet quality, hot spot status, and census tract classification were explored. Of 266 food outlets identified, 11 (4%), 86 (32%), 50 (19%), and 119 (45%) were classified as grocery stores (GS), convenience stores (CS), full-service restaurants (FS), or fast food restaurants (FF), respectively. A third of participants lived in CS hot spots, while 22% lived in FF hot spots. DHS participants lived closer in miles to CS (0.4) and FF (0.5) as compared to GS (1.6) and FS (1.1) outlets. Participants bought most groceries at national chain grocery stores rather than their closest grocery store. The food environments of the five towns and associated neighborhoods in which DHS participants resided were not supportive of healthful eating, containing both food deserts and food swamps, often in overlapping patterns.</t>
  </si>
  <si>
    <t>Thomson, Jessica/0000-0002-3754-8913; Landry, Alicia/0000-0003-0253-9889; Goodman, Melissa/0000-0002-3371-0338</t>
  </si>
  <si>
    <t>10.3390/ijerph17103354</t>
  </si>
  <si>
    <t>WOS:000539300900011</t>
  </si>
  <si>
    <t>Tipton, MJ; Wagner, SA; Dixon, A; Westbay, L; Darji, H; Graziano, S</t>
  </si>
  <si>
    <t>Tipton, Matthew J.; Wagner, Sarah A.; Dixon, Alison; Westbay, Lauren; Darji, Himani; Graziano, Scott</t>
  </si>
  <si>
    <t>Association of Living in a Food Desert With Pregnancy Morbidity</t>
  </si>
  <si>
    <t>OBJECTIVE: To evaluate whether women living in areas deemed food deserts had higher rates of pregnancy morbidity, specifically preeclampsia, gestational hypertension, gestational diabetes, prelabor rupture of membranes, preterm labor, than women who did not live in food deserts at the time of their pregnancy and delivery. METHODS: This was a retrospective observational study in which we reviewed electronic medical records of all patients who delivered at Loyola University Medical Center in Maywood, Illinois in 2014. The Economic Research Service of the U.S. Department of Agriculture publishes theFood Access Research Atlas, which presents a spatial overview of food access indicators for low-income and other Census tracts using different measures of supermarket accessibility. A spatial join between theFood Access Research Atlasand patient coordinates was performed to identify patient point locations and determine whether each patient was located within or outside of a food desert. RESULTS: Data for 1,003 deliveries at Loyola University Medical Center in 2014 were provided by the Loyola University Chicago Clinical Research Database. Two deliveries were excluded owing to inability to map address coordinates; thus 1,001 deliveries were analyzed. Of the 1,001 patients, 195 (19.5%) women were designated to food deserts. Multivariable analysis was done by adjusting for age, race, and medical insurance class. Having at least one morbid condition was the only variable that demonstrated a significant association with the food desert in multivariable analyses (47.2% vs 35.6%) (odds ratio [OR] 1.62, 95% CI 1.18-2.22) (adjusted OR 1.64, 95% CI 1.18-2.29). CONCLUSION: The odds of having at least one of the studied morbid conditions in pregnancy were greater for patients living in a food desert. As there is an association of morbidity in pregnancy with living in a food desert, intervention trials to improve the built food environment or mitigate the effect otherwise are needed.</t>
  </si>
  <si>
    <t>Darji, Himani/AAU-5223-2020; Graziano, Scott/J-1115-2019; Westbay, Lauren/ABB-5049-2021</t>
  </si>
  <si>
    <t>Graziano, Scott/0000-0002-7577-4006</t>
  </si>
  <si>
    <t>10.1097/AOG.0000000000003868</t>
  </si>
  <si>
    <t>WOS:000546345400024</t>
  </si>
  <si>
    <t>Karpyn, A; Young, CR; Collier, Z; Glanz, K</t>
  </si>
  <si>
    <t>Karpyn, Allison; Young, Candace R.; Collier, Zachary; Glanz, Karen</t>
  </si>
  <si>
    <t>Correlates of Healthy Eating in Urban Food Desert Communities</t>
  </si>
  <si>
    <t>The food environment is well documented as an important emphasis for public health intervention. While theoretical models of the relationship between the food environment and dietary outcomes have been proposed, empirical testing of conceptual models has been limited. The purpose of this study was to explore which factors in nutrition environments are significantly associated with dietary outcomes in two urban, low-income, and minority food desert communities. This study analyzed cross-sectional data based on 796 participants from the Food in Our Neighborhood Study. Participants were recruited based on a random sample of addresses in neighborhood study areas, Philadelphia, PA (n= 393) and Trenton, NJ (n= 403). Main dietary outcomes were Healthy Eating Index (HEI) scores and fruit and vegetable consumption subscores computed from ASA24(R)assessments. Exploratory factor analysis was conducted and yielded a model of four factors with 22 items. Among four factors that emerged, three factors (Perceptions of Neighborhood Food Availability; and Household Food Challenges) were significantly correlated with dietary outcomes. My Store's Quality and Perceptions of Neighborhood Food Availability were positively correlated with vegetable consumption subscore. The Household Food Challenges factor was negatively correlated with both vegetable subscore and overall HEI score (i.e., more household challenges were associated with lower dietary scores). These findings confirmed the importance of perceived nutrition environments and household food challenges in predicting dietary outcomes among residents of two urban, low-income, and minority food desert communities.</t>
  </si>
  <si>
    <t>10.3390/ijerph17176305</t>
  </si>
  <si>
    <t>WOS:000571198100001</t>
  </si>
  <si>
    <t>Overbey, TA</t>
  </si>
  <si>
    <t>Overbey, Tracey A.</t>
  </si>
  <si>
    <t>Food Deserts, Libraries, and Urban Communities: What Is the Connection?</t>
  </si>
  <si>
    <t>What do public libraries and communities classified as food deserts have in common? This paper will share how the Cleveland Public Library addressed food security issues in Cleveland, Ohio, through collaboration with local organizations such as The Ohio State University (OSU) Extension in Cuyahoga County and the Cuyahoga County Land Bank (CCLB). Public Libraries are changing the way they serve patrons in disadvantaged communities. Librarians are beginning to share concerns about health issues of their communities. The author provides a step-by-step approach to beginning a community garden at your local public library or community property. The program will benefit groups of all ages.</t>
  </si>
  <si>
    <t>Overbey, Tracey/0000-0001-5628-9198</t>
  </si>
  <si>
    <t>10.1080/01616846.2019.1591156</t>
  </si>
  <si>
    <t>WOS:000504883000004</t>
  </si>
  <si>
    <t>Jettner, JF; Secret, MC</t>
  </si>
  <si>
    <t>Jettner, Jennifer F.; Secret, Mary C.</t>
  </si>
  <si>
    <t>Building racial bridges? Social capital among community gardeners in US food deserts</t>
  </si>
  <si>
    <t>INTERNATIONAL JOURNAL OF SOCIAL WELFARE</t>
  </si>
  <si>
    <t>This study examined the relationship between race and racial diversity on social capital in community gardens located in food deserts in the southeastern region of the USA. Using snowball methods, a sample of 52 gardeners who represented 10 community gardens was obtained. Cross-level regression models were performed using two different aspects of social capital: one's sense of community and the number of resources a gardener could obtain from fellow gardeners, as dependent variables. Results indicate that community gardens are excellent vehicles for promoting one's sense of community regardless of one's race or a garden's racial composition. In contrast, community gardens were less likely to increase the number of resources. It took longer and more effort to access a greater number of resources while increased perceptions of racial diversity had a negative relationship with number of resources.</t>
  </si>
  <si>
    <t>Jettner, Jennifer/0000-0001-5378-8418</t>
  </si>
  <si>
    <t>1369-6866</t>
  </si>
  <si>
    <t>1468-2397</t>
  </si>
  <si>
    <t>10.1111/ijsw.12429</t>
  </si>
  <si>
    <t>JUN 2020</t>
  </si>
  <si>
    <t>WOS:000538735300001</t>
  </si>
  <si>
    <t>Almehmadi, FA; Hallinan, KP; Mulford, RB; Alqaed, SA</t>
  </si>
  <si>
    <t>Awjah Almehmadi, Fahad; Hallinan, Kevin P.; Mulford, Rydge B.; Alqaed, Saeed A.</t>
  </si>
  <si>
    <t>Technology to Address Food Deserts: Low Energy Corner Store Groceries with Integrated Agriculture Greenhouse</t>
  </si>
  <si>
    <t>Food deserts have emerged as sources of urban crises around the world. The lack of access to healthy food has rendered health inequities that have been made more visible by the devastating effects of COVID-19 on the populations experiencing food insecurity and healthy food access. Research is posed to fight food deserts through innovation and technology; specifically, through the development of corner store grocery markets with integrated agricultural greenhouses in such a way as to both provide access to healthy foods at reasonable cost to better meet nutritional needs, and significantly reduce operating costs. The posed technology includes a combined heat and power (CHP) system to reduce overall energy costs by meeting the partial electric and thermal loads required within the store and the connected greenhouse. A mathematical model is developed to control the operation of the CHP system and to dispatch the generated electric power to the store and the thermal energy to the greenhouse to minimize overall energy requirements. The model is applied to an ambient environment representing a heating-dominant climate. Results indicate the potential to reduce operating costs by 55% in a heating-dominant climate.</t>
  </si>
  <si>
    <t>Almehmadi, Fahad/GYR-3263-2022</t>
  </si>
  <si>
    <t>Almehmadi, Fahad/0000-0003-4783-8348; Hallinan, Kevin/0000-0002-0305-4886</t>
  </si>
  <si>
    <t>10.3390/su12187565</t>
  </si>
  <si>
    <t>WOS:000584261300001</t>
  </si>
  <si>
    <t>Bao, KY; Tong, DQ; Plane, DA; Buechler, S</t>
  </si>
  <si>
    <t>Bao, Katharine Yang; Tong, Daoqin; Plane, David A.; Buechler, Stephanie</t>
  </si>
  <si>
    <t>Urban food accessibility and diversity: Exploring the role of small non-chain grocers</t>
  </si>
  <si>
    <t>Access to a variety of affordable and healthy food has been a critical component in sustainable food-system planning. Research on food accessibility and food deserts (low-income areas with no or limited access to healthy food) can have important policy implications for alleviating health disparities. In the existing food access literature, supermarkets or large chain grocery stores have typically been used as the basis for measuring food access. Independent/non-chain grocers are often left out. We propose a multidimensional accessibility based assessment method to examine whether and how independent grocers help shape the food landscape and their locational strategy. A food desert elimination optimization model is formulated to evaluate the effectiveness of relying on small, full-service grocers for servicing food desert neighborhoods. The empirical study conducted in Tucson, Arizona indicates that, while full-service independent grocers fill some gaps left by chain markets, such stores are more helpful for improving food access diversity; this is reflected by the co-locating patterns of chain and non-chain stores. A few independent stores do, however, primarily serve food deserts in racially/ethnically diverse neighborhoods where higher proportions of residents rely on public assistance program and have limited mobility. Our case study suggests that small, independent grocers may have significant potential to aid in servicing areas with no or limited access to healthy food, particularly if policy incentives are provided.</t>
  </si>
  <si>
    <t>10.1016/j.apgeog.2020.102275</t>
  </si>
  <si>
    <t>WOS:000602320100002</t>
  </si>
  <si>
    <t>Lucan, SC; Maroko, AR; Patel, AN; Gjonbalaj, I; Elbel, B; Schechter, CB</t>
  </si>
  <si>
    <t>Lucan, Sean C.; Maroko, Andrew R.; Patel, Achint N.; Gjonbalaj, Ilirjan; Elbel, Brian; Schechter, Clyde B.</t>
  </si>
  <si>
    <t>Healthful and less-healthful foods and drinks from storefront and non-storefront businesses: implications for 'food deserts', 'food swamps' and food-source disparities</t>
  </si>
  <si>
    <t>Objective: Conceptualisations of 'food deserts' (areas lacking healthful food/drink) and 'food swamps' (areas overwhelm by less-healthful fare) may be both inaccurate and incomplete. Our objective was to more accurately and completely characterise food/drink availability in urban areas. Design: Cross-sectional assessment of select healthful and less-healthful food/drink offerings from storefront businesses (stores, restaurants) and non-storefront businesses (street vendors). Setting: Two areas of New York City: the Bronx (higher-poverty, mostly minority) and the Upper East Side (UES; wealthier, predominantly white). Participants: All businesses on 63 street segments in the Bronx (n 662) and on 46 street segments in the UES (n 330). Results: Greater percentages of businesses offered any, any healthful, and only less-healthful food/drink in the Bronx (42 center dot 0 %, 37 center dot 5 %, 4 center dot 4 %, respectively) than in the UES (30 %, 27 center dot 9 %, 2 center dot 1 %, respectively). Differences were driven mostly by businesses (e.g. newsstands, gyms, laundromats) not primarily focused on selling food/drink - 'other storefront businesses' (OSBs). OSBs accounted for 36 center dot 0 % of all food/drink-offering businesses in the Bronx (more numerous than restaurants or so-called 'food stores') and 18 center dot 2 % in the UES (more numerous than 'food stores'). Differences also related to street vendors in both the Bronx and the UES. If street vendors and OSBs were not captured, the missed percentages of street segments offering food/drink would be 14 center dot 5 % in the Bronx and 21 center dot 9 % in the UES. Conclusions: Of businesses offering food/drink in communities, OSBs and street vendors can represent substantial percentages. Focusing on only 'food stores' and restaurants may miss or mischaracterise 'food deserts', 'food swamps', and food/drink-source disparities between communities.</t>
  </si>
  <si>
    <t>Elbel, Brian/0000-0003-1615-9430; Maroko, Andrew/0000-0002-9398-2386</t>
  </si>
  <si>
    <t>PII S1368980019004427</t>
  </si>
  <si>
    <t>10.1017/S1368980019004427</t>
  </si>
  <si>
    <t>WOS:000529702400014</t>
  </si>
  <si>
    <t>Cantor, J; Beckman, R; Collins, RL; Dastidar, MG; Richardson, AS; Dubowitz, T</t>
  </si>
  <si>
    <t>Cantor, Jonathan; Beckman, Robin; Collins, Rebecca L.; Dastidar, Madhumita Ghosh; Richardson, Andrea S.; Dubowitz, Tamara</t>
  </si>
  <si>
    <t>SNAP Participants Improved Food Security And Diet After A Full-Service Supermarket Opened In An Urban Food Desert</t>
  </si>
  <si>
    <t>The Supplemental Nutrition Assistance Program (SNAP) is the largest US food and nutrition assistance program, tasked with improving food security among low-income households. Another federal effort to improve food access is the Healthy Food Financing Initiative (HFFI), which invested tens of millions of dollars to incentivize healthy food retail outlets in areas lacking access to nutritious, fresh food. We explore the intersection of these programs, testing the impact of a new, HFFI-financed full-service supermarket on SNAP participants in an urban food desert. After the supermarket's opening, SNAP participants' food security improved and intake of added sugars declined in the intervention neighborhood, but both were unchanged in a comparison neighborhood without a new supermarket. Intervention neighborhood participants also experienced relative declines in the percentage of daily calories from solid fats, alcoholic beverages, and added sugars. Our findings suggest that HFFI amplifies the effects of SNAP participation on improving food security and dietary quality in food deserts.</t>
  </si>
  <si>
    <t>10.1377/hlthaff.2019.01309</t>
  </si>
  <si>
    <t>WOS:000557072300016</t>
  </si>
  <si>
    <t>McKey, T; Kim, D; Seo, S</t>
  </si>
  <si>
    <t>McKey, Thomas; Kim, Dohyeong; Seo, SungChul</t>
  </si>
  <si>
    <t>Crowdsourced Mapping for Healthy Food Accessibility in Dallas, Texas: A Feasibility Study</t>
  </si>
  <si>
    <t>Since its first use for describing a neighborhood lacking access to food in the 1990's, food deserts has been widely addressed by researchers and adopted as an indicator of neighborhood-level food insecurity by governmental agencies, such as USDA. However, mostly due to cost and difficulty in collecting georeferenced data and characteristics of grocery stores, the USDA Food Access Research Atlas is infrequently released, and considers only income, vehicle ownership, and distance to the nearest grocery store. In this paper, we explored the feasibility of a crowdsourced geospatial data source, coupled with additional measures, in supplementing the USDA's current designation of food deserts. We used Yelp data to map food deserts in the city of Dallas and compared them with those based on the 2015 USDA food retailer database. Although direct comparison was not possible due to time mismatch between the two data sources, the discrepancies highlighted the need of a more frequent identification of food deserts for timely policy intervention. Furthermore, we extended mapping to reveal other potential areas of concerns, by adding the Transit Score metric and Yelp's price descriptor of businesses. The resulting maps illustrated the areas with grocery stores nearby but with limited accessibility due to lack of public transit or potential financial barriers in purchasing foods due to high prices. Our findings demonstrate the current status and future potential of up-to-date crowdsourced, georeferenced data as a complement of official government data, which could serve to extend food access research and guide health policies.</t>
  </si>
  <si>
    <t>MAR 6</t>
  </si>
  <si>
    <t>10.3389/fpubh.2020.00071</t>
  </si>
  <si>
    <t>WOS:000525057800001</t>
  </si>
  <si>
    <t>Sharpe, PA; Bell, BA; Liese, AD; Wilcox, S; Stucker, J; Hutto, BE</t>
  </si>
  <si>
    <t>Sharpe, Patricia A.; Bell, Bethany A.; Liese, Angela D.; Wilcox, Sara; Stucker, Jessica; Hutto, Brent E.</t>
  </si>
  <si>
    <t>Effects of a food hub initiative in a disadvantaged community: A quasi-experimental evaluation</t>
  </si>
  <si>
    <t>A quasi-experiment evaluated a food hub's (FH) impact in a low-income/low-access (food desert) setting on fruit and vegetable (F&amp;V) intake, diet quality, kilocalories, perceived food environment, BMI, and farmers' market shopping versus a matched community (n = 265 FH, n = 262 Comparison). Comparison shoppers had better baseline perceptions of their food environment, but FH shoppers improved significantly more than Comparison shoppers. Comparison shoppers significantly increased F&amp;V intake versus FH shoppers. Effects were not significant for other diet outcomes, BMI, or farmers' market shopping. Factors besides spacial access to healthy food need consideration to address dietary intake and obesity in disadvantaged communities.</t>
  </si>
  <si>
    <t>10.1016/j.healthplace.2020.102341</t>
  </si>
  <si>
    <t>WOS:000541164200005</t>
  </si>
  <si>
    <t>Tong, DQ; Crosson, C; Zhong, Q; Zhang, YN</t>
  </si>
  <si>
    <t>Tong, Daoqin; Crosson, Courtney; Zhong, Qing; Zhang, Yinan</t>
  </si>
  <si>
    <t>Optimize urban food production to address food deserts in regions with restricted water access</t>
  </si>
  <si>
    <t>LANDSCAPE AND URBAN PLANNING</t>
  </si>
  <si>
    <t>Adequate access to healthy, affordable food remains a great challenge in many urban areas. Among a range of interventions, urban agriculture has been identified as an important strategy to help address urban healthy food access. While urban food production is growing in popularity, the use of potable water in traditional urban agricultural installations will exacerbate gaps in water demand and availability in water-stressed cities. This paper examines the sustainable capability of urban agriculture through an integration of alternative water resources, urban vacant land and local nutritional needs. A spatial optimization model is developed to best allocate limited resources for maximal food production to address urban food deserts. The new model is applied to test the capability of relocalized food production in Tucson, Arizona, a semi-arid region with the longest continuously farmed landscape in North America. Results highlight that urban areas with restricted water access can substantially enhance their local food production capacity in an ecologically responsible manner.</t>
  </si>
  <si>
    <t>Zhong, Qing/AAS-7433-2020; Crosson, Courtney/AAM-1463-2021</t>
  </si>
  <si>
    <t>Zhong, Qing/0000-0002-1260-6478; Crosson, Courtney/0000-0003-1757-8741</t>
  </si>
  <si>
    <t>0169-2046</t>
  </si>
  <si>
    <t>1872-6062</t>
  </si>
  <si>
    <t>10.1016/j.landurbplan.2020.103859</t>
  </si>
  <si>
    <t>WOS:000568996300001</t>
  </si>
  <si>
    <t>Modeling complex human systems: An adaptable framework of urban food deserts</t>
  </si>
  <si>
    <t>SUSTAINABLE CITIES AND SOCIETY</t>
  </si>
  <si>
    <t>Food Deserts (FDs) are an expansive problem with cascading effects on quality of life and health outcomes. Simulation modeling of food access within FDs may help decision-makers and urban planners cost-effectively test solutions to food accessibility, and determine which interventions are best able to mitigate negative effects on FD residents. This work devises an adaptive framework that can inexpensively simulate FDs and assess which policy and built environment disruptors-e.g., expanded bus routes, increased pedestrian safety infrastructure, new grocery stores-generate the greatest increase in food access. This framework combines Agent-Based Modeling, GIS, and Discrete Event Simulation to determine the percent of FD residents without food access (as defined by the USDA) before and after a disruptor is introduced. To assess its functionality, the framework was applied to a case study region in Austin, Texas. Results indicate the modeled disruptors improved food access between 2-45%, depending on the type of disruptor, its location, and the distance residents are willing to walk. Notably, results demonstrate how applying this framework allows one to (1) inexpensively test proposed solutions to food-access issues before large-scale capital investments are made; (2) identify emergent behavior that influence disruptors' efficacy; and (3) identify unique, area-specific solutions that achieve more sustainable improvements in food access.</t>
  </si>
  <si>
    <t>2210-6707</t>
  </si>
  <si>
    <t>2210-6715</t>
  </si>
  <si>
    <t>10.1016/j.scs.2019.101795</t>
  </si>
  <si>
    <t>WOS:000504058400054</t>
  </si>
  <si>
    <t>Wilcox, S; Sharpe, PA; Liese, AD; Dunn, CG; Hutto, B</t>
  </si>
  <si>
    <t>Wilcox, Sara; Sharpe, Patricia A.; Liese, Angela D.; Dunn, Caroline G.; Hutto, Brent</t>
  </si>
  <si>
    <t>Socioeconomic factors associated with diet quality and meeting dietary guidelines in disadvantaged neighborhoods in the Southeast United States</t>
  </si>
  <si>
    <t>ETHNICITY &amp; HEALTH</t>
  </si>
  <si>
    <t>Objective: To examine diet quality and dietary intake among residents of disadvantaged neighborhoods in the Southeast United States (U.S.) and to examine associations between dietary and socioeconomic factors. Design: We examined baseline data from an evaluation study of a healthy food access initiative. Participants were recruited from two urban settings comprising seven neighborhoods of high household poverty (17% to 62%). Participants completed in-person interviews with measures of education, household income, and food security and one unannounced 24-hour dietary recall by telephone with trained registered dietitians. Food desert residence was coded based on U.S. Census data. Proportions meeting 2010 Dietary Guidelines for Americans and Healthy Eating Index 2010 (HEI-2010) scores were computed. Associations between dietary variables and participant's education, household income, food security, and food desert residence were tested. Results: Participants (n = 465) were predominantly African American (92%), women (80%), and overweight or obese (79%), and 52 +/- 14 years of age. Sixty-three percent had low or very low food security, and 82% lived in census tracts of low income and low access to supermarkets (urban food desert). HEI-2010 scores averaged 48.8 +/- 13.1. A minority of participants met dietary guidelines. Diet quality was lower among participants with lower education and among those from food insecure households (p &lt; .05). Household income and food security were positively associated with meeting several dietary guidelines (p &lt; .05). Food desert residence was unrelated to diet variables. Conclusions: In this disadvantaged population, significant nutritional concerns were observed, and socioeconomic factors were associated with diet quality and meeting dietary guidelines. Interventions must address broader economic, social, and policy issues such as access to affordable healthy foods.</t>
  </si>
  <si>
    <t>Wilcox, Sara/GXV-7647-2022</t>
  </si>
  <si>
    <t>1355-7858</t>
  </si>
  <si>
    <t>1465-3419</t>
  </si>
  <si>
    <t>NOV 16</t>
  </si>
  <si>
    <t>10.1080/13557858.2018.1493434</t>
  </si>
  <si>
    <t>WOS:000589095300005</t>
  </si>
  <si>
    <t>Biddle, ME</t>
  </si>
  <si>
    <t>Biddle, Mark E.</t>
  </si>
  <si>
    <t>A word about ... A call to keep kosher for today</t>
  </si>
  <si>
    <t>REVIEW &amp; EXPOSITOR</t>
  </si>
  <si>
    <t>The church must recover a model and practice of piety that includes something like a kosher sensibility regarding food. The prevalence of unhealthy diets, unhealthy farming practices, unhealthy effects on the environment, food insecurity, food deserts, and food chauvinism points to the need to reconsider the importance of God's second mandate to humanity, namely, to care for Garden Earth. Christians cannot seek first the king of God or pray that God's will be done on earth while simultaneously disregard the importance of daily bread.</t>
  </si>
  <si>
    <t>0034-6373</t>
  </si>
  <si>
    <t>2052-9449</t>
  </si>
  <si>
    <t>10.1177/0034637320968828</t>
  </si>
  <si>
    <t>WOS:000599924300002</t>
  </si>
  <si>
    <t>Weissman, E; Robinson, J; Cecio, W</t>
  </si>
  <si>
    <t>Weissman, Evan; Robinson, Jonnell; Cecio, William</t>
  </si>
  <si>
    <t>The promise and pitfalls of mobile markets: an exploratory survey of mobile food retailers in the United States and Canada</t>
  </si>
  <si>
    <t>In recent years innovative approaches have emerged across the United States and Canada to improve access to healthful foods. Mobile markets-traveling food retailers that specifically target food deserts-are one such strategy. Given the recent emergence of mobile markets, and their positioning as a solution to disparities in food access, research is needed to understand potentials and limitations of the model. In this article, we report on findings from a survey of mobile market operators in the United States and Canada. Results identify tensions between the intended goals of mobile markets and constraints of the model itself. Further study, including applied research, is needed to better understand potential opportunities to strengthen mobile markets as an intervention strategy.</t>
  </si>
  <si>
    <t>Weissman, Evan/0000-0003-3632-0690</t>
  </si>
  <si>
    <t>10.1007/s10460-020-10029-5</t>
  </si>
  <si>
    <t>MAR 2020</t>
  </si>
  <si>
    <t>WOS:000522591800001</t>
  </si>
  <si>
    <t>Merchez, L; Mathian, H; Le Gall, J</t>
  </si>
  <si>
    <t>Merchez, Luc; Mathian, Helene; Le Gall, Julie</t>
  </si>
  <si>
    <t>Towards a measurement of food gaps in a heterogeneous urban context Methodological reflection and application in Lyon-Saint-Etienne</t>
  </si>
  <si>
    <t>REVUE INTERNATIONALE DE GEOMATIQUE</t>
  </si>
  <si>
    <t>The issue of food and characterization of food environments has been the subject of many studies and methodological developments to report and account for accessibility differentials. In the United States most studies are interested in this question with regard to health issues and have led to identify food deserts. As part of a project for which the main goal is to explore the transferability of this notion to other spaces, with a broader perspective on spatial justice, we propose a generic framework to shed light on this highly spatial question, generally addressed by qualitative (surveys, interviews) or quantitative methods (GIS-based models). This study requires a review of the available data and justification of the methodological sequence according to the characteristics of a large metropolitan area. This first modelling step provides the basis for a tool for exploring different dimensions of the concept of food desert.</t>
  </si>
  <si>
    <t>1260-5875</t>
  </si>
  <si>
    <t>2116-7060</t>
  </si>
  <si>
    <t>10.3166/rig.2020.00103</t>
  </si>
  <si>
    <t>WOS:000641961700005</t>
  </si>
  <si>
    <t>Murrell, A; Jones, R</t>
  </si>
  <si>
    <t>Murrell, Audrey; Jones, Ray</t>
  </si>
  <si>
    <t>Measuring Food Insecurity Using the Food Abundance Index: Implications for Economic, Health and Social Well-Being</t>
  </si>
  <si>
    <t>High levels of food insecurity signal the presence of disparities and inequities in local food access, which have been shown to negatively impact the health and well-being of individuals and communities. However, the approaches used to define and measure high food insecurity, also known as a food desert, vary widely across research study and intervention methodology. This paper describes the development and validation of a measurement tool called the Food Abundance Index (FAI) which is a scorecard for assessing levels of food insecurity across five key dimensions: access, diversity, quality, density, and affordability. A pilot study was conducted to examine levels of food insecurity in order to test the extent to which the FAI can detect food deserts. Nine neighborhoods were selected based on the demographic characteristics of communities shown to be related to food insecurity. Our findings provide evidence that the Food Abundance Index provides a robust measurement tool to assess the extent of food insecurity within a community or neighborhood. Thus, this multidimensional scorecard can be used in future research to detect levels of food insecurity within urban areas and help to bridge the gap between academics, policymakers and practitioners in this important area.</t>
  </si>
  <si>
    <t>10.3390/ijerph17072434</t>
  </si>
  <si>
    <t>WOS:000530763300266</t>
  </si>
  <si>
    <t>Willingham, L; Gordon, J; Stokes, E; Scott, W; Fleenor, R</t>
  </si>
  <si>
    <t>Willingham, Laura; Gordon, Jennifer; Stokes, Elizabeth; Scott, Whitney; Fleenor, Rebecca</t>
  </si>
  <si>
    <t>Association between food deserts and pregnancy outcomes</t>
  </si>
  <si>
    <t>FEB 03-08, 2020</t>
  </si>
  <si>
    <t>Grapevine, TX</t>
  </si>
  <si>
    <t>S265</t>
  </si>
  <si>
    <t>S266</t>
  </si>
  <si>
    <t>10.1016/j.ajog.2019.11.418</t>
  </si>
  <si>
    <t>WOS:000504997300401</t>
  </si>
  <si>
    <t>Almehmadi, FA; Hallinan, KP</t>
  </si>
  <si>
    <t>Almehmadi, Fahad A.; Hallinan, Kevin P.</t>
  </si>
  <si>
    <t>Performance Analysis of an Integrated Solar Dehumidification System with HVAC in A Typical Corner Store in the USA</t>
  </si>
  <si>
    <t>Food deserts have emerged in underserved urban and rural areas throughout the United States. Corner markets have filled the food voids, but generally without offering residents access to healthy food. The economics for doing so are prohibitive. The purpose of the study is to investigate an opportunity for reducing corner store energy costs in order to make possible retail of fresh produce and meat. Given the typical dominance of refrigeration to the energy cost in such stores, an integrated solar dehumidification system with heating, ventilation, and air conditioning (HVAC) is considered. A typical corner store baseline reliant upon conventional refrigeration and HVAC equipment is defined to serve as a basis for comparison. MATLAB Simulink dynamic models are developed for the posed system and baseline model. The results show energy reduction in the refrigerated cabinets of maximally 28%, 27%, and 20%, respectively, in Dayton, OH, Phoenix, AZ, and Pine Blu ff, AR. The respective HVAC energy savings are respectively 28%, 56%, and 4%. Collectively these correspond to total annual energy savings of 43%, 51%, and 53%, translating to annual energy cost savings of greater than $12K in all locations.</t>
  </si>
  <si>
    <t>10.3390/su12104068</t>
  </si>
  <si>
    <t>WOS:000543421400126</t>
  </si>
  <si>
    <t>Han, MK; Anderson, R; Viennois, E; Merlin, D</t>
  </si>
  <si>
    <t>Han, Moon K.; Anderson, Raeda; Viennois, Emilie; Merlin, Didier</t>
  </si>
  <si>
    <t>Examination of food consumption in United States adults and the prevalence of inflammatory bowel disease using National Health Interview Survey 2015</t>
  </si>
  <si>
    <t>Various diets and food components have been implicated as one of the environmental factors associated with inflammatory bowel disease (IBD). Patients are often recommended nutritional guidelines to manage disease symptoms. However, the current food consumption pattern of US adults with IBD that are nationally representative is unclear. A secondary analysis of National Health Interview Survey 2015 was performed to characterize the estimated US adults with IBD and their food intake and consumption frequency using bivariate and multivariate logistic regression. Fries were consumed by a greater number of people with IBD. IBD population drank less 100% fruit juice and ate more cheese and cookies than non-IBD population. Intake of fries (OR 1.60, 95% CI 1.14-2.25) and sports and energy drinks (OR 1.46, 95% CI 1.07-1.97) and more frequent drinking of regular soda were significantly associated with the likelihood of having been told one have IBD, while popcorn (OR 0.73, 95% CI 0.548-0.971) and milk (OR 0.70, 95% CI 0.497-0.998) were associated with smaller odds, adjusting for covariates. Foods typically labeled as junk food were positively associated with IBD. Nonetheless, of the assessed 26 foods, we found eating patterns between IBD and non-IBD population to be mostly analogous. It is unclear whether the results reflect potential change in food intake in IBD population long before the survey interview. Understanding the role of food intake in IBD risk/prevalence would benefit from identifying other environmental factors (i.e. food desert), food processing (i.e. frying), and potential bioactive food components that can induce intestinal inflammation that can increase the individual's susceptibility to IBD.</t>
  </si>
  <si>
    <t>Anderson, Raeda/0000-0003-0023-6649; Han, Moon/0000-0002-2246-3618; Viennois, Emilie/0000-0002-3104-620X</t>
  </si>
  <si>
    <t>APR 23</t>
  </si>
  <si>
    <t>e0232157</t>
  </si>
  <si>
    <t>10.1371/journal.pone.0232157</t>
  </si>
  <si>
    <t>WOS:000536033700086</t>
  </si>
  <si>
    <t>Campos, A; Tanner, JP; Wilson, RE; Salemi, JL; Sawangkum, P; Fryer, K; Louis-Jacques, A</t>
  </si>
  <si>
    <t>Campos, Adriana; Tanner, Jean Paul; Wilson, Ronee E.; Salemi, Jason L.; Sawangkum, Peeraya; Fryer, Kimberly; Louis-Jacques, Adetola</t>
  </si>
  <si>
    <t>The Association Between Living in a Food Desert and the Likelihood of Initiating Breastfeeding.</t>
  </si>
  <si>
    <t>REPRODUCTIVE SCIENCES</t>
  </si>
  <si>
    <t>MAR 10-14, 2020</t>
  </si>
  <si>
    <t>Vancouver, CANADA</t>
  </si>
  <si>
    <t>Soc Reproduct Investigat</t>
  </si>
  <si>
    <t>Wilson, Ronee/HJH-7204-2023; Salemi, Jason/IUO-0313-2023; Louis-Jacques, Adetola/AAA-3058-2020; Fryer, Kimberly/AAR-5962-2021; CAMPOS, ELBA/HGB-3090-2022; Salemi, Jason/N-9492-2013</t>
  </si>
  <si>
    <t>Salemi, Jason/0000-0002-0077-6023</t>
  </si>
  <si>
    <t>1933-7191</t>
  </si>
  <si>
    <t>1933-7205</t>
  </si>
  <si>
    <t>SUPPL 1</t>
  </si>
  <si>
    <t>S-220</t>
  </si>
  <si>
    <t>372A</t>
  </si>
  <si>
    <t>WOS:000525432601447</t>
  </si>
  <si>
    <t>Pai, S; Bahadur, K</t>
  </si>
  <si>
    <t>Pai, Shilpa; Bahadur, Kandy</t>
  </si>
  <si>
    <t>The Impact of Food Insecurity on Child Health</t>
  </si>
  <si>
    <t>PEDIATRIC CLINICS OF NORTH AMERICA</t>
  </si>
  <si>
    <t>Food insecurity (FI) has severe implications on children's health and their future health outcomes. Children with FI have limited access to healthy foods and demonstrate poorer eating behavior, leading to chronic absenteeism, school failure, and chronic disease. Given the health implications of FI, it is imperative for pediatricians to screen all children, and advocate for protecting necessary nutritional programs that exist to mitigate FI and for improved accessibility of nutritious, healthy food options, especially in locations labeled as food deserts. Given the severe consequences of FI, collaboration of multidisciplinary teams is necessary to facilitate enhanced care of all patients.</t>
  </si>
  <si>
    <t>Pai, Shilpa/0000-0002-4157-2967</t>
  </si>
  <si>
    <t>0031-3955</t>
  </si>
  <si>
    <t>1557-8240</t>
  </si>
  <si>
    <t>10.1016/j.pcl.2019.12.004</t>
  </si>
  <si>
    <t>WOS:000522801100012</t>
  </si>
  <si>
    <t>Sadoff, S; Samek, A; Sprenger, C</t>
  </si>
  <si>
    <t>Sadoff, Sally; Samek, Anya; Sprenger, Charles</t>
  </si>
  <si>
    <t>Dynamic Inconsistency in Food Choice: Experimental Evidence from Two Food Deserts</t>
  </si>
  <si>
    <t>REVIEW OF ECONOMIC STUDIES</t>
  </si>
  <si>
    <t>We conduct field experiments to investigate dynamic inconsistency and commitment demand in food choice. In two home grocery delivery programs, we document substantial dynamic inconsistency between advance and immediate choices. When given the option to commit to their advance choices, around half of subjects take it up. Commitment demand is negatively correlated with dynamic inconsistency, suggesting those with larger self-control problems are less likely to be aware thereof. We evaluate the welfare consequences of dynamic inconsistency and commitment policies with utility measures based on advance, immediate, and unambiguous choices. Simply offering commitment has limited welfare (and behavioural) consequences under all measures.</t>
  </si>
  <si>
    <t>0034-6527</t>
  </si>
  <si>
    <t>1467-937X</t>
  </si>
  <si>
    <t>10.1093/restud/rdz030</t>
  </si>
  <si>
    <t>WOS:000579087500011</t>
  </si>
  <si>
    <t>Githinji, L</t>
  </si>
  <si>
    <t>Githinji, Leonard</t>
  </si>
  <si>
    <t>Urban Agriculture Education to Mitigate Food Deserts</t>
  </si>
  <si>
    <t>HORTSCIENCE</t>
  </si>
  <si>
    <t>0018-5345</t>
  </si>
  <si>
    <t>2327-9834</t>
  </si>
  <si>
    <t>S355</t>
  </si>
  <si>
    <t>S356</t>
  </si>
  <si>
    <t>WOS:000623253400729</t>
  </si>
  <si>
    <t>SEP 2020</t>
  </si>
  <si>
    <t>Pan, F; Bisio, A</t>
  </si>
  <si>
    <t>Pan, F.; Bisio, A.</t>
  </si>
  <si>
    <t>METABOLIC SYNDROME RELATED DISEASES (MSRD) AND FOOD DESERTS IN URBAN ENVIRONMENTS: NEW INSIGHTS</t>
  </si>
  <si>
    <t>DIABETES TECHNOLOGY &amp; THERAPEUTICS</t>
  </si>
  <si>
    <t>1520-9156</t>
  </si>
  <si>
    <t>1557-8593</t>
  </si>
  <si>
    <t>A159</t>
  </si>
  <si>
    <t>WOS:000514025300403</t>
  </si>
  <si>
    <t>Farmer, N; Powell-Wiley, TM; Middleton, KR; Roberson, B; Flynn, S; Brooks, AT; Kazmi, N; Mitchell, V; Collins, B; Hingst, R; Swan, L; Yang, SN; Kakar, S; Harlan, T; Wallen, GR</t>
  </si>
  <si>
    <t>Farmer, Nicole; Powell-Wiley, Tiffany M.; Middleton, Kimberly R.; Roberson, Brenda; Flynn, Sharon; Brooks, Alyssa T.; Kazmi, Narjis; Mitchell, Valerie; Collins, Billy; Hingst, Rachel; Swan, Lucy; Yang, Shanna; Kakar, Seema; Harlan, Timothy; Wallen, Gwenyth R.</t>
  </si>
  <si>
    <t>A community feasibility study of a cooking behavior intervention in African-American adults at risk for cardiovascular disease: DC COOKS (DC Community Organizing for Optimal culinary Knowledge Study) with Heart</t>
  </si>
  <si>
    <t>PILOT AND FEASIBILITY STUDIES</t>
  </si>
  <si>
    <t>BackgroundCooking interventions have increased in popularity in recent years. Evaluation by meta-analyses and systematic reviews show consistent changes in dietary quality reports and cooking confidence, but not of cardiovascular (CVD) biomarkers. Interventions evaluating or reporting behavioral mechanisms as an explanatory factor for these outcomes has been sparse. Moreover, evaluations of cooking interventions among communities with health disparities or food access limitations have received little attention in the literature.MethodsThis study will occur over two phases. Phase 1 will assess acceptability among the target population of African-American adults living within an urban food desert. Phase 2 will consist of a 6-week cooking intervention delivered at a community kitchen setting. Pre and post intervention visits for clinical examinations and biomarker collection will be conducted, as well as dietary and cooking skill assessments. Primary outcomes include cooking behavior and feasibility measures. Secondary outcomes are related to dietary quality, psychosocial factors, CVD biomarkers, and food environment measures.DiscussionThis study seeks to demonstrate feasibility of a community-based cooking intervention and to provide necessary information to plan future interventions that identify cooking behavior as an outcome of participation in cooking interventions among African-American adults, especially in relation to dietary and biomarker outcomes.Trial registrationThis study was registered at ClinicalTrials.gov (NCT04305431) on March 12, 2020.</t>
  </si>
  <si>
    <t>Middleton, Kimberly/AAO-9651-2020</t>
  </si>
  <si>
    <t>Collins, Billy/0000-0002-5271-3534; Middleton, Kimberly/0000-0001-8696-1678</t>
  </si>
  <si>
    <t>2055-5784</t>
  </si>
  <si>
    <t>10.1186/s40814-020-00697-9</t>
  </si>
  <si>
    <t>WOS:000729238200158</t>
  </si>
  <si>
    <t>Scott, V; Juran, L; Ling, EJ; Benham, B; Spiller, A</t>
  </si>
  <si>
    <t>Scott, Veronica; Juran, Luke; Ling, Erin J.; Benham, Brian; Spiller, Asa</t>
  </si>
  <si>
    <t>Assessing Strontium and Vulnerability to Strontium in Private Drinking Water Systems in Virginia</t>
  </si>
  <si>
    <t>A total of 1.7 million Virginians rely on private drinking water (PDW) systems and 1.3 million of those people do not know their water quality. Because most Virginians who use PDW do not know the quality of that water and since strontium poses a public health risk, this study investigates sources of strontium in PDW in Virginia and identifies the areas and populations most vulnerable. Physical factors such as rock type, rock age, and fertilizer use have been linked to elevated strontium concentrations in drinking water. Social factors such as poverty, poor diet, and adolescence also increase social vulnerability to health impacts of strontium. Using water quality data from the Virginia Household Water Quality Program (VAHWQP) and statistical and spatial analyses, physical vulnerability was found to be highest in the Ridge and Valley province of Virginia where agricultural land use and geologic formations with high strontium concentrations (e.g., limestone, dolomite, sandstone, shale) are the dominant aquifer rocks. In terms of social vulnerability, households with high levels of strontium are more likely than the average VAHWQP participant to live in a food desert. This study provides information to help 1.7 million residents of Virginia, as well as populations in neighboring states, understand their risk of exposure to strontium in PDW.</t>
  </si>
  <si>
    <t>Ling, Erin/0000-0002-7817-7979</t>
  </si>
  <si>
    <t>10.3390/w12041053</t>
  </si>
  <si>
    <t>WOS:000539527500130</t>
  </si>
  <si>
    <t>Gordon, SP</t>
  </si>
  <si>
    <t>Gordon, Samuel P.</t>
  </si>
  <si>
    <t>Just Food: Why We Need to Think More About Decoupled Crop Subsidies as an Obligation to Justice</t>
  </si>
  <si>
    <t>In this article I respond to the obligation to institute the policy of decoupled crop subsidies as is provided in Pilchman's article Money for Nothing: Are decoupled Crop Subsidies Just? With growing problems of poor nutrition in the United States there have been two different but related phenomenon that have appeared. First, the obesity epidemic that has ravaged the nation and left an increasing number of people very unhealthy; and second, the phenomenon of food deserts where individuals are unable to access fresh fruits and vegetables. A possible solution to this problem, as has been proposed by some, is to institute a decoupled crop subsidy that would increase the production of fruits and vegetables in the United States. In this paper I explore the possible unintended consequences of this policy and how it may violate liberal international conceptions of justice. I conclude that there must be further empirical research before anyone can call decoupled crop subsidies an obligation to justice.</t>
  </si>
  <si>
    <t>10.1007/s10806-020-09820-5</t>
  </si>
  <si>
    <t>FEB 2020</t>
  </si>
  <si>
    <t>WOS:000515853600001</t>
  </si>
  <si>
    <t>McLoughlin, GM; McCarthy, JA; McGuirt, JT; Singleton, CR; Dunn, CG; Gadhoke, P</t>
  </si>
  <si>
    <t>McLoughlin, Gabriella M.; McCarthy, Julia A.; McGuirt, Jared T.; Singleton, Chelsea R.; Dunn, Caroline G.; Gadhoke, Preety</t>
  </si>
  <si>
    <t>Addressing Food Insecurity through a Health Equity Lens: a Case Study of Large Urban School Districts during the COVID-19 Pandemic</t>
  </si>
  <si>
    <t>Reduced access to school meals during public health emergencies can accelerate food insecurity and nutritional status, particularly for low-income children in urban areas. To prevent the exacerbation of health disparities, there is a need to understand the implementation of meal distribution among large urban school districts during emergencies and to what degree these strategies provide equitable meal access. Our case study of four large urban school districts during the COVID-19 pandemic aims to address these knowledge gaps. Guided by the Getting to Equity (GTE) framework, we conducted a mixed-methods study evaluating emergency meal distribution and strategy implementation in four large urban school districts (Chicago Public Schools, Houston Independent School District, Los Angeles Unified School District, and New York City Department of Education). We gathered data from school district websites on (1) meal service and delivery sites and (2) district documents, policies, communication, and resources. Using qualitative coding approaches, we identified unique and shared district strategies to address meal distribution and communications during the pandemic according to the four components of the GTE framework: increase healthy options, reduce deterrents, build on community capacity, and increase social and economic resources. We matched district census tract boundaries to demographic data from the 2018 American Community Survey and United States Department of Agriculture food desert data, and used geographic information systems (GIS) software to identify meal site locations relative to student population, areas of high poverty and high minority populations, and food deserts. We found that all districts developed strategies to optimize meal provision, which varied across case site. Strategies to increase healthy options included serving adults and other members of the general public, providing timely information on meal site locations, and promoting consumption of a balanced diet. The quantity and frequency of meals served varied, and the degree to which districts promoted high-quality nutrition was limited. Reducing deterrents related to using inclusive language and images and providing safety information on social distancing practices in multiple languages. Districts built community capacity through partnering with first responder, relief, and other community organizations. Increased social and economic resources were illustrated by providing technology assistance to families, childcare referrals for essential workers, and other wellness resources. Geospatial analysis suggests that service locations across cities varied to some degree by demographics and food environment, with potential gaps in reach. This study identifies strategies that have the potential to increase equitable access to nutrition assistance programs. Our findings can support (1) ongoing efforts to address child food insecurity during the pandemic and (2) future meal provision through programs like the Summer Food Service Program and Seamless Summer Option. Future research should further examine the rationale behind meal site placement and how site availability changed over time.</t>
  </si>
  <si>
    <t>McCarthy, Julia/0000-0003-3760-4097; Reis, AlessanRSS/0000-0001-8486-7469</t>
  </si>
  <si>
    <t>10.1007/s11524-020-00476-0</t>
  </si>
  <si>
    <t>WOS:000571680900001</t>
  </si>
  <si>
    <t>Christian, VJ; Miller, KR; Martindale, RG</t>
  </si>
  <si>
    <t>Christian, Vikram J.; Miller, Keith R.; Martindale, Robert G.</t>
  </si>
  <si>
    <t>Food Insecurity, Malnutrition, and the Microbiome</t>
  </si>
  <si>
    <t>CURRENT NUTRITION REPORTS</t>
  </si>
  <si>
    <t>Purpose of ReviewFood insecurity is defined as the disruption of food intake or eating patterns because of lack of money and other resources. Although a relationship between food insecurity and malnutrition would seem intuitive, this relationship remains unclear. This review was aimed at summarizing the emerging evidence of the relationship between food insecurity, malnutrition, and intestinal microbial changes.Recent FindingsEvidence suggests that malnutrition is certainly associated with alteration in the intestinal microbiome. Alternative theories have been proposed as to the nature of the alteration, whether that be a result of microbial immaturity, dysbiosis, or contributions from both processes.SummaryAlthough the evidence continues to evolve, targeted nutritional therapies in conjunction with specific microbial therapy of probiotics or prebiotics may hold great promise for the treatment of malnutrition in the clinical and community settings.</t>
  </si>
  <si>
    <t>Christian, Vikram/AAX-5891-2020</t>
  </si>
  <si>
    <t>Christian, Vikram/0000-0002-9241-8257</t>
  </si>
  <si>
    <t>2161-3311</t>
  </si>
  <si>
    <t>10.1007/s13668-020-00342-0</t>
  </si>
  <si>
    <t>WOS:000651291800006</t>
  </si>
  <si>
    <t>Saxe-Custack, A; LaChance, J; Hanna-Attisha, M</t>
  </si>
  <si>
    <t>Saxe-Custack, Amy; LaChance, Jenny; Hanna-Attisha, Mona</t>
  </si>
  <si>
    <t>Child Consumption of Whole Fruit and Fruit Juice Following Six Months of Exposure to a Pediatric Fruit and Vegetable Prescription Program</t>
  </si>
  <si>
    <t>Public health recommendations suggest limiting child consumption of fruit juice in favor of whole fruit due to juice's high sugar content, lack of fruit fiber, and potential for excess intake. However, replacing juice with whole fruit may be particularly challenging for low-income and minority children, who report the highest intake of 100% juice. To address access and affordability challenges among low-income children, researchers partnered with pediatricians in an urban food desert community, to introduce a fruit and vegetable prescription program (FVPP) that provided a $15 prescription for fresh produce to every child during each office visit. Participating vendors included a farmers' market and local mobile market. This study assessed changes in daily consumption of total fruit and whole fruit among 108 pediatric patients following six months of exposure to the FVPP. Child-reported mean daily intake of whole fruit increased significantly from the baseline to the 6-month follow-up (p = 0.03): 44% of children reported an increased intake of at least 1/4 cup per day, and 30% reported an increased intake of at least 1/2 cup per day. Changes in total fruit intake (including fruit juice) were not significant. Results suggest a pediatric FVPP may have meaningful impacts on children's dietary behaviors, particularly with regard to the intake of whole fruits.</t>
  </si>
  <si>
    <t>Hanna-Attisha, Mona/GQY-8144-2022</t>
  </si>
  <si>
    <t>LaChance, Jenny/0000-0002-7612-649X; Hanna-Attisha, Mona/0000-0003-1887-4710</t>
  </si>
  <si>
    <t>10.3390/nu12010025</t>
  </si>
  <si>
    <t>WOS:000516825500025</t>
  </si>
  <si>
    <t>Bilbao-Sainz, C; Sinrod, AJG; Williams, T; Wood, D; Chiou, BS; Bridges, DF; Wu, VCH; Lyu, C; Rubinsky, B; McHugh, T</t>
  </si>
  <si>
    <t>Bilbao-Sainz, Cristina; Sinrod, Amanda J. G.; Williams, Tina; Wood, Delilah; Chiou, Bor-Sen; Bridges, David F.; Wu, Vivian C. H.; Lyu, Chenang; Rubinsky, Boris; McHugh, Tara</t>
  </si>
  <si>
    <t>Preservation of Tilapia (Oreochromis aureus) Fillet by Isochoric (Constant Volume) Freezing</t>
  </si>
  <si>
    <t>JOURNAL OF AQUATIC FOOD PRODUCT TECHNOLOGY</t>
  </si>
  <si>
    <t>The aim of this work was to evaluate the effects of isochoric freezing on the quality of tilapia fillet. Isochoric freezing was compared to chilling, super-chilling, and freezing. Isochoric freezing showed muscle color alterations similar to the other preservation methods. All preservation methods resulted in softer fillets, with the isochoric frozen fillet having the most similar texture to that of the fresh sample. Thiobarbituric acid reactive substances (TBARS) for isochoric samples were similar to those of fresh samples. However, there was a 53%, 55%, and 34% increase in TBARS for chilled, super-chilled, and frozen samples, respectively. Total volatile basic nitrogen (TVB-N) content was 1.4 times higher for isochoric samples than for fresh samples. For chilled, super-chilled, and frozen samples, TVB-N content was 3.0, 1.9, and 1.3, respectively, times higher than for fresh samples. Microstructural analysis indicated that isochoric samples showed less cell damage compared to those using other methods. Subfreezing temperatures in conjunction with no ice formation during isochoric freezing contributed to improved quality of tilapia fillet. This study may find application in the commercial preservation of fish to increase shelf life and allow for expanded distribution of raw fish. This study might also be a potential solution to food desert areas, where residents have low access to fresh healthy foods.</t>
  </si>
  <si>
    <t>Rubinsky, Boris/B-4439-2010; Wood, Delilah/AAH-4800-2021</t>
  </si>
  <si>
    <t>Bridges, David/0000-0002-8507-6498; Wu, Vivian C.H./0000-0002-1525-1078; Chiou, Bor-Sen/0000-0002-1991-1344</t>
  </si>
  <si>
    <t>1049-8850</t>
  </si>
  <si>
    <t>1547-0636</t>
  </si>
  <si>
    <t>AUG 8</t>
  </si>
  <si>
    <t>10.1080/10498850.2020.1785602</t>
  </si>
  <si>
    <t>JUL 2020</t>
  </si>
  <si>
    <t>WOS:000547851700001</t>
  </si>
  <si>
    <t>Kim, D; Park, J</t>
  </si>
  <si>
    <t>Kim, Donghyun; Park, Jina</t>
  </si>
  <si>
    <t>Assessing Social and Spatial Equity of Neighborhood Retail and Service Access in Seoul, South Korea</t>
  </si>
  <si>
    <t>Creating a sustainable urban space should allow everyone to benefit from urbanization regardless of their ability. Spatial equity is one of the significant factors of sustainability. Several studies have explored pedestrian accessibility and spatial equity, but few researchers have addressed daily retail activities. This study aimed to examine the equity of pedestrian accessibility to neighborhood retail and service (NRS) establishments in Seoul, Korea. Accessibility of NRSs was measured by pedestrian direction API and spatially clustered by local indicators of spatial association (LISA). Equity was examined using the Mann-Whitney U test to test the difference between socioeconomic and built environment variables between high and low accessibility areas. We found that vulnerable groups favored access to the NRSs over more affluent groups. This study's results suggest that urban planners and designers should contemplate ways to enhance the walkability of the residents and continually monitor accessibility to prevent urban problems, such as food deserts and retail deserts. Additionally, the results provide empirical evidence for achieving equity in urban development and urban retail systems to further enhance sustainability.</t>
  </si>
  <si>
    <t>Kim, Donghyun/GNP-0914-2022</t>
  </si>
  <si>
    <t>Kim, Donghyun/0000-0002-8428-7293</t>
  </si>
  <si>
    <t>10.3390/su12208537</t>
  </si>
  <si>
    <t>WOS:000583087200001</t>
  </si>
  <si>
    <t>Gordon, A; Madzia, J; DeFranco, E</t>
  </si>
  <si>
    <t>Gordon, Annabelle; Madzia, Juliana; DeFranco, Emily</t>
  </si>
  <si>
    <t>The impact of food insecurity on fetal growth restriction for women in Ohio food deserts</t>
  </si>
  <si>
    <t>S742</t>
  </si>
  <si>
    <t>S743</t>
  </si>
  <si>
    <t>10.1016/j.ajog.2019.11.1219</t>
  </si>
  <si>
    <t>WOS:000504997301525</t>
  </si>
  <si>
    <t>Khan, H; Ammar, N; Porter, JS; Ding, J; Estepp, JH; Hodges, JR; Shaban-Nejad, A; Wang, W; Gurney, JG; Kang, GL; Davis, R; Hankins, JS</t>
  </si>
  <si>
    <t>Khan, Hamda; Ammar, Nariman; Porter, Jerlym S.; Ding, Juan; Estepp, Jeremie H.; Hodges, Jason R.; Shaban-Nejad, Arash; Wang, Winfred; Gurney, James G.; Kang, Guolian; Davis, Robert; Hankins, Jane S.</t>
  </si>
  <si>
    <t>Food Deserts Are Associated with Acute Care Utilization Among Preschool Children with Sickle Cell Disease</t>
  </si>
  <si>
    <t>BLOOD</t>
  </si>
  <si>
    <t>Hankins, Jane/N-3362-2018; Hodges, Jason/AAC-6412-2021; Estepp, Jeremie/N-8109-2018; Khan, Hamda/KBC-8930-2024; Shaban-Nejad, Arash/ABG-4110-2020; Ammar, Nariman/HRA-6352-2023</t>
  </si>
  <si>
    <t>0006-4971</t>
  </si>
  <si>
    <t>1528-0020</t>
  </si>
  <si>
    <t>NOV 5</t>
  </si>
  <si>
    <t>10.1182/blood-2020-138802</t>
  </si>
  <si>
    <t>WOS:000607547205112</t>
  </si>
  <si>
    <t>Bendre, S; Shah, J; Vozar, A; Chapman, M</t>
  </si>
  <si>
    <t>Bendre, Sachin; Shah, Jasmine; Vozar, Amber; Chapman, Meredith</t>
  </si>
  <si>
    <t>Obesity, metabolic syndrome and food deserts in Appalachian school-age children: Is there an association.</t>
  </si>
  <si>
    <t>HORMONE RESEARCH IN PAEDIATRICS</t>
  </si>
  <si>
    <t>1663-2818</t>
  </si>
  <si>
    <t>1663-2826</t>
  </si>
  <si>
    <t>WOS:000544736900010</t>
  </si>
  <si>
    <t>Schauder, S; Thomsen, MR; Nayga, RM</t>
  </si>
  <si>
    <t>Schauder, Stephanie; Thomsen, Michael R.; Nayga, Rodolfo M., Jr.</t>
  </si>
  <si>
    <t>Agent-based modeling insights into the optimal distribution of the Fresh Fruit and Vegetable Program</t>
  </si>
  <si>
    <t>PREVENTIVE MEDICINE REPORTS</t>
  </si>
  <si>
    <t>The Fresh Fruit and Vegetable Program (FFVP) program provides a free fresh fruit or vegetable snack to children in low-income schools between two and five times a week. This is an important nationwide program, but current funding levels are insufficient to reach all eligible schools. Thus, there is a need to develop insight on contextual factors that may impact the effectiveness of FFVP in facilitating the development of childhood food preferences. An agent-based model of preference formation is used to understand how exposure to FFVP in early elementary school may affect preferences for healthy food by 6th grade. Preferences are modeled using the temporal difference learning algorithm used by Hammond et al. (2012). This model simulates habit formation in the context of food by modeling preference formation in terms of positive or negative feedback about the food most recently consumed. The model is designed to provide insights into how different patterns of exposure to FFVP affect preferences, and how living in a food desert changes the effect of FFVP. We use data on 35,981 students from Arkansas elementary schools (from 2008 to 2016) and information about the commercial food environment in Arkansas communities to populate the model. We find that early FFVP exposure is more beneficial than late exposure conditional on the number of years exposed. We also find that FFVP is more beneficial for children who grow up in environments lacking healthy food.</t>
  </si>
  <si>
    <t>2211-3355</t>
  </si>
  <si>
    <t>10.1016/j.pmedr.2020.101173</t>
  </si>
  <si>
    <t>WOS:000645566100008</t>
  </si>
  <si>
    <t>Gans, C; Phillips, ST</t>
  </si>
  <si>
    <t>Gans, Christopher; Phillips, Stephen T.</t>
  </si>
  <si>
    <t>Food Deserts and Risk for Rehospitalization in Heart Failure Patients</t>
  </si>
  <si>
    <t>SEP 30-OCT 06, 2020</t>
  </si>
  <si>
    <t>ELECTR NETWORK</t>
  </si>
  <si>
    <t>Gans, Christopher/0000-0002-9845-1277</t>
  </si>
  <si>
    <t>S83</t>
  </si>
  <si>
    <t>WOS:000579889600220</t>
  </si>
  <si>
    <t>Assessing food insecurity's influence on large for gestational age for women residing in food deserts</t>
  </si>
  <si>
    <t>S131</t>
  </si>
  <si>
    <t>10.1016/j.ajog.2019.11.202</t>
  </si>
  <si>
    <t>WOS:000504997300186</t>
  </si>
  <si>
    <t>Steinmetz, L; Hage, M; Klavans, M; Gambala, C</t>
  </si>
  <si>
    <t>Steinmetz, Leah; Hage, Madeleine; Klavans, Madison; Gambala, Cecilia</t>
  </si>
  <si>
    <t>Predictors of Gestational Diabetes Among Women Living in Food Deserts</t>
  </si>
  <si>
    <t>APR 24-27, 2020</t>
  </si>
  <si>
    <t>Seattle, WA</t>
  </si>
  <si>
    <t>30D</t>
  </si>
  <si>
    <t>46S</t>
  </si>
  <si>
    <t>WOS:000554572900158</t>
  </si>
  <si>
    <t>Jiao, JF; Cai, MM</t>
  </si>
  <si>
    <t>Jiao, Junfeng; Cai, Mingming</t>
  </si>
  <si>
    <t>Using Open Source Data to Identify Transit Deserts in Four Major Chinese Cities</t>
  </si>
  <si>
    <t>ISPRS INTERNATIONAL JOURNAL OF GEO-INFORMATION</t>
  </si>
  <si>
    <t>The concept of transit deserts stems from the concept of food deserts. There is substantial research on transit deserts in developed countries. However, there is no known research that has studied this subject in Chinese cities. Using open-source data, this paper identified transit desert areas in four major Chinese cities (Beijing, Shanghai, Wuhan, Chengdu). The results show that: (1) In these four cities, the transit desert areas are mainly concentrated in city centers and hardly occur in any suburban areas, which is very different from the cases in the US. (2) Shanghai has the largest transit-dependent population living in transit deserts, followed by Beijing, Chengdu, and Wuhan. Chengdu has the smallest transit desert areas, followed by Shanghai, Wuhan, and Beijing. (3) An oversized transit-dependent population and incomplete transit systems in these cities might contribute to the transit deserts' occurrences. (4) Different distribution of population density, traveling preference, and transportation investment policy in Chinese and American cities might contribute to the different findings. By examining transit desert problems in major Chinese cities, this study brought people's attention to the gap between transit demand and supply in China.</t>
  </si>
  <si>
    <t>cai, ming/HPF-1404-2023</t>
  </si>
  <si>
    <t>Cai, Mingming/0000-0002-2064-0297; Jiao, Junfeng/0000-0002-7272-8805</t>
  </si>
  <si>
    <t>2220-9964</t>
  </si>
  <si>
    <t>10.3390/ijgi9020100</t>
  </si>
  <si>
    <t>WOS:000522449700040</t>
  </si>
  <si>
    <t>Barboza-Salerno, GE</t>
  </si>
  <si>
    <t>Barboza-Salerno, Gia Elise</t>
  </si>
  <si>
    <t>Examining Spatial Regimes of Child Maltreatment Allegations in a Social Vulnerability Framework</t>
  </si>
  <si>
    <t>CHILD MALTREATMENT</t>
  </si>
  <si>
    <t>The present research examines child maltreatment allegations (CMAs) in San Diego County, California, exploring spatial patterns of Child Protective Services involvement and multiple, multidimensional measures of neighborhood social vulnerability. Results showed significant patterns of spatial clustering (i.e., hot and cold spots) of CMAs across the county (Moran's I = .316, p &lt; .001). A geographically weighted regression (GWR) was implemented to examine the relationship between CMAs and social vulnerability at the census-tract level, thereby overcoming the deficiencies of global models. Nonstationarity was detected across four indices of vulnerability (socioeconomic status, race/ethnicity, household composition, and health vulnerability) as well as proximity to on-premise alcohol outlets, percentage of residents in each census tract affected by food deserts, and population density, in some cases showing countervailing effects depending on spatial location. A hierarchical clustering was performed on the GWR coefficients to identify spatial regimes, or clusters, across the county. The results yielded six spatial regimes of social vulnerability differentially related to CMA rates. The present study demonstrates the novelty of GWR in combination with a hierarchical cluster analysis for exploring how local contextual processes influence child maltreatment reporting rates across the county.</t>
  </si>
  <si>
    <t>, Gia/0000-0002-3329-5437</t>
  </si>
  <si>
    <t>1077-5595</t>
  </si>
  <si>
    <t>1552-6119</t>
  </si>
  <si>
    <t>10.1177/1077559519850340</t>
  </si>
  <si>
    <t>WOS:000506059500007</t>
  </si>
  <si>
    <t>Las Vegas</t>
  </si>
  <si>
    <t>Sinclair, D</t>
  </si>
  <si>
    <t>Sinclair, David</t>
  </si>
  <si>
    <t>Food Deserts of Las Vegas An Overview with a Vertical Solution</t>
  </si>
  <si>
    <t>JOURNAL OF THE WEST</t>
  </si>
  <si>
    <t>0022-5169</t>
  </si>
  <si>
    <t>1930-0115</t>
  </si>
  <si>
    <t>WOS:000620282100006</t>
  </si>
  <si>
    <t>Smith, GR; Archer, R</t>
  </si>
  <si>
    <t>Smith, G. R.; Archer, R.</t>
  </si>
  <si>
    <t>Climate, population, food security: adapting and evolving in times of global change</t>
  </si>
  <si>
    <t>INTERNATIONAL JOURNAL OF SUSTAINABLE DEVELOPMENT AND WORLD ECOLOGY</t>
  </si>
  <si>
    <t>This journal article explores local and global impacts and responses to climate change. There is a significant need to maintain sustainable food security for present and future populations. Climate change and global population food security are interdependent. Emerging issues that will shape the future of the global population through support from sustainable agriculture are explored. The focus also addresses emerging agriculture technology. Increases in global population pose the possibility that traditional food sources may not be sufficient to sustain future populations over the long term. It is also possible that global populations could significantly decline even though global populations currently continue to maintain food security. All and all, food security could conceivably be balanced to achieve a level of sustainable available food, supplying the sustainable future populations of the world. There is hope.</t>
  </si>
  <si>
    <t>Archer, Reginald/D-8870-2016</t>
  </si>
  <si>
    <t>Archer, Reginald/0000-0003-1130-917X</t>
  </si>
  <si>
    <t>1350-4509</t>
  </si>
  <si>
    <t>1745-2627</t>
  </si>
  <si>
    <t>JUL 3</t>
  </si>
  <si>
    <t>10.1080/13504509.2020.1712558</t>
  </si>
  <si>
    <t>WOS:000518755100001</t>
  </si>
  <si>
    <t>Isokpehi, RD; Johnson, MO; Campos, B; Sanders, A; Cozart, T; Harvey, IS</t>
  </si>
  <si>
    <t>Isokpehi, Raphael D.; Johnson, Matilda O.; Campos, Bryanna; Sanders, Arianna; Cozart, Thometta; Harvey, Idethia S.</t>
  </si>
  <si>
    <t>Knowledge Visualizations to Inform Decision Making for Improving Food Accessibility and Reducing Obesity Rates in the United States</t>
  </si>
  <si>
    <t>The aim of this article is to promote the use of knowledge visualization frameworks in the creation and transfer of complex public health knowledge. The accessibility to healthy food items is an example of complex public health knowledge. The United States Department of Agriculture Food Access Research Atlas (FARA) dataset contains 147 variables for 72,864 census tracts and includes 16 food accessibility variables with binary values (0 or 1). Using four-digit and 16-digit binary patterns, we have developed data analytical procedures to group the 72,684 U.S. census tracts into eight and forty groups respectively. This value-added FARA dataset facilitated the design and production of interactive knowledge visualizations that have a collective purpose of knowledge transfer and specific functions including new insights on food accessibility and obesity rates in the United States. The knowledge visualizations of the binary patterns could serve as an integrated explanation and prediction system to help answer why and what-if questions on food accessibility, nutritional inequality and nutrition therapy for diabetic care at varying geographic units. In conclusion, the approach of knowledge visualizations could inform coordinated multi-level decision making for improving food accessibility and reducing chronic diseases in locations defined by patterns of food access measures.</t>
  </si>
  <si>
    <t>Harvey, Idethia/AAI-3459-2020</t>
  </si>
  <si>
    <t>Harvey, Idethia Shevon/0000-0002-6535-3910; Isokpehi, Raphael/0000-0002-6877-0840; Cozart, Thometta/0000-0003-1278-8862</t>
  </si>
  <si>
    <t>10.3390/ijerph17041263</t>
  </si>
  <si>
    <t>WOS:000522388500139</t>
  </si>
  <si>
    <t>Variability and stability in child maltreatment risk across time and space and its association with neighborhood social &amp; housing vulnerability in New Mexico: A bayesian space-time model</t>
  </si>
  <si>
    <t>CHILD ABUSE &amp; NEGLECT</t>
  </si>
  <si>
    <t>Background: Modeling the spatio-temporal characteristics of substantiated child maltreatment risk has significant implications for child welfare policy. Objective: This study quantifies the spatiotemporal risk of child abuse and neglect in New Mexico at the census tract level over 9 years, identifies areas of increased risk, and evaluates the role of multiple measures of social and housing insecurity on substantiated child maltreatment referrals. Participants and Setting: Child maltreatment substantiation data across 499 census tracts from 2007 to 2015 were obtained from the New Mexico Department of Public Health. Methods: Substantiated referral counts were analyzed within census tracts with Bayesian hierarchical space-time models using Laplace approximation. Standardized incidence ratios, spatial risk, and probability exceedances were calculated and mapped. Results: Multiple neighborhood structural factors were associated with an increased risk of substantiated child maltreatment, including the eviction rate (Incidence Density Ratio [IDR] = 1.09 [95 % CrI = 1.01-1.12]), rent burden (IDR = 1.11 [95 % CrI = 1.01-1.13]), urban tracts (IDR = 1.36 [95 % CrI = 1.05-1.77]), food desert tracts (IDR = 1.21 [95 % CrI = 1.04-1.41]), low income tracts (IDR = 1.27 [95 % CrI = 1.09-1.49]), percent of households with no vehicle access ([IDR] = 1.27 [95 % CrI =.247-6.47]), and percent of persons with a disability (IDR = 1.05 [95 % CrI = 1.03-1.06]). The racial/ethnic diversity ratio, however, was associated with lower incidence of child maltreatment allegation risk (IDR =.988 [95 % CrI =.982-.995]). Conclusions: Population-based child abuse and neglect prevention and intervention efforts should be aided by the characteristics of neighborhoods that demonstrate strong spatial patterns of household and housing vulnerability, particularly in low income, racially segregated neighborhoods.</t>
  </si>
  <si>
    <t>0145-2134</t>
  </si>
  <si>
    <t>1873-7757</t>
  </si>
  <si>
    <t>10.1016/j.chiabu.2020.104472</t>
  </si>
  <si>
    <t>WOS:000534195200022</t>
  </si>
  <si>
    <t>Sundberg, MA; Warren, AC; VanWassenhove-Paetzold, J; George, C; Carroll, DS; Becenti, LJ; Martinez, A; Jones, B; Bachman-Carter, K; Begay, MG; Wilmot, T; Sandoval-Soland, H; MacKenzie, O; Hamilton, L; Tsosie, M; Bradburn, CK; Ellis, E; Malone, J; Pon, J; Fitch, A; Selig, SM; Gall, G; Shin, SS</t>
  </si>
  <si>
    <t>Sundberg, Michael A.; Warren, Abigail C.; VanWassenhove-Paetzold, Joan; George, Carmen; Carroll, Danya S.; Becenti, Leandra Jewel; Martinez, Akeemi; Jones, Burrell; Bachman-Carter, Karen; Begay, Mae-Gilene; Wilmot, Taylor; Sandoval-Soland, Henrietta; MacKenzie, Onagh; Hamilton, Lindsey; Tsosie, Memarie; Bradburn, Caitlyn K.; Ellis, Emilie; Malone, Jamy; Pon, Julia; Fitch, Ashley; Selig, Sara M.; Gall, Gail; Shin, Sonya S.</t>
  </si>
  <si>
    <t>Implementation of the Navajo fruit and vegetable prescription programme to improve access to healthy foods in a rural food desert</t>
  </si>
  <si>
    <t>Objective: To utilise a community-based participatory approach in the design and implementation of an intervention targeting diet-related health problems on Navajo Nation. Design: A dual strategy approach of community needs/assets assessment and engagement of cross-sectorial partners in programme design with systematic cyclical feedback for programme modifications. Setting: Navajo Nation, USA. Participants: Navajo families with individuals meeting criteria for programme enrolment. Participant enrolment increased with iterative cycles. Results: The Navajo Fruit and Vegetable Prescription (FVRx) Programme. Conclusions: A broad, community-driven and culturally relevant programme design has resulted in a programme able to maintain core programmatic principles, while also allowing for flexible adaptation to changing needs.</t>
  </si>
  <si>
    <t>Sundberg, Michael/ABE-1224-2021</t>
  </si>
  <si>
    <t>PII S1368980019005068</t>
  </si>
  <si>
    <t>10.1017/S1368980019005068</t>
  </si>
  <si>
    <t>WOS:000547920100014</t>
  </si>
  <si>
    <t>Mulrooney, T; Wooten, T</t>
  </si>
  <si>
    <t>Grueau, C; Laurini, R; Ragia, L</t>
  </si>
  <si>
    <t>Mulrooney, Timothy; Wooten, Tysean</t>
  </si>
  <si>
    <t>A Public Participatory Approach toward the Development of a Comprehensive Geospatial Database in Support of High-scale Food Security Analysis</t>
  </si>
  <si>
    <t>PROCEEDINGS OF THE 6TH INTERNATIONAL CONFERENCE ON GEOGRAPHICAL INFORMATION SYSTEMS THEORY, APPLICATIONS AND MANAGEMENT (GISTAM)</t>
  </si>
  <si>
    <t>MAY 07-09, 2020</t>
  </si>
  <si>
    <t>While Geographic Information Systems (GIS) has slowly been integrated into the study of the food environment, little research has been performed to determine the data development needs and standards that best necessitate high-quality research at a high scale. In an era with limited resources such as personnel, bandwidth, space and time, the optimization of these resources in order to understand, visualize and facilitate interventions at an appropriate scale is critical if not necessary. In this research, subject matter experts assessed and evaluated the relative importance of various GIS data themes, attributes and facets of GIS database development in support of local-scale food security analysis. It was found that factors related to the placement of various food sources (grocery stores and farmers markets) and individualized vehicular transportation (roads) outweighed those related to land cover, utilities and zoning, as well as non-vehicular (sidewalks) and public (bus routes) means of transportation. In addition, when ranking various dimensions of data quality, subject matter experts found positional accuracy and attribute accuracy to be the most important when undertaking the development of a geospatial database of this magnitude.</t>
  </si>
  <si>
    <t>978-989-758-425-1</t>
  </si>
  <si>
    <t>10.5220/0008863900210032</t>
  </si>
  <si>
    <t>WOS:000615961500002</t>
  </si>
  <si>
    <t>Yiga, P; Seghers, J; Ogwok, P; Matthys, C</t>
  </si>
  <si>
    <t>Yiga, Peter; Seghers, Jan; Ogwok, Patrick; Matthys, Christophe</t>
  </si>
  <si>
    <t>Determinants of dietary and physical activity behaviours among women of reproductive age in urban sub-Saharan Africa: a systematic review</t>
  </si>
  <si>
    <t>BRITISH JOURNAL OF NUTRITION</t>
  </si>
  <si>
    <t>Urban sub-Saharan Africa is in a nutrition transition shifting towards consumption of energy-dense nutrient-poor diets and decreasing physical activity. Determinants of nutrition transition in sub-Saharan Africa are presently not well understood. The objective of this review was to synthesise available data on determinants of dietary and physical activity behaviours among women of reproductive age in urban sub-Saharan Africa according to the socio-ecological framework. We searched MEDLINE, Embase, Scopus, Web of Science and bibliographies of included articles for qualitative, observational and randomised controlled studies published in English from January 2000 to September 2018. Studies conducted within general populations of women aged 18-49 years were included. Searches were according to a predefined protocol published on PROSPERO (ID = CRD42018108532). Two reviewers independently screened identified studies. From a total of 9853 unique references, twenty-three studies were retained and were mainly from South and West Africa. No rigorous designed quantitative study was identified. Hence, data synthesis was narrative. Notable determinants of dietary behaviour included: convenience, finances, social network, food skills and knowledge gaps, food deserts and culture. Cultural beliefs include strong relationship between high social status and weight gain, energy-dense confectionery, salt or fat-rich foods. Physical activity is influenced by the fast-changing transport environment and cultural beliefs which instigate unfavourable gender stereotypes. Studies with rigorous qualitative and quantitative designs are required to validate and develop the proposed frameworks further, especially within East Africa. Nevertheless, available insights suggest a need for comprehensive skill-based interventions focusing on socio-cultural misconceptions and financial limitations.</t>
  </si>
  <si>
    <t>Yiga, Peter/JVP-0053-2024; Seghers, Jan/O-2843-2015; Matthys, Christophe/I-4203-2016</t>
  </si>
  <si>
    <t>Yiga, Peter/0000-0001-7809-3495; Seghers, Jan/0000-0002-2930-1259; Matthys, Christophe/0000-0003-1770-6862; Ogwok, Patrick/0000-0001-7312-3333</t>
  </si>
  <si>
    <t>0007-1145</t>
  </si>
  <si>
    <t>1475-2662</t>
  </si>
  <si>
    <t>OCT 28</t>
  </si>
  <si>
    <t>10.1017/S0007114520001828</t>
  </si>
  <si>
    <t>WOS:000565525500001</t>
  </si>
  <si>
    <t>Snelling, AM; Yamamoto, JJ; Belazis, LB; Seltzer, GR; McClave, RL; Watts, E</t>
  </si>
  <si>
    <t>Snelling, Anastasia M.; Yamamoto, Jessica J.; Belazis, Laura B.; Seltzer, Gabriella R.; McClave, Robin L.; Watts, Erin</t>
  </si>
  <si>
    <t>Incentivizing Supplemental Nutrition Assistance Program Purchases with Fresh Produce in Corner Stores to Reduce Food Inequity in Underserved Areas of Washington DC</t>
  </si>
  <si>
    <t>Purpose: Maintaining a healthy eating pattern plays a key role in ensuring optimal health outcomes, yet, in areas considered food deserts'' and lower-income neighborhoods where the accessibility of healthy foods and beverages is limited, the pursuit of adequate nutrient intake is rendered cumbersome. This pilot program aims to improve access to healthful foods by supporting corner stores in stocking and promoting the purchase of produce. Methods: DC Central Kitchen's Healthy Corners program in Washington, DC piloted a nutrition incentive model in 17 corner stores that were upgraded to stock an increased variety and quantity of fresh produce. This program, entitled 5-for-5,'' provided a $5 coupon toward the purchase of fresh produce to Supplemental Nutrition Assistance Program (SNAP) shoppers making a qualifying purchase of $5 or more with SNAP benefits. Results: Evaluation based on store owner buy-in and customer intercept surveys indicated overall satisfaction in program offerings with 77% of SNAP shoppers polled indicating an increase in produce consumption as a direct result of the program. Coupon distribution data indicated that in the 5-for-5 program's first year, 76.5% of all 57,989 distributed coupons were redeemed, amounting to $221,770 worth of incentivized fresh produce sales. Conclusion: The results of the incentive program were promising with increases in the amount of produce purchased as a result of the program. Lessons learned concerning the use of a financial incentive to encourage the purchase of produce at corner stores is explored, as well as the feasibility of the corner store as a sustainable venue to increase produce consumption in underserved communities.</t>
  </si>
  <si>
    <t>snelling, anastasia/0000-0002-6899-2187; McClave, Robin/0000-0001-9120-5199</t>
  </si>
  <si>
    <t>10.1089/heq.2020.0028</t>
  </si>
  <si>
    <t>WOS:000617523000050</t>
  </si>
  <si>
    <t>Sitaker, M; Kolodinsky, J; Wang, WW; Chase, LC; Kim, JV; Smith, D; Estrin, H; Van Vlaanderen, Z; Greco, L</t>
  </si>
  <si>
    <t>Sitaker, Marilyn; Kolodinsky, Jane; Wang, Weiwei; Chase, Lisa C.; Kim, Julia Van Soelen; Smith, Diane; Estrin, Hans; Vlaanderen, Zoe Van; Greco, Lauren</t>
  </si>
  <si>
    <t>Evaluation of Farm Fresh Food Boxes: A Hybrid Alternative Food Network Market Innovation</t>
  </si>
  <si>
    <t>Using a mixed-methods design, we evaluated Farm Fresh Food Box (F3B) a market innovation designed to expand producer markets, stabilize rural retail businesses, and improve rural food access. In the F3B model, pre-ordered Community Supported Agriculture (CSA)-style produce boxes are sold through rural retail outlets. F3B was implemented from 2016 to 2018 as part of a United States Department of Agriculture (USDA)-funded multi-state extension and research collaboration project in 3 geographically diverse and rural areas: Vermont, Washington, and California. The F3B evaluation aimed to (1) assess market potential; (2) determine logistics for successful implementation; (3) describe the benefits and drawbacks for farmers and retailers; and (4) measure consumers' attitudes and purchase behavior. A national market survey indicated consumers would be likely to purchase F3B if it was perceived to offer good value on fresh local produce, without need for a subscription. The model put a few additional labor burdens on farmers and retailers, but required time for relationship-building and more record-keeping time for farmers. Those who purchased a F3B were generally satisfied with the quality, quantity and variety of produce each week and a high proportion considered F3B to be a good value for the money. As a new business innovation, F3B showed only modest profit, but retailers and farmers felt it was worthwhile to expand their customer base, promote their brand and develop their partnership. F3B began a means to address flattened growth in direct to consumer produce sales, food deserts and dwindling retail options for fresh foods in rural areas. We discuss F3B as a potential solution to food system weaknesses exposed by the COIVD-19 pandemic because it offers touch-free, high-quality local produce ready for curbside pickup at a convenient location.</t>
  </si>
  <si>
    <t>Kolodinsky, Jane/AAS-4241-2020; Wang, Weiwei/HMV-7415-2023</t>
  </si>
  <si>
    <t>, Jane/0000-0001-7322-0889; Chase, Lisa/0000-0003-4209-217X; Smith, Diane/0000-0002-5718-6737</t>
  </si>
  <si>
    <t>10.3390/su122410406</t>
  </si>
  <si>
    <t>WOS:000603243200001</t>
  </si>
  <si>
    <t>Kim, S; Lee, KI; Heo, SY; Noh, SC</t>
  </si>
  <si>
    <t>Kim, Sanghyo; Lee, Kyei-Im; Heo, Seong-Yoon; Noh, Seung-Chul</t>
  </si>
  <si>
    <t>Identifying Food Deserts and People with Low Food Access, and Disparities in Dietary Habits and Health in Korea</t>
  </si>
  <si>
    <t>This study aims to identify the regions and people with low food access (LFA) for Korea at the national level and to examine disparities in food consumption, dietary behavior, and health outcome for those regions and people. Based on the distance to the nearest grocery store from residence, the regions and people with LFA are identified through geographical information system (GIS) analysis. To examine disparities between the regions and people with LFA and without LFA, a consumer survey is conducted and data from National Health and Nutrition Examination Survey and Community Health Survey are analyzed. This study found that there exists a serious access to food issue in Korea, especially for the aged. Moreover, there also exist significant disparities between the regions and people with and without LFA in the distance and one-way travel time to the grocery store that is mainly visited, frequency of offline/online grocery shopping, availability of various foods, dietary habits such as eating regularly, eating nutritionally balanced foods, and eating sufficient fruit/vegetable/whole grains, the acquisition and utilization of food-related information, and health outcomes. This study suggests that, to resolve such a serious food access problem, assistance policies, such as mobile grocery stores and lunch-box delivery, need to be activated in countries similar to Korea since this problem could potentially deteriorate the national medical finances as well as the regional and individual disparities.</t>
  </si>
  <si>
    <t>Kim, Sanghyo/ACQ-6518-2022</t>
  </si>
  <si>
    <t>Noh, seung chul/0000-0003-0511-0295</t>
  </si>
  <si>
    <t>10.3390/ijerph17217936</t>
  </si>
  <si>
    <t>WOS:000588974800001</t>
  </si>
  <si>
    <t>Fonge, YN; Jain, VD; Harrison, C; Brooks, M; Sciscione, AC</t>
  </si>
  <si>
    <t>Fonge, Yaneve N.; Jain, Vanita D.; Harrison, Cecelia; Brooks, Madeline; Sciscione, Anthony C.</t>
  </si>
  <si>
    <t>Examining the relationship between food environment and gestational diabetes</t>
  </si>
  <si>
    <t>AMERICAN JOURNAL OF OBSTETRICS &amp; GYNECOLOGY MFM</t>
  </si>
  <si>
    <t>BACKGROUND: Studies have shown an association between the incidence of gestational diabetes and living in neighborhoods over-saturated with unhealthy foods. OBJECTIVE: This study sought to determine if the food environment also affects the management of gestational diabetes. We hypothesized that living in areas with a higher quality of food decreased the risk of requiring medication to treat gestational diabetes. STUDY DESIGN: This was a retrospective cohort study of singleton births at the Christiana Care Health System between 2015 and 2018. Patients with gestational diabetes who live in Delaware (N=1327) were geocoded and classified according to their census tract food environment. The food environment was assessed using the modified Retail Food Environment Index, which measures the percentage of healthy food retailers among all food retailers within a half-mile radius of the census tract boundaries. The modified Retail Food Environment Index scores were divided into 3 categories: poor (modified Retail Food Environment Index score, 0-3), average (modified Retail Food Environment Index score, 4-10), and good or above average (modified Retail Food Environment Index score, &gt;= 11) food environments. The primary outcome was the prevalence of A2 gestational diabetes mellitus. Several neonatal and obstetrical outcomes were also examined including type II diabetes mellitus (defined as a 2-hour glucose tolerance test with at least 1 value above the threshold), cesarean delivery, shoulder dystocia, admission to the neonatal intensive care unit, neonatal hypoglycemia, neonatal hyperbilirubinemia, neonatal respiratory distress syndrome, and macrosomia. RESULTS: A total of 689 (52%) women were diagnosed as having A2 gestational diabetes mellitus. Women in the average or good or above average food environment groups had a lower prevalence of A2 gestational diabetes mellitus than women in the poor food environment group (modified Retail Food Environment Index score, 4-10 [adjusted odds ratio, 0.58; 95% confidence interval, 0.37-0.92] and modified Retail Food Environment Index score, &gt;= 11 [adjusted odds ratio, 0.56; 95% confidence interval, 0.40-0.82]). They also had a lower prevalence of type II diabetes mellitus (modified Retail Food Environment Index score, 4-10 [adjusted odds ratio, 0.25; 95% confidence interval, 0.09-0.72] and modified Retail Food Environment Index score, &gt;= 11 [adjusted odds ratio, 0.48; 95% confidence interval, 0.27-0.86]). There were no differences in the other secondary outcomes of interest. CONCLUSION: The food environment affects the requirement for medication to obtain glycemic levels that are within the target range for those with gestational diabetes.</t>
  </si>
  <si>
    <t>Fonge, yaneve/0000-0002-7803-4134; Brooks, Madeline/0000-0002-8089-1602</t>
  </si>
  <si>
    <t>2589-9333</t>
  </si>
  <si>
    <t>10.1016/j.ajogmf.2020.100204</t>
  </si>
  <si>
    <t>WOS:000658254200018</t>
  </si>
  <si>
    <t>Turner, C; Kalamatianou, S; Drewnowski, A; Kulkarni, B; Kinra, S; Kadiyala, S</t>
  </si>
  <si>
    <t>Turner, Christopher; Kalamatianou, Sofia; Drewnowski, Adam; Kulkarni, Bharati; Kinra, Sanjay; Kadiyala, Suneetha</t>
  </si>
  <si>
    <t>Food Environment Research in Low- and Middle-Income Countries: A Systematic Scoping Review</t>
  </si>
  <si>
    <t>Food environment research is increasingly gaining prominence in low- and middle-income countries (LMICs). However, in the absence of a systematic review of the literature, little is known about the emerging body of evidence from these settings. This systematic scoping review aims to address this gap. A systematic search of 6 databases was conducted in December 2017 and retrieved 920 records. In total, 70 peer-reviewed articles met the eligibility criteria and were included. Collectively, articles spanned 22 LMICs, including upper-middle-income countries (n = 49, 70%) and lower-middle-income countries (n = 18, 26%). No articles included low-income countries. Articles featured quantitative (n = 45, 64%), qualitative (n = 17, 24%), and mixed-method designs (n = 11, 8%). Studies analyzed the food environment at national, community, school, and household scales. Twenty-three articles (55%) assessed associations between food environment exposures and outcomes of interest, including diets (n = 14), nutrition status (n = 13), and health (n = 1). Food availability was associated with dietary outcomes at the community and school scales across multiple LMICs, although associations varied by vendor type. Evidence regarding associations between the food environment and nutrition and health outcomes was inconclusive. The paucity of evidence from high-quality studies is a severe limitation, highlighting the critical need for improved study designs and standardized methods and metrics. Future food environment research must address low-income and lower-middle-income countries, and include the full spectrum of dietary, nutrition, and health outcomes. Improving the quality of food environment research will be critical to the design of feasible, appropriate, and effective interventions to improve public health nutrition in LMICs.</t>
  </si>
  <si>
    <t>Drewnowski, Adam/HCI-4117-2022; Kulkarni, Bharati/C-9036-2011</t>
  </si>
  <si>
    <t>Turner, Christopher/0000-0002-8091-1108; Kadiyala, Suneetha/0000-0002-9101-1471; Kulkarni, Bharati/0000-0003-0636-318X</t>
  </si>
  <si>
    <t>10.1093/advances/nmz031</t>
  </si>
  <si>
    <t>WOS:000522557900014</t>
  </si>
  <si>
    <t>Hamann, C; Peek-Asa, C; Butcher, B</t>
  </si>
  <si>
    <t>Hamann, Cara; Peek-Asa, Corinne; Butcher, Brandon</t>
  </si>
  <si>
    <t>Racial disparities in pedestrian-related injury hospitalizations in the United States</t>
  </si>
  <si>
    <t>Background Racial/ethnic disparity has been documented in a wide variety of health outcomes, and environmental components are contributors. For example, food deserts have been tied to obesity rates. Pedestrian injuries are strongly tied to environmental factors, yet no studies have examined racial disparity in pedestrian injury rates. We examine a nationally-representative sample of pedestrian-related hospitalizations in the United States to identify differences in incidence, severity, and cost by race/ethnicity. Methods Patients with ICD diagnosis E-codes for pedestrian injuries were drawn from the United States Nationwide Inpatient Sample (2009-2016). Rates were calculated using the United States Census. Descriptive statistics and generalized linear regression were used to examine characteristics (age, sex, severity of illness, mortality rates, hospital admissions, length of stay, total costs) associated with hospitalizations for pedestrian injuries. Results The annual average of pedestrian-related deaths exceeded 5000 per year and hospitalizations exceeded 47,000 admissions per year. The burden of injury from pedestrian-related hospitalizations was higher among Black, Hispanic, and Multiracial/Other groups in terms of admission rates, costs per capita, proportion of children injured, and length of stay compared to Whites and Asian or Pacific Islander race/ethnicities. Compared to Whites, hospital admission rates were 1.92 (95% CI: 1.89-1.94) and 1.20 (95% CI: 1.19-1.21) times higher for Multiracial/Other and Blacks, respectively. Costs per capita ($USD) were $6.30, $4.14, and $3.22 for Multiracial/Others, Blacks, and Hispanics, compared to $2.88 and $2.32 for Whites and Asian or Pacific Islanders. Proportion of lengths of stay exceeding one week were larger for Blacks (26.4%), Hispanics (22.6%), Asian or Pacific Islanders (23.1%), and Multiracial/Other (24.1%), compared to Whites (18.6%). Extreme and major loss of function proportions were also highest among Black (34.5%) and lowest among Whites (30.2%). Conclusions Results from this study show racial disparities in pedestrian injury hospitalization rates and outcomes, particularly among Black, Hispanic, and Multiracial/Other race/ethnicity groups and support population and system-level approaches to prevention. Access to transportation is an indicator for health disparity, and these results indicate that access to safe transportation also shows inequity by race/ethnicity.</t>
  </si>
  <si>
    <t>Peek-Asa, Corinne/0000-0001-9472-2538</t>
  </si>
  <si>
    <t>SEP 25</t>
  </si>
  <si>
    <t>10.1186/s12889-020-09513-8</t>
  </si>
  <si>
    <t>WOS:000576314400002</t>
  </si>
  <si>
    <t>Gailey, S</t>
  </si>
  <si>
    <t>Gailey, S.</t>
  </si>
  <si>
    <t>Obesity among black women in food deserts: An a(sic)oeomnibusa(sic) test of differential risk (vol 7, 100363, 2019)</t>
  </si>
  <si>
    <t>WOS:000600644200122</t>
  </si>
  <si>
    <t>Savary, S; Akter, S; Almekinders, C; Harris, J; Korsten, L; Rötter, R; Waddington, S; Watson, D</t>
  </si>
  <si>
    <t>Savary, Serge; Akter, Sonia; Almekinders, Conny; Harris, Jody; Korsten, Lise; Roetter, Reimund; Waddington, Stephen; Watson, Derrill</t>
  </si>
  <si>
    <t>Mapping disruption and resilience mechanisms in food systems</t>
  </si>
  <si>
    <t>This opinion article results from a collective analysis by the Editorial Board of Food Security. It is motivated by the ongoing covid-19 global epidemic, but expands to a broader view on the crises that disrupt food systems and threaten food security, locally to globally. Beyond the public health crisis it is causing, the current global pandemic is impacting food systems, locally and globally. Crises such as the present one can, and do, affect the stability of food production. One of the worst fears is the impacts that crises could have on the potential to produce food, that is, on the primary production of food itself, for example, if material and non-material infrastructure on which agriculture depends were to be damaged, weakened, or fall in disarray. Looking beyond the present, and not minimising its importance, the covid-19 crisis may turn out to be the trigger for overdue fundamental transformations of agriculture and the global food system. This is because the global food system does not work well today: the number of hungry people in the world has increased substantially, with the World Food Programme warning of the possibility of a hunger pandemic. Food also must be nutritious, yet unhealthy diets are a leading cause of death. Deepening crises impoverish the poorest, disrupt food systems, and expand food deserts. A focus on healthy diets for all is all the more relevant when everyone's immune system must react to infection during a global pandemic. There is also accumulating and compelling evidence that the global food system is pushing the Earth system beyond the boundaries of sustainability. In the past twenty years, the growing demand for food has increasingly been met through the destruction of Earth's natural environment, and much less through progress in agricultural productivity generated by scientific research, as was the case during the two previous decades. There is an urgent need to reduce the environmental footprint of the global food system: if its performances are not improved rapidly, the food system could itself be one main cause for food crises in the near future. The article concludes with a series of recommendations intended for policy makers and science leaders to improve the resilience of the food system, global to local, and in the short, medium and long term.</t>
  </si>
  <si>
    <t>Korsten, Lise/C-9047-2012; Almekinders, Conny/AAI-5827-2020; Akter, Sonia/J-2208-2014; Rotter, Reimund P./Y-9579-2019</t>
  </si>
  <si>
    <t>Akter, Sonia/0000-0001-5644-9403; Rotter, Reimund P./0000-0002-3804-9964; Korsten, Lise/0000-0003-0232-7659; Harris, Jody/0000-0002-3369-1253</t>
  </si>
  <si>
    <t>10.1007/s12571-020-01093-0</t>
  </si>
  <si>
    <t>AUG 2020</t>
  </si>
  <si>
    <t>WOS:000555763300001</t>
  </si>
  <si>
    <t>Faust, C; Esterline, A</t>
  </si>
  <si>
    <t>Faust, Christina; Esterline, Albert</t>
  </si>
  <si>
    <t>A Visual Analysis of Food Availability in Davidson County NC</t>
  </si>
  <si>
    <t>IEEE SOUTHEASTCON 2020</t>
  </si>
  <si>
    <t>IEEE SoutheastCon-Proceedings</t>
  </si>
  <si>
    <t>IEEE,IEEE Reg 3</t>
  </si>
  <si>
    <t>Community Food Strategies provides guidance and tools to local food networks in North Carolina to empower the creation of equitable policy change at all levels. Their vision is the realization of an equitable food system that improves the quality of life for all. In Davidson County, the recently formed Local Food Network, created under the guidance of Community Food Strategies, is working to create a more equitable and sustainable food system and is evaluating how best to apply their resources toward this end. The county is largely rural, and rural areas tend to have lower food access. Two cities, Lexington and Thomasville, have experienced economic depression over the past three decades with the exodus of furniture manufacturing overseas and as such, both cities have communities that suffer from poverty and food insecurity issues. In this research, we use visual analytics and spatial analysis to build a survey and analysis of local food availability for the county. Visual analytics is increasingly being applied to applications like this to increase understanding of large datasets and improve decision making. This research provides a base analysis for the Local Food Network to present the state of the local food system to potential partners who can help create policies that will increase equity and availability of food to everyone in the county.</t>
  </si>
  <si>
    <t>1558-058X</t>
  </si>
  <si>
    <t>978-1-7281-6861-6</t>
  </si>
  <si>
    <t>10.1109/southeastcon44009.2020.9249675</t>
  </si>
  <si>
    <t>WOS:000664039400080</t>
  </si>
  <si>
    <t>Alexander, M; Massaro, VA</t>
  </si>
  <si>
    <t>Alexander, Monique; Massaro, Vanessa A.</t>
  </si>
  <si>
    <t>School deserts: Visualizing the death of the neighborhood school</t>
  </si>
  <si>
    <t>POLICY FUTURES IN EDUCATION</t>
  </si>
  <si>
    <t>The purported purpose of school choice policies is to increase students' access to good schools. There is little discussion, however, of where those good schools are located, nor of the ways in which the distribution of good schools mirrors broader patterns of uneven development in the United States. Given that schools are neighborhood assets and that the distance which students travel to get to school affects their success, the locations of schools matter tremendously and are inextricable from questions of social and spatial justice. We introduce and argue for the explicit use of the term school desert as a way for scholars to understand and describe the spatial injustice of school closures and for activists to argue the importance of effective local schools. Spatial visualization and rendering of social problems is an invaluable strategy for effecting policy change. As cities move increasingly to a de-spatialized geography of schooling where catchment zones are less determinate of where a student attends school, it is important to consider where the desirable schools are and where they are not. A more nuanced visualization of school locations than neighborhood demographics offers a new lens through which to examine the (un)intended effects of school closures on students, communities, and development. Using Pennsylvania as a case study, we use a geographic information system (GIS) to evaluate the broader reverberations of school choice policies and determine who, demographically, has access to high-quality schools. In light of this research, we also propose an innovative analytic and methodology that describes the educational inequity which is caused by spatial relationships between students' homes and high-quality schooling. Through the concept of a school desert we explore the (un)intended spatial implications of school closures. School deserts occur as a result of school choice policies that justify school closures. Closures and the location of good schools are geographically uneven, tempered by the federal and local policies that ensure income and racial segregation in US housing. Our analysis of Pennsylvania reveals the uneven distribution of access to good schools in the same way that mapping food deserts displays how market forces have failed to evenly distribute quality food. We find that areas with high-quality schools are significantly wealthier and whiter than school deserts, a conclusion which mirrors those concerning other low-quality neighborhood assets. School deserts as a methodology demonstrate that if students do not have geographic access to good schools, then school choice policies do not, in fact, offer choice.</t>
  </si>
  <si>
    <t>Massaro, Vanessa/CAH-5141-2022</t>
  </si>
  <si>
    <t>Massaro, Vanessa/0000-0002-3075-1273</t>
  </si>
  <si>
    <t>1478-2103</t>
  </si>
  <si>
    <t>10.1177/1478210320951063</t>
  </si>
  <si>
    <t>WOS:000574506800007</t>
  </si>
  <si>
    <t>Bégué, A; Leroux, L; Soumaré, M; Faure, JF; Diouf, AA; Augusseau, X; Touré, L; Tonneau, JP</t>
  </si>
  <si>
    <t>Begue, Agnes; Leroux, Louise; Soumare, Mamy; Faure, Jean-Francois; Diouf, Abdoul Aziz; Augusseau, Xavier; Toure, Labaly; Tonneau, Jean-Philippe</t>
  </si>
  <si>
    <t>Remote Sensing Products and Services in Support of Agricultural Public Policies in Africa: Overview and Challenges</t>
  </si>
  <si>
    <t>FRONTIERS IN SUSTAINABLE FOOD SYSTEMS</t>
  </si>
  <si>
    <t>In the last decade, governments, international institutions, donors, the private sector, etc. have shown a renewed interest in agricultural issues in Sub-Saharan Africa (SSA). This interest came with a strong need for information in countries where the lack of reliable and timely basic information can be a problem. Thanks to its capacity to observe the Earth at local, regional, and global scales and from various vantage points, satellite remote sensing is a powerful tool to streamline the monitoring and improvement of the existing systems, and thus to support decision-making. However, the path from satellite images to public policy decisions is not straightforward, and today, only few operational information services are available in SSA countries (e.g., early warning systems for food security and desert locust plagues prevention, rangeland production forecasting). This paper aims to analyze the gap between the technical aspects of the remote sensing sciences and the pragmatic need for relevant data to address agricultural policies in Africa and produce operational recommendations. To achieve this goal, the authors (1) determine the information, and in particular the geoinformation, needed to develop, implement and evaluate agricultural public policies (2) illustrate the role of remote sensing as a public policy tool in SSA through an overview of the current off-the-shelf products and services derived from Earth Observation systems, and (3) propose an analysis of the existing gap between the remote sensing research community and the policy makers. Based on this review, the authors conclude that to benefit from this technological advancement and bridge the gap between technical analysts and policy makers, some key points are fundamental: capacity building, political will and institutional commitment, public-private partnership, and proofs of concept.</t>
  </si>
  <si>
    <t>Leroux, Louise/C-4726-2016; begue, agnes/A-5718-2011</t>
  </si>
  <si>
    <t>Diouf, Abdoul Aziz/0000-0002-2918-6211; Toure, Labaly/0009-0008-0939-2019</t>
  </si>
  <si>
    <t>2571-581X</t>
  </si>
  <si>
    <t>10.3389/fsufs.2020.00058</t>
  </si>
  <si>
    <t>WOS:000556663900001</t>
  </si>
  <si>
    <t>Holliday, SB; Troxel, W; Haas, A; Ghosh-Dastidar, M; Gary-Webb, TL; Collins, R; Beckman, R; Baird, M; Dubowitz, T</t>
  </si>
  <si>
    <t>Holliday, Stephanie Brooks; Troxel, Wendy; Haas, Ann; Ghosh-Dastidar, Madhumita (bonnie); Gary-Webb, Tiffany L.; Collins, Rebecca; Beckman, Robin; Baird, Matthew; Dubowitz, Tamara</t>
  </si>
  <si>
    <t>Do investments in low-income neighborhoods produce objective change in health-related neighborhood conditions?</t>
  </si>
  <si>
    <t>This study examined the effect of neighborhood investments on neighborhood walkability, presence of incivilities, and crime in two low-income, primarily African American neighborhoods in Pittsburgh, USA. During the study period, one of the neighborhoods (the intervention neighborhood) received substantially more publicly-funded investments than a demographically matched comparison neighborhood. Comparisons between the neighborhoods showed a significant difference-in-difference for all three outcomes. The intervention neighborhood experienced significantly more change related to improved walkability and decreased incivilities. However, the control neighborhood experienced better crime-related outcomes. Analyses that focused on resident proximity to investments found similar results. This highlights the nuances of neighborhood investment, which is important to consider when thinking about public policy.</t>
  </si>
  <si>
    <t>Baird, Matthew/ABF-2150-2021</t>
  </si>
  <si>
    <t>Gary-Webb, Tiffany/0000-0001-9843-1084; Baird, Matthew/0000-0003-3016-480X</t>
  </si>
  <si>
    <t>10.1016/j.healthplace.2020.102361</t>
  </si>
  <si>
    <t>WOS:000562023700008</t>
  </si>
  <si>
    <t>Baird, MD; Schwartz, H; Hunter, GP; Gary-Webb, TL; Ghosh-Dastidar, B; Dubowitz, T; Troxel, WM</t>
  </si>
  <si>
    <t>Baird, Matthew D.; Schwartz, Heather; Hunter, Gerald P.; Gary-Webb, Tiffany L.; Ghosh-Dastidar, Bonnie; Dubowitz, Tamara; Troxel, Wendy M.</t>
  </si>
  <si>
    <t>Does Large-Scale Neighborhood Reinvestment Work? Effects of Public?Private Real Estate Investment on Local Sales Prices, Rental Prices, and Crime Rates</t>
  </si>
  <si>
    <t>HOUSING POLICY DEBATE</t>
  </si>
  <si>
    <t>During the 1990s, the U.S. Department of Housing and Urban Development awarded over $6 billion in competitive grants (HOPE VI) to spur neighborhood redevelopment. We add to HOPE VI research by examining the impacts of a large set of public?private real estate investments, including HOPE VI, made over a 16-year period in a distressed neighborhood of Pittsburgh, Pennsylvania (Hill District). We estimate the effects of $468 million additional public?private investments that Hill District received compared with a demographically similar neighborhood on sales prices, rental prices, and crime. We find large, statistically significant impacts of these investments on residential sales prices, commercial sales prices, and on rental prices, and a marginally significant yet meaningful decline in nonviolent arrests. For each $10 million of public?private investment, we find a 0.95%, 2.7%, and 0.55% increase in residential sales prices, commercial sales prices, and rental prices, respectively. Given the accumulated difference over 16 years of $468 million in these investments across the two neighborhoods, the percentage increases amount to large changes in prices over that time. Cities should anticipate the potential impacts of major neighborhood investment on low-income households, especially unsubsidized renters who most directly experience the brunt of rising rents.</t>
  </si>
  <si>
    <t>Baird, Matthew/0000-0003-3016-480X; Gary-Webb, Tiffany/0000-0001-9843-1084</t>
  </si>
  <si>
    <t>1051-1482</t>
  </si>
  <si>
    <t>2152-050X</t>
  </si>
  <si>
    <t>MAR 3</t>
  </si>
  <si>
    <t>10.1080/10511482.2019.1655468</t>
  </si>
  <si>
    <t>WOS:000491003100001</t>
  </si>
  <si>
    <t>Mooney, SJ; Bobb, JF; Hurvitz, PM; Anau, J; Theis, MK; Drewnowski, A; Aggarwal, A; Gupta, S; Rosenberg, DE; Cook, AJ; Shi, X; Lozano, P; Moudon, AV; Arterburn, D</t>
  </si>
  <si>
    <t>Mooney, Stephen J.; Bobb, Jennifer F.; Hurvitz, Philip M.; Anau, Jane; Theis, Mary Kay; Drewnowski, Adam; Aggarwal, Anju; Gupta, Shilpi; Rosenberg, Dori E.; Cook, Andrea J.; Shi, Xiao; Lozano, Paula; Moudon, Anne Vernez; Arterburn, David</t>
  </si>
  <si>
    <t>Impact of Built Environments on Body Weight (the Moving to Health Study): Protocol for a Retrospective Longitudinal Observational Study</t>
  </si>
  <si>
    <t>Background: Studies assessing the impact of built environments on body weight are often limited by modest power to detect residential effects that are small for individuals but may nonetheless comprise large attributable risks. Objective: We used data extracted from electronic health records to construct a large retrospective cohort of patients. This cohort will be used to explore both the impact of moving between environments and the long-term impact of changing neighborhood environments. Methods: We identified members with at least 12 months of Kaiser Permanente Washington (KPWA) membership and at least one weight measurement in their records during a period between January 2005 and April 2017 in which they lived in King County, Washington. Information on member demographics, address history, diagnoses, and clinical visits data (including weight) was extracted. This paper describes the characteristics of the adult (aged 18-89 years) cohort constructed from these data. Results: We identified 229,755 adults representing nearly 1.2 million person-years of follow-up. The mean age at baseline was 45 years, and 58.0% (133,326/229,755) were female. Nearly one-fourth of people (55,150/229,755) moved within King County at least once during the follow-up, representing 84,698 total moves. Members tended to move to new neighborhoods matching their origin neighborhoods on residential density and property values. Conclusions: Data were available in the KPWA database to construct a very large cohort based in King County, Washington. Future analyses will directly examine associations between neighborhood conditions and longitudinal changes in body weight and diabetes as well as other health conditions.</t>
  </si>
  <si>
    <t>Aggarwal, Anju/I-7512-2019; Lozano, Paula/GPP-4090-2022; Drewnowski, Adam/HCI-4117-2022; Cook, Andrea J/D-1894-2018</t>
  </si>
  <si>
    <t>Rosenberg, Dori/0000-0003-1017-8833; Hurvitz, Philip/0000-0002-2944-0785; , Mary Kay Theis/0000-0002-4337-6994; Cook, Andrea J/0000-0002-6848-5222</t>
  </si>
  <si>
    <t>e16787</t>
  </si>
  <si>
    <t>10.2196/16787</t>
  </si>
  <si>
    <t>WOS:000537952500014</t>
  </si>
  <si>
    <t>Honório, OS; Pessoa, MC; Gratao, LHA; Rocha, LL; de Castro, IRR; Canella, DS; Horta, PM; Mendes, LL</t>
  </si>
  <si>
    <t>Honorio, Olivia Souza; Pessoa, Milene Cristine; Gratao, Lucia Helena Almeida; Rocha, Luana Lara; de Castro, Ines Rugani Ribeiro; Canella, Daniela Silva; Horta, Paula Martins; Mendes, Larissa Loures</t>
  </si>
  <si>
    <t>Social inequalities in the surrounding areas of food deserts and food swamps in a Brazilian metropolis</t>
  </si>
  <si>
    <t>INTERNATIONAL JOURNAL FOR EQUITY IN HEALTH</t>
  </si>
  <si>
    <t>Background Food deserts are neighborhoods with little or no access to healthy food, whereas food swamps are neighborhoods where unhealthy food options prevail over healthy ones. The main aims of the current study are to feature and compare the neighborhoods of food deserts and food swamps based on social inequality. Methods Ecological study carried out in Belo Horizonte City, Minas Gerais State, Brazil. Information about commercial food establishments derived from two different databases. It was measured by secondary governmental databases, which were virtually conferred in the present study. Census tracts were considered as analysis units and classified as food deserts and food swamps, based on the Brazilian methodology. Take into consideration the density of establishments classified as selling fresh or minimally-processed food, mixed establishments, and establishments selling ultra-processed food. The Brazilian methodology evaluates food deserts by the density of healthy establishments (establishments classified as mostly selling fresh or minimally-processed food and mixed establishments) per 10 thousand inhabitants. And the metric to evaluate food swamps considers the density of unhealthy establishments (establishments mostly selling ultra-processed food) per 10 thousand inhabitants. Information about social inequalities comprised aspects such as income, population count, number of households, number of literate individuals, race, water and energy supply, and garbage collection. The Health Vulnerability Index (HVI) was used as a synthetic social vulnerability indicator. Results Neighborhoods of food deserts presented worse essential service availability, lower income per capita, and smaller mean number of literate individuals. Census tracts classified as food swamps presented better socio-demographic conditions than those areas food deserts. Neighborhoods simultaneously classified as food deserts and food swamps presented lower income per capita and were more often observed in census sectors presenting medium and high HVI. Conclusion The food environment in Belo Horizonte was featured by the strong presence of food deserts and food swamps. However, the potential influence of these areas on food intake has changed depending on social inequalities.</t>
  </si>
  <si>
    <t>Horta, Paula/I-7859-2015; Mendes, Larissa/AAL-6662-2020; Lara Rocha, Luana/Y-6026-2018; Canella, Daniela/G-1553-2012</t>
  </si>
  <si>
    <t>Lara Rocha, Luana/0000-0002-5963-6033; Canella, Daniela/0000-0001-9672-4983</t>
  </si>
  <si>
    <t>1475-9276</t>
  </si>
  <si>
    <t>JUL 21</t>
  </si>
  <si>
    <t>10.1186/s12939-021-01501-7</t>
  </si>
  <si>
    <t>WOS:000675399000001</t>
  </si>
  <si>
    <t>Zhen, C</t>
  </si>
  <si>
    <t>Rausser, GC; Zilberman, D</t>
  </si>
  <si>
    <t>Zhen, Chen</t>
  </si>
  <si>
    <t>Food Deserts: Myth or Reality?</t>
  </si>
  <si>
    <t>ANNUAL REVIEW OF RESOURCE ECONOMICS, VOL 13</t>
  </si>
  <si>
    <t>Annual Review of Resource Economics</t>
  </si>
  <si>
    <t>In 2010, the White House announced the goal of eradicating food deserts-low-income neighborhoods without nearby supermarkets-in seven years. The efficacy of this initiative is premised on the presumption, mostly untested in 2010, that food deserts significantly contribute to health disparities in low-resourced communities. We synthesize the post-2010 line of research that seeks to establish causality in the relationship between food access and nutrition/health. All things considered, there is so far little evidence that food deserts have a causal effect of meaningful magnitude on health and nutrition disparities. The causes of diet quality disparity lie more on the side of food demand than on supply. Therefore, from the public health perspective, policies that lower the relative price of healthy food or change the deep parameters of preferences in favor of healthy food would be more appealing than eliminating food deserts.</t>
  </si>
  <si>
    <t>1941-1340</t>
  </si>
  <si>
    <t>1941-1359</t>
  </si>
  <si>
    <t>978-0-8243-4713-0</t>
  </si>
  <si>
    <t>10.1146/annurev-resource-101620-080307</t>
  </si>
  <si>
    <t>WOS:000705869900007</t>
  </si>
  <si>
    <t>Jin, H; Lu, YM</t>
  </si>
  <si>
    <t>Jin, He; Lu, Yongmei</t>
  </si>
  <si>
    <t>SAR-Gi*: Taking a spatial approach to understand food deserts and food swamps</t>
  </si>
  <si>
    <t>Most existing food deserts/swamps studies adopted non-spatial approaches,overlooking the role of spatial dependence in the associations between food access and socioeconomic status. This study aims to fill the gap by examining this relationship with a spatial perspective. Using Austin, Tx as a case study, we adopted a multi-mode Huff-based 2SFCA method to measure the spatial access to food stores. Eight socioeconomic variables were represented by two indices per factor analysis:Economic Deprivation Index (EDI) and Sociocultural Deprivation Index (SDI). We proposed a SAR-Gi* model to characterize food deserts/swamps in Austin. Our analyses reveal that EDI is a significant predictor for access to healthy food (beta = -0.054, p = 0.037), and SDI is significantly associated with access to unhealthy food (beta = 0.160, p = 0.000). We also found that food deserts and swamps in Austin are concentrated in the east and northeast of Austin, respectively. The noticeable difference between the spatial patterns of food deserts and food swamps as identified by our study and those based on the USDA definition or other traditional methods speaks to the great potential of the SAR-Gi* model in reflecting geographical patterns and relations embedded in food access and socioeconomic status of neighborhoods.</t>
  </si>
  <si>
    <t>Jin, He/AAL-5348-2021; Lu, Yongmei/GXV-4278-2022</t>
  </si>
  <si>
    <t>Lu, Yongmei/0000-0003-1994-3458</t>
  </si>
  <si>
    <t>10.1016/j.apgeog.2021.102529</t>
  </si>
  <si>
    <t>AUG 2021</t>
  </si>
  <si>
    <t>WOS:000686749900001</t>
  </si>
  <si>
    <t>Bush, SB</t>
  </si>
  <si>
    <t>Bush, Sasha Breger</t>
  </si>
  <si>
    <t>Food Deserts and Supermarket Culture in Denver, Colorado</t>
  </si>
  <si>
    <t>JOURNAL OF ECONOMIC ISSUES</t>
  </si>
  <si>
    <t>While the food desert-supermarket (FDS) approach remains a favored one among policymakers, scholars are growing increasingly critical of it. I contribute to this growing body of critical literature by examining the FDS approach through the lens of cultural appropriateness. While much of the critical academic literature has thus far focused on the food desert side of the approach, here I turn my attention to the proposed solution: supermarkets. The essay focuses on ethnicity, nationality and language as cultural dimensions important in thinking about and devising policy intended to mitigate food insecurity in food deserts. Field research in supermarkets in the Denver metropolitan area found that supermarkets routinely and systematically promote Western cultural norms, marginalize non-Western cultures and foods, and ostracize non-English speakers.</t>
  </si>
  <si>
    <t>0021-3624</t>
  </si>
  <si>
    <t>1946-326X</t>
  </si>
  <si>
    <t>10.1080/00213624.2021.1945888</t>
  </si>
  <si>
    <t>WOS:000707494700011</t>
  </si>
  <si>
    <t>Corbera-Hincapie, MA; Kurland, KS; Hincapie, MR; Fabio, A; Weiner, DJ; Kim, SC; Kazmerski, TM</t>
  </si>
  <si>
    <t>Corbera-Hincapie, Montserrat A.; Kurland, Kristen S.; Hincapie, Mark R.; Fabio, Anthony; Weiner, Daniel J.; Kim, Sandra C.; Kazmerski, Traci M.</t>
  </si>
  <si>
    <t>Geospatial Analysis of Food Deserts and Their Impact on Health Outcomes in Children with Cystic Fibrosis</t>
  </si>
  <si>
    <t>Food insecurity (FI) is defined as the limited or uncertain access to adequate food.  One root cause of FI is living in a food desert. FI rates among people with cystic fibrosis (CF) are higher than the general United States (US) population. There is limited data on the association between food deserts and CF health outcomes. We conducted a retrospective review of people with CF under 18 years of age at a single pediatric CF center from January to December 2019 using demographic information and CF health parameters. Using a Geographic Information System, we conducted a spatial overlay analysis at the census tract level using the 2015 Food Access Research Atlas to assess the association between food deserts and CF health outcomes. We used multivariate logistic regression analysis and adjusted for clinical covariates and demographic covariates, using the Child Opportunity Index (COI) to calculate odds ratios (OR) with confidence intervals (CI) for each health outcome. People with CF living in food deserts and the surrounding regions had lower body mass index/weight-for-length (OR 3.18, 95% CI: 1.01, 9.40, p &amp; LE; 0.05 (food desert); OR 4.41, 95% CI: 1.60, 12.14, p &amp; LE; 0.05 (600 ft buffer zone); OR 2.83, 95% CI: 1.18, 6.76, p &amp; LE; 0.05 (1200 ft buffer zone)). Food deserts and their surrounding regions impact pediatric CF outcomes independent of COI. Providers should routinely screen for FI and proximity to food deserts. Interventions are essential to increase access to healthy and affordable food.</t>
  </si>
  <si>
    <t>Kim, Sandra/HMP-1332-2023; Kazmerski, Traci/AFU-9352-2022</t>
  </si>
  <si>
    <t>Fabio, Anthony/0000-0002-6808-4939</t>
  </si>
  <si>
    <t>10.3390/nu13113996</t>
  </si>
  <si>
    <t>WOS:000725288300001</t>
  </si>
  <si>
    <t>Lee, K; Caine-Bish, N</t>
  </si>
  <si>
    <t>Lee, Kiwon; Caine-Bish, Natalie</t>
  </si>
  <si>
    <t>Understanding Restaurant Healthfulness in Food Deserts</t>
  </si>
  <si>
    <t>Objective: To determine differences in restaurant environments between neighborhood and restaurant type to understand better a food desert's eating environments. Methods: The Nutrition Environment Measures Survey for restaurants was used to assess restaurant healthfulness. Kruskal-Wallis compared healthy index scores, and Pearson chi-square compared individual items. Results: Healthy index scores were consistently low across neighborhoods (total mean = 4.6 out of 23). Fast-food restaurants (mean = 5.7) were more healthful than sit-down restaurants (mean = 3.1). Individual comparisons showed more healthy eating facilitators (eg, nutrition information at point-of-purchase, P = 0.004) in food deserts and more available healthful items (eg, whole grain bread, P &lt; 0.001) in the neighborhoods with high incomes. Conclusions and Implications: Findings indicate equities in restaurant environments across all neighborhoods but inequities across restaurant types, thus conclude the importance of restaurant type in understanding restaurant healthfulness. Policymakers can use these findings to develop healthy eating strategies in varying neighborhoods.</t>
  </si>
  <si>
    <t>10.1016/j.jneb.202012.002</t>
  </si>
  <si>
    <t>WOS:000672175400008</t>
  </si>
  <si>
    <t>Fong, AJ; Lafaro, K; Ituarte, PHG; Fong, YM</t>
  </si>
  <si>
    <t>Fong, Abigail J.; Lafaro, Kelly; Ituarte, Philip H. G.; Fong, Yuman</t>
  </si>
  <si>
    <t>Association of Living in Urban Food Deserts with Mortality from Breast and Colorectal Cancer</t>
  </si>
  <si>
    <t>ANNALS OF SURGICAL ONCOLOGY</t>
  </si>
  <si>
    <t>Background Food deserts are neighborhoods with low access to healthy foods and are associated with poor health metrics. We investigated association of food desert residence and cancer outcomes. Methods In this population-based study, data from the 2000-2012 California Cancer Registry was used to identify patients with stage II/III breast or colorectal cancer. Patient residence at time of diagnosis was linked by census tract to food desert using the USDA Food Access Research Atlas. Treatment and outcomes were compared by food desert residential status. Results Among 64,987 female breast cancer patients identified, 66.8% were &lt; 65 years old, and 5.7% resided in food deserts. Five-year survival for food desert residents was 78% compared with 80% for non-desert residents (p &lt; 0.0001). Among 48,666 colorectal cancer patients identified, 50.4% were female, 39% were &gt; 65 years old, and 6.4% resided in food deserts. Five-year survival for food desert residents was 60% compared with 64% for non-desert residents (p &lt; 0.001). Living in food deserts was significantly associated with diabetes, tobacco use, poor insurance coverage, and low socioeconomic status (p &lt; 0.05) for both cancers. There was no significant difference in rates of surgery or chemotherapy by food desert residential status for either diagnosis. Multivariable analyses showed that food desert residence was associated with higher mortality. Conclusion Survival, despite treatment for stage II/III breast and colorectal cancers was worse for those living in food deserts. This association remained significant without differences in use of surgery or chemotherapy, suggesting factors other than differential care access may link food desert residence and cancer outcomes.</t>
  </si>
  <si>
    <t>Ituarte, Philip/ABG-5332-2021</t>
  </si>
  <si>
    <t>1068-9265</t>
  </si>
  <si>
    <t>1534-4681</t>
  </si>
  <si>
    <t>10.1245/s10434-020-09049-6</t>
  </si>
  <si>
    <t>WOS:000562667200001</t>
  </si>
  <si>
    <t>Testa, A; Jackson, DB; Semenza, DC; Vaughn, MG</t>
  </si>
  <si>
    <t>Testa, Alexander; Jackson, Dylan B.; Semenza, Daniel C.; Vaughn, Michael G.</t>
  </si>
  <si>
    <t>Food deserts and cardiovascular health among young adults</t>
  </si>
  <si>
    <t>Objective: This study assesses the association between living in a food desert and cardiovascular health risk among young adults in the USA, as well as evaluates whether personal and area socioeconomic status moderates this relationship. Design: A cross-sectional analysis was performed using data from Wave I (1993-1994) and Wave IV (2008) from the National Longitudinal Study of Adolescent to Adult Health. Ordinary least squares regression models assessing the association between living in a food desert and cardiovascular health were performed. Mediation and moderation analyses assessed the degree to which this association was conditioned by area and personal socioeconomic status. Setting: Sample of respondents living in urban census tracts in the USA in 2008. Participants: Young adults (n 8896) aged 24-34 years. Results: Net of covariates living in a food desert had a statistically significant association with cardiovascular health risk (range 0-14) (beta = 0 center dot 048, P &lt; 0 center dot 01). This association was partially mediated by area and personal socioeconomic status. Further analyses demonstrate that the adverse association between living in a food desert and cardiovascular health is concentrated among low socioeconomic status respondents. Conclusions: The findings from this study suggest a complex interplay between food deserts and economic conditions for the cardiovascular health of young adults. Developing interventions that aim to improve health behaviour among lower-income populations may yield benefits for preventing the development of cardiovascular health problems.</t>
  </si>
  <si>
    <t>Semenza, Daniel/AAE-2797-2020; Vaughn, Michael/W-2694-2019</t>
  </si>
  <si>
    <t>PII S1368980020001536</t>
  </si>
  <si>
    <t>10.1017/S1368980020001536</t>
  </si>
  <si>
    <t>WOS:000600911400012</t>
  </si>
  <si>
    <t>Liang, CL; Kurkalova, L; Beni, LH; Mulrooney, T; Jha, M; Miao, HR; Monty, G</t>
  </si>
  <si>
    <t>Liang, Chyi-Lyi (Kathleen); Kurkalova, Lyubov; Beni, Leila Hashemi; Mulrooney, Timothy; Jha, Manoj; Miao, Haoran; Monty, Gregory</t>
  </si>
  <si>
    <t>Introducing an innovative design to examine human-environment dynamics of food deserts responding to COVID-19</t>
  </si>
  <si>
    <t>Food desert communities face persistent barriers in accessing affordable fresh and healthy foods, particularly for the underserved and limited-resourced minority population. This research brief proposes an integrated design concept examining human-environment dynamics of food deserts to identify strategies that would provide effective planning to prevent, prepare for, or respond to disruptive events such as natural disasters or pandemics in the future. The North Carolina example we describe identifies the potential overlapping areas between food deserts and number of COVID-19 cases to demonstrate how an unpredictable event could exacerbate public health in food desert communities to a greater extent than in communities with better food access, availability, and accessibility. The improved understanding of food systems could help in addressing unprecedented challenges such as those due to the COVID-19 crisis.</t>
  </si>
  <si>
    <t>Jha, Manoj/JWO-6124-2024</t>
  </si>
  <si>
    <t>Jha, Manoj/0000-0001-7351-4764; Kurkalova, Lyubov/0000-0002-8873-3908; Miao, Haoran/0000-0002-9526-6850</t>
  </si>
  <si>
    <t>10.5304/jafscd.2021.102.037</t>
  </si>
  <si>
    <t>WOS:000648659700008</t>
  </si>
  <si>
    <t>Neumeier, S; Kokorsch, M</t>
  </si>
  <si>
    <t>Neumeier, Stefan; Kokorsch, Matthias</t>
  </si>
  <si>
    <t>Supermarket and discounter accessibility in rural Germany- identifying food deserts using a GIS accessibility model</t>
  </si>
  <si>
    <t>JOURNAL OF RURAL STUDIES</t>
  </si>
  <si>
    <t>A spatial concentration of basic services can be observed in many European regions. This concentration is a result of the interaction between socio-economic and demographic processes. Rural regions in Germany are particularly affected by concentration processes and the thinning-out of services. Even though this topic is covered and debated in media, among policy makers and regional scientists, few reliable data exist on the dimensions and consequences of these processes. Food retailing is one subject area wherein a spatial concentration can be observed and its consequences have a direct impact. Different aspects of the spatial concentration processes in food retailing are the core of this article, which aims to address the following questions: Can spatial food deserts (regions with limited access to affordable and nutritious food) be identified in rural Germany, and, if yes, which part of the population seems to be particularly affected by insufficient access to food? Food deserts are approached at the macro level utilising a distance-based concept building on a GIS accessibility model. Thus, the focus is on the analysis of the potential general spatial existence of food deserts, not on individual consumer perspectives, behaviours, capabilities, or consequences. The results of the analysis reveal that in Germany, transportation availability is a decisive factor determining if one lives in a food desert or not. Furthermore, living in a food desert is more of an individual experience that depends on individual living conditions and capabilities than a spatial distinct phenomenon. However, as the accessibility to food retail stores is comparatively worse in connected parts of Mecklenburg-West Pomerania, Brandenburg, Rhineland-Palatinate and the north of SaxonyAnhalt, less mobile people living in these areas are more likely to experience food desert.</t>
  </si>
  <si>
    <t>Neumeier, Stefan/G-4548-2016</t>
  </si>
  <si>
    <t>Kokorsch, Matthias/0000-0003-2220-8323</t>
  </si>
  <si>
    <t>0743-0167</t>
  </si>
  <si>
    <t>1873-1392</t>
  </si>
  <si>
    <t>10.1016/j.jrurstud.2021.06.013</t>
  </si>
  <si>
    <t>WOS:000691222100013</t>
  </si>
  <si>
    <t>Influence of Gestational Weight Gain on the Risk of Preterm Birth for Underweight Women Living in Food Deserts</t>
  </si>
  <si>
    <t>AMERICAN JOURNAL OF PERINATOLOGY</t>
  </si>
  <si>
    <t>Objective Preterm birth (PTB) and food insecurity are two of the most significant public health crises in the United States. Effects of being underweight among populations with low food security are not well understood. We assess whether the protective effect of gestational weight gain (GWG) for women with low prepregnancy body mass index (BMI) differs by accessibility to sources of healthy food. Study Design Population-based retrospective cohort study using Ohio birth records analyzing all live births, 2006 to 2015. Analyses were stratified by maternal BMI (underweight, normal, overweight, and obese), Institute of Medicine (IOM) recommended GWG (under vs. met), and whether the U.S. Department of Agriculture (USDA) classified the residential census tract for each birth as a food desert. Food access data were retrieved from the USDA's 2018 Food Access Research Atlas. Covariates were selected using least absolute shrinkage and selection operator regression. Logistic regression models estimated the risk ratio (RR) of PTB for each group based on under or exceeded recommended GWG (reference = met), adjusting for coexisting risk factors. Results Analysis was performed on 1,124,299 births. PTB risk was highest for underweight women below GWG recommendations (no food desert: 21.3%, RR = 2.15, 95% confidence interval [CI]: 1.81-2.57; food desert: 21.0%, RR = 1.46, 95% CI: 0.96-2.21). Underweight women living in food deserts who exceeded GWG recommendations had lower PTB risk than those who met GWG recommendations (13.5 vs. 14.3%, RR = 0.85, 95% CI: 0.51-1.41). Factors other than GWG significantly associated with PTB included in the adjusted analysis include maternal age and race, education, marital status, interpregnancy interval, and presence of prepregnancy diabetes or hypertension. Conclusion Underweight women who do not meet GWG recommendations are at high risk for PTB. Increasing pregnancy weight gain to a level that exceeds IOM recommendations was not associated with a reduction in PTB risk for underweight women who reside in food deserts compared with women who met GWG recommendations.</t>
  </si>
  <si>
    <t>Madzia, Jules/0000-0001-9636-0163</t>
  </si>
  <si>
    <t>0735-1631</t>
  </si>
  <si>
    <t>1098-8785</t>
  </si>
  <si>
    <t>E77</t>
  </si>
  <si>
    <t>10.1055/s-0040-1705168</t>
  </si>
  <si>
    <t>WOS:000690384400011</t>
  </si>
  <si>
    <t>Association between Food Deserts and Gestational Diabetes Mellitus in a Large Metropolitan Area</t>
  </si>
  <si>
    <t>Objective The aim of this study is to determine the relationship between urban food deserts and frequency and obstetric outcomes related to gestational diabetes. Study Design We conducted a retrospective cohort study of singleton births in Chicago from 2010 to 2014. Birth certificate data were analyzed and geomapped by census tract. Census tracts were categorized as food deserts according to the USDA Food Access Research Atlas. The primary outcome was frequency of gestational diabetes. Secondary outcomes were assessed among women with gestational diabetes and their neonates. Results Of the 191,947 eligible women, 8,709 (4.5%) were diagnosed with gestational diabetes. Those in food deserts were more likely to be younger, obese, minority race/ethnicity, and multiparous. Women in food deserts were less likely to develop gestational diabetes (3.8 vs. 4.8%, p &lt;0.01; adjusted odds ratio 0.91, 95% confidence interval 0.86-0.96). Women with gestational diabetes did not experience worse maternal and neonatal outcomes after controlling for potential confounders. Conclusion In contrast to prior work, women in Chicago living within food deserts were less likely to develop gestational diabetes and did not experience poorer outcomes, suggesting environmental factors other than food access contribute to perinatal outcomes.</t>
  </si>
  <si>
    <t>Banner, Grace/0000-0002-2694-5200</t>
  </si>
  <si>
    <t>E45</t>
  </si>
  <si>
    <t>10.1055/s-0040-1702991</t>
  </si>
  <si>
    <t>WOS:000690384400006</t>
  </si>
  <si>
    <t>Strome, S; Johns, T; Scicchitano, M; Shelnutt, K</t>
  </si>
  <si>
    <t>Strome, Stuart; Johns, Tracy; Scicchitano, Michael; Shelnutt, Karla</t>
  </si>
  <si>
    <t>The Effects of Mealtime Behaviors and Beliefs on Fresh Fruit and Vegetable Consumption in Food Deserts</t>
  </si>
  <si>
    <t>The objective of this study was to identify the effects of mealtime habits, knowledge, and skills on fresh fruit and vegetable (FFV) consumption in food deserts. A survey of 1200 respondents was conducted in food deserts across three metropolitan areas in north Florida. Planning meals around meat, lack of cooking skills, viewing vegetables as luxury items, and other incomplete skills, lack of knowledge, or negative mealtime habits resulted in lower consumption of FFV, even when controlling for access. Our results underscore the importance of an approach to food security that emphasizes both nutrition education and improving access in food deserts.</t>
  </si>
  <si>
    <t>10.1080/19320248.2019.1649778</t>
  </si>
  <si>
    <t>WOS:000647704600002</t>
  </si>
  <si>
    <t>Evaluating Consumer Nutrition Environment in Food Deserts and Food Swamps</t>
  </si>
  <si>
    <t>This research examines the consumer nutrition environment in the selected neighborhoods identified as food deserts, food swamps, and food oases in Austin, Texas, by considering food availability, food price, food quality, and food labeling. A food auditing instrument M-TxNEA-S (He Jin, San Marcos, TX, USA) was developed to capture the unique dietary culture and food preferences in Texas. A total of 93 food items in 14 grocery stores and supermarkets (GS) and 32 convenience stores (CS) were surveyed. The GS in food swamps and food oases were found to offer significantly more healthy foods than the CS. The availability of healthy food in the GS in the food swamps and food oases is significantly higher than that of the GS from the food deserts; CS in the three neighborhoods did not exhibit a significant difference in healthy food availability. There was no significant difference between the price for the healthy items (lower fat, lower calorie, and whole grain) and that for the regular food options. No significant difference was found for food quality or food labeling between the stores from the different types of neighborhoods. The GS in food deserts are small grocery stores carrying limited ranges of foods. The establishment of larger food stores in the food deserts might not be very rewarding, but opening more small grocery stores with healthier options may alleviate food issues.</t>
  </si>
  <si>
    <t>Lu, Yongmei/GXV-4278-2022; Jin, He/AAL-5348-2021</t>
  </si>
  <si>
    <t>Lu, Yongmei/0000-0003-1994-3458; Jin, He/0000-0002-3475-5677</t>
  </si>
  <si>
    <t>10.3390/ijerph18052675</t>
  </si>
  <si>
    <t>WOS:000628132700001</t>
  </si>
  <si>
    <t>Smith, EJT; Ramirez, JL; Wu, B; Zarkowsky, DS; Gasper, WJ; Finlayson, E; Conte, MS; Iannuzzi, JC</t>
  </si>
  <si>
    <t>Smith, Eric J. T.; Ramirez, Joel L.; Wu, Bian; Zarkowsky, Devin S.; Gasper, Warren J.; Finlayson, Emily; Conte, Michael S.; Iannuzzi, James C.</t>
  </si>
  <si>
    <t>Living in a Food Desert is Associated with 30-day Readmission after Revascularization for Chronic Limb-Threatening Ischemia</t>
  </si>
  <si>
    <t>ANNALS OF VASCULAR SURGERY</t>
  </si>
  <si>
    <t>JAN 30-FEB 02, 2020</t>
  </si>
  <si>
    <t>Steamboat Springs, CO</t>
  </si>
  <si>
    <t>Vasc &amp; Endovascular Surg Soc</t>
  </si>
  <si>
    <t>Background: Living in a food desert has been associated with increased cardiovascular risk; however, its impact on vascular surgery outcomes is unknown. This study hypothesized that living in a food desert would be associated with increased postoperative complications in patients undergoing revascularization for chronic limb-threatening ischemia (CLTI). Methods: This was a single-center retrospective analysis of open and endovascular infrainguinal revascularization for CLTI between April 2013 and December 2015. A food desert was defined using the US Department of Agriculture's Food Access Research Atlas. Bivariate analyses were performed appropriate to the data. Binary logistic regression was performed assessing the association of food desert status with 30-day postoperative complications. Results: In total, 152 cases were included, of which 17% (n = 26) resided in food deserts. Patients in the food desert cohort were less likely to be low income (27% vs. 54%, P = 0.01). Living in a food desert was associated with increased 30-day readmission [(39% vs. 20%, P = 0.04), unadjusted OR: 2.5 (CI: 1.0-6.2)]. FD cases also had a higher proportion of wound complications [12 (46%) vs. 28 (22%), P = 0.01)]. The overall wound complication rate was 27% with the majority being due to infections (63%). On multivariable analysis, food desert status remained associated with increased odds of 30-day readmission (OR: 2.7, CI: 1.2-8.4, P = 0.047). Reasons for readmission in the food desert group were all due to wound complications (100% vs. 72%, P = 0.08). Conclusions: Living in a food desert was associated with nearly three times the odds of 30-day readmission after lower extremity revascularization for CLTI. This increase in readmission may be explained through increased wound complications. These findings support considering access to healthy food as a potential modifiable risk factor for adverse outcomes, particularly in CLTI revascularization.</t>
  </si>
  <si>
    <t>Iannuzzi, James/E-5228-2012</t>
  </si>
  <si>
    <t>Zarkowsky, Devin/0000-0001-5854-2644; Conte, Michael/0000-0001-9119-192X; , Eric/0000-0002-9502-670X; Gasper, Warren/0000-0002-7773-5916</t>
  </si>
  <si>
    <t>0890-5096</t>
  </si>
  <si>
    <t>1615-5947</t>
  </si>
  <si>
    <t>10.1016/j.avsg.2020.06.052</t>
  </si>
  <si>
    <t>WOS:000599833300005</t>
  </si>
  <si>
    <t>Trembosová, M; Jakab, I</t>
  </si>
  <si>
    <t>Trembosova, Miroslava; Jakab, Imrich</t>
  </si>
  <si>
    <t>Spreading of Food Deserts in Time and Space: The Case of the City of Nitra (Slovakia)</t>
  </si>
  <si>
    <t>The aim of the article is to evaluate the time availability of food stores for the population permanently residing in the city of Nitra (Slovakia). Parts of the city where poor accessibility has been identified can be described as food deserts. In the last two decades, there have been dramatic changes in the retail network in Nitra, as well as extensive housing construction and an aging change in the demographic structure. Therefore, we evaluated the years 2008 and 2019 separately. This made it possible to evaluate the changes in time availability and the number of inhabitants located in individual zones. During the years 2008-2019, the residential zones of the city of Nitra increased by 43.86%, the area of food desert increased by up to 68.78%, and the number of inhabitants endangered by the food desert increased by 1100 residents, i.e., 23.9%. In 2008, 5.51% of Nitra's residents lived in the food deserts, in approximately twelve years this percentage increased to 7.45% of the population (2019). The proximity to the nearest grocery was in Nitra in 2008 median 504 m, while in 2019 median 623 m. Evaluating the time availability of grocery stores and identifying so-called food deserts can be interesting for both the city's residents and the business community, especially for potential developers. It can also be used effectively in the spatial planning process and in the rational management of complex territorial development, as well as in local politics. Given the character of the city of Nitra, it can be assumed that the acquired knowledge can be extrapolated to other post-socialist cities of a similar size and hierarchical level.</t>
  </si>
  <si>
    <t>10.3390/su13137138</t>
  </si>
  <si>
    <t>WOS:000671122500001</t>
  </si>
  <si>
    <t>Goyanes, A; Hoch, JM</t>
  </si>
  <si>
    <t>Goyanes, Annie; Hoch, Jeffrey Matthew</t>
  </si>
  <si>
    <t>Using Ecological Diversity Analyses to Characterize the Availability of Healthy Food and Socio-Economic Food Deserts</t>
  </si>
  <si>
    <t>Food deserts are usually defined as geographic areas without local access to fresh, healthy food. We used community ecology statistics in supermarkets to quantify the availability of healthy food and to potentially identify food deserts as areas without a diverse selection of food, rather than a binary as to whether fresh food is present or not. We test whether produce diversity is correlated with neighborhood income or demographics. Abundance and diversity of fresh produce was quantified in supermarkets in Broward County, Florida, USA. Neighborhood income level and racial/ethnic makeup were retrieved from the U.S. Census and American Community Survey. Although diversity varied, there were no communities that had consistently less available fresh food, although the percent of a neighborhood identifying as white  was positively correlated with produce diversity. There may be fewer choices in neighborhoods with a higher proportion of minorities, but there were no consistent patterns of produce diversity in Broward County. This method demonstrates an easy, inexpensive way to characterize food deserts beyond simple distance, and results in precise enough information to identify gaps in the availability of healthy foods.</t>
  </si>
  <si>
    <t>Hoch, Jeffrey/0000-0002-4629-9322</t>
  </si>
  <si>
    <t>10.3390/ijerph181910297</t>
  </si>
  <si>
    <t>WOS:000709448900001</t>
  </si>
  <si>
    <t>Amin, MD; Badruddoza, S; McCluskey, JJ</t>
  </si>
  <si>
    <t>Amin, Modhurima Dey; Badruddoza, Syed; McCluskey, Jill J.</t>
  </si>
  <si>
    <t>Predicting access to healthful food retailers with machine learning</t>
  </si>
  <si>
    <t>Many U.S. households lack access to healthful food and rely on inexpensive, processed food with low nutritional value. Surveying access to healthful food is costly and finding the factors that affect access remains convoluted owing to the multidimensional nature of socioeconomic variables. We utilize machine learning with census tract data to predict the modified Retail Food Environment Index (mRFEI), which refers to the percentage of healthful food retailers in a tract and agnostically extract the features of no access?corresponding to a ?food desert? and low access?corresponding to a ?food swamp.? Our model detects food deserts and food swamps with a prediction accuracy of 72% out of the sample. We find that food deserts and food swamps are intrinsically different and require separate policy attention. Food deserts are lightly populated rural tracts with low ethnic diversity, whereas swamps are predominantly small, densely populated, urban tracts, with more non-white residents who lack vehicle access. Overall access to healthful food retailers is mainly explained by population density, presence of black population, property value, and income. We also show that our model can be used to obtain sensible predictions of access to healthful food retailers for any U.S. census tract.</t>
  </si>
  <si>
    <t>Amin, Modhurima/AAA-7410-2022; Badruddoza, Syed/AAY-4114-2021</t>
  </si>
  <si>
    <t>Badruddoza, Syed/0000-0001-6808-5563</t>
  </si>
  <si>
    <t>10.1016/j.foodpol.2020.101985</t>
  </si>
  <si>
    <t>MAR 2021</t>
  </si>
  <si>
    <t>WOS:000626623100002</t>
  </si>
  <si>
    <t>de Oliveira, ES; de Jesus, AP; Martinez, RA</t>
  </si>
  <si>
    <t>de Oliveira, Elizabeth Santos; de Jesus, Andressa Pereira; Martinez, Romari Alejandra</t>
  </si>
  <si>
    <t>AVAILABILITY AND ACCESS TO HEALTHY FOODS IN THE MUNICIPALITIES OF THE ILHEUS-ITABUNA MICRORREGION IN THE STATE OF BAHIA (BRAZIL)</t>
  </si>
  <si>
    <t>The difficulty in accessing nutritious and fresh food is a significant problem that affects a considerable portion of the population, preventing the adoption of an adequate and healthy diet. Therefore, this article aims to identify the relationship between the presence of food deserts and socioeconomic vulnerability in municipalities in the Ilheus-Itabuna micro-region in the state of Bahia (Brazil). Data on the number of ultra-processed, mixed, and in natura establishments were used to identify deserts, swamps, and food oases. The classes of establishments received weights through the AHP (Analytical Hierarchical Process) methodology and were processed by the Easy AHP plugin from QGis 2.8.9 to obtain the map of Food Deserts. For the analysis of the results, the Social Vulnerability Index (SVI) and the Municipal Human Development Index (MHDI) were used, which served as a comparison tool between the municipalities with the greatest social vulnerability and those located in the regions of food deserts and swamps. The results showed that the places identified as food deserts or swamps corresponded directly to places that present a high social vulnerability index and a low human development index, while the regions of food oasis corresponded to cities with lower levels of vulnerability and greater human development.</t>
  </si>
  <si>
    <t>10.18055/Finis20943</t>
  </si>
  <si>
    <t>WOS:000754564800007</t>
  </si>
  <si>
    <t>Chenarides, L; Cho, CR; Nayga, RM; Thomsen, MR</t>
  </si>
  <si>
    <t>Chenarides, Lauren; Cho, Clare; Nayga, Rodolfo M., Jr.; Thomsen, Michael R.</t>
  </si>
  <si>
    <t>Dollar stores and food deserts</t>
  </si>
  <si>
    <t>The purpose of this study is to examine the relationship between dollar store expansion and food access. We begin by documenting the growth of dollar stores over time and comparing dollar store expansion between areas with and without poor food access. Using a time-varying measure of food accessibility, we identify areas with persistent food access challenges, where supermarket and large grocery stores have been absent for the entire study period (2000-2017), and track dollar store expansion into these areas. We use a combination of geocoded food retail establishments from Nielsen's TDLinx dataset to identify the precise location and years of entry for dollar stores and create yearly measures of food accessibility. We find that dollar stores are most prevalent in non-metro areas, regardless of food access status. We find that both the presence and entry of dollar stores are not more likely to be associated with areas categorized as low-income and low-access; however, we do find evidence that once a dollar store enters a food desert, that area is more likely to remain without access to a supermarket. Our results indicate that dollar stores are similar to other profit-seeking food retailers in that they are more likely to locate in areas where supermarkets exist and competition is high, suggesting that dollar stores are becoming key players within the food retailing environment. Yet, unlike traditional retail formats, dollar stores could be filling a gap in food access in places where no other food retailer will enter.</t>
  </si>
  <si>
    <t>10.1016/j.apgeog.2021.102497</t>
  </si>
  <si>
    <t>JUL 2021</t>
  </si>
  <si>
    <t>WOS:000686900300002</t>
  </si>
  <si>
    <t>Kotval-K, Z; Khandelwal, S; Wills, K</t>
  </si>
  <si>
    <t>Kotval-K, Zeenat; Khandelwal, Shruti; Wills, Kendra</t>
  </si>
  <si>
    <t>Access to foods using Grand Rapids, Michigan, as a case study: Objective versus subjective issues</t>
  </si>
  <si>
    <t>Low access and low income are two of the primary factors used in determining the food desert designation by the U.S. Department of Agriculture. Low access is defined as a geographical area where 33% or more people are living beyond one mile from a supermarket in an urban region, and a low-income area is defined as one with a poverty rate of either 20% or more, or median family income falling below 80% of statewide or metropolitan area family income. These criteria have been in place for several years now. This study aims to assess the adequacy of these criteria for food desert designation and further investigate perceptions of barriers to fresh and healthy foods and measure physical 'access' for those reliant on the public transportation in the city of Grand Rapids, Michigan. The study includes a preliminary price comparative analysis of selected fresh foods in local grocery stores, spatial mapping using GIS to measure accessibility, and interviews with families at three schools located in food desert census tracts. Results of this study indicate that, first, there are other factors to consider when designating areas as food deserts such as public transit availability and inclusion of alternate food retail stores where fresh and healthy foods may be purchased, and secondly, perceptions of barriers to access fresh and healthy foods for families depend on mobility and cost preferences. Implications include a greater awareness of transit availability, alternate venues, acceptance of federal benefits such as SNAP-EBT, and incentivizing existing stores to sell healthier produce in disadvantaged areas.</t>
  </si>
  <si>
    <t>khandelwal, shruti/JMC-1137-2023</t>
  </si>
  <si>
    <t>10.5304/jafscd.2021.103.008</t>
  </si>
  <si>
    <t>WOS:000686472900012</t>
  </si>
  <si>
    <t>Witt, CD; Hardin-Fanning, F</t>
  </si>
  <si>
    <t>Witt, Cheryl D.; Hardin-Fanning, Frances</t>
  </si>
  <si>
    <t>Social Norms and Stigma: Implications for Measuring Childhood Food Security</t>
  </si>
  <si>
    <t>Introduction: Food insecurity and health disparities are disproportionate in Appalachia when compared to other areas of the United States. Policies and funding to address food insecurity are based results of the USDA Household Food Security Survey Module (HFSSM). This study was to explore participants' perceptions of the HFSSM items. Methods: Post-interventional qualitative interviews of participants (N = 13) living in an Appalachian food desert were conducted. Results: Two themes emerged: 1) stigma and 2) Appalachian cultural expectations. Conclusion: Results indicate a need to develop a culturally appropriate tool to increase the precision of childhood food security assessment in Appalachia.</t>
  </si>
  <si>
    <t>Hardin-Fanning, Frances/0000-0002-4325-6423; Dean-Witt, Cheryl/0000-0001-7922-897X</t>
  </si>
  <si>
    <t>10.1080/19320248.2020.1826379</t>
  </si>
  <si>
    <t>OCT 2020</t>
  </si>
  <si>
    <t>WOS:000576297700001</t>
  </si>
  <si>
    <t>Ware, BO; Amin, MD; Jessup, EL; McCluskey, JJ</t>
  </si>
  <si>
    <t>Ware, Brandon O.; Amin, Modhurima Dey; Jessup, Eric L.; McCluskey, Jill J.</t>
  </si>
  <si>
    <t>Neighborhood racial composition, income, and distance to grocery retailers in Seattle</t>
  </si>
  <si>
    <t>This article examines whether racial disparities exist in travel distances and travel times to grocery stores in Seattle, WA. In contrast to the findings of studies conducted in other metropolitan cities, Seattle, WA, has few food deserts. We find that disparities in travel distance and travel time to supermarkets vary with the percentage of specific racial and ethnic populations. Greater Asian populations in a census tract are associated with shorter travel distance to the grocery, low income, and low vehicle access. For the Hispanic population, a greater percentage in a census tract increases the predicted travel distances and travel times to grocery stores. Greater income in tracts with more Hispanic population is associated with a shorter distance, and those tracts with more Asian population are associated with a longer distance, possibly due to cultural differences in diet.</t>
  </si>
  <si>
    <t>Amin, Modhurima/AAA-7410-2022</t>
  </si>
  <si>
    <t>10.1017/age.2021.23</t>
  </si>
  <si>
    <t>WOS:000735400100007</t>
  </si>
  <si>
    <t>Fortin-Miller, SA; Grantham, CE; Campbell, JE; Salvatore, AL; Hoffman, LA; Sisson, SB</t>
  </si>
  <si>
    <t>Fortin-Miller, Sara A.; Grantham, Catherine E.; Campbell, Janis E.; Salvatore, Alicia L.; Hoffman, Leah A.; Sisson, Susan B.</t>
  </si>
  <si>
    <t>The effect of the food environment on fresh produce served in family child care homes</t>
  </si>
  <si>
    <t>NUTRITION AND HEALTH</t>
  </si>
  <si>
    <t>Background: Higher produce consumption in childhood decreases risks of short- and long-term malnutrition, obesity, and disease. Children in early care programs, including family child care homes (FCCHs), receive 50-67% of daily nutrition while in care. Procuring nutritious foods requires grocer access, which is absent in food deserts (FDs). Aim: To determine if FCCH food environment (FE) impacted distance to grocers and amount of fresh produce served. Methods: Using a cross-sectional design, Modified Retail Food Environment Index scores determined census tract FD status. FCCH and grocer addresses were geocoded and distance to the nearest grocers was calculated. Fresh produce was observed during two lunches. Results: FE did not influence distance to grocers or fresh produce served. Non-desert FCCHs tended to serve fresh produce more frequently. The amount of fresh produce served was overall low. Conclusion: Further studies are warranted to inform policies aimed to reduce provider barriers regarding service of fresh produce.</t>
  </si>
  <si>
    <t>Grantham, Catherine/0009-0004-5067-6874; Fortin-Miller, Sara/0000-0001-5410-6271; Salvatore, Alicia/0000-0001-9546-6900</t>
  </si>
  <si>
    <t>0260-1060</t>
  </si>
  <si>
    <t>2047-945X</t>
  </si>
  <si>
    <t>10.1177/0260106021992663</t>
  </si>
  <si>
    <t>WOS:001125408200003</t>
  </si>
  <si>
    <t>Siddiqi, SM; Cantor, J; Dastidar, MG; Beckman, R; Richardson, AS; Baird, MD; Dubowitz, T</t>
  </si>
  <si>
    <t>Siddiqi, Sameer M.; Cantor, Jonathan; Dastidar, Madhumita Ghosh; Beckman, Robin; Richardson, Andrea S.; Baird, Matthew D.; Dubowitz, Tamara</t>
  </si>
  <si>
    <t>SNAP Participants and High Levels of Food Insecurity in the Early Stages of the COVID-19 Pandemic</t>
  </si>
  <si>
    <t>PUBLIC HEALTH REPORTS</t>
  </si>
  <si>
    <t>Objectives The coronavirus disease 2019 (COVID-19) pandemic has disproportionately strained households experiencing poverty, particularly Black and Latino households. Food insecurity, which entails having limited or uncertain access to a sufficient quantity of nutritious food, is a key pandemic-related consequence. We examined how people enrolled in the Supplemental Nutrition Assistance Program (SNAP) have been affected by the pandemic, particularly Black participants and participants residing in food deserts. Methods Using survey data from a longitudinal cohort study of predominantly Black low-income adults aged &gt;= 18 residing in urban food deserts in Pittsburgh, Pennsylvania, we examined changes in food insecurity and SNAP participation before COVID-19 (2018) and early in the COVID-19 pandemic (March-May 2020). We modeled changes in food insecurity from 2018 to 2020 via covariate-adjusted logistic regression. Results Food insecurity increased significantly among participants enrolled in SNAP and surveyed in both 2018 and 2020 (from 25.9% in 2018 to 46.9% in 2020; P &lt; .001). Compared with cohort participants not enrolled in SNAP at both points, cohort participants enrolled in SNAP in 2018 and 2020 had the highest rates of using a food bank in 2020 (44.4%) and being newly food insecure in 2020 (28.9%) (ie, they were food insecure in 2020 but not in 2018). Conclusions Food insecurity during the COVID-19 pandemic increased among low-income Black households enrolled in SNAP and residing in a food desert. Public health recovery efforts might focus on modifying SNAP to improve the food security of people experiencing poverty.</t>
  </si>
  <si>
    <t>Baird, Matthew/ABF-2150-2021; Siddiqi, Sameer/L-7461-2017</t>
  </si>
  <si>
    <t>Baird, Matthew/0000-0003-3016-480X</t>
  </si>
  <si>
    <t>0033-3549</t>
  </si>
  <si>
    <t>1468-2877</t>
  </si>
  <si>
    <t>10.1177/00333549211007152</t>
  </si>
  <si>
    <t>WOS:000636003500001</t>
  </si>
  <si>
    <t>Miller, KR; Jones, CM; McClave, SA; Christian, V; Adamson, P; Neel, DR; Bozeman, M; Benns, MV</t>
  </si>
  <si>
    <t>Miller, Keith R.; Jones, Christopher M.; McClave, Stephen A.; Christian, Vikram; Adamson, Paula; Neel, Dustin R.; Bozeman, Matthew; Benns, Matthew V.</t>
  </si>
  <si>
    <t>Food Access, Food Insecurity, and Gun Violence: Examining a Complex Relationship</t>
  </si>
  <si>
    <t>Purpose of Review Food insecurity and gun violence are timely and relevant public health issues impacting many regions within the USA with a potential association. Terminology surrounding food access and food security can be confusing, which is important to understand when examining the relationship between these issues and gun violence. Recent Findings Food insecurity is an individual level risk factor that appears to correlate with an increased rate of exposure and future involvement in violence. Food deserts represent geographic regions with limited access to food but do not necessarily represent regions with high prevalence of food insecurity. Although both food insecurity and food deserts in urban regions have been linked with increased incidence of gun violence, a high prevalence of food insecurity was found to be more predictive. Summary A high prevalence of food insecurity in urban regions likely serves as a marker for socioeconomic disadvantage and intentional disinvestment. These regions are predictably associated with a higher incidence of interpersonal gun violence. Food deserts in rural areas have not, to date, been shown to correlate with interpersonal gun violence. Urban food insecurity and gun violence are both likely the byproduct of structural violence. Despite the significant overlap and similar contributors, the application of the public health framework in addressing these two issues has historically been quite different.</t>
  </si>
  <si>
    <t>10.1007/s13668-021-00378-w</t>
  </si>
  <si>
    <t>OCT 2021</t>
  </si>
  <si>
    <t>WOS:000709658100002</t>
  </si>
  <si>
    <t>Haynes-Maslow, L; Pitts, SBJ; Boys, KA; McGuirt, JT; Fleischhacker, S; Ammerman, AS; Johnson, N; Kelley, C; Donadio, VE; Bell, RA; Laska, MN</t>
  </si>
  <si>
    <t>Haynes-Maslow, Lindsey; Pitts, Stephanie B. Jilcott; Boys, Kathryn A.; McGuirt, Jared T.; Fleischhacker, Sheila; Ammerman, Alice S.; Johnson, Nevin; Kelley, Casey; Donadio, Victoria E.; Bell, Ronny A.; Laska, Melissa N.</t>
  </si>
  <si>
    <t>Qualitative perspectives of the North Carolina healthy food small retailer program among customers in participating stores located in food deserts</t>
  </si>
  <si>
    <t>BackgroundThe North Carolina Healthy Food Small Retailer Program (NC HFSRP) was established through a policy passed by the state legislature to provide funding for small food retailers located in food deserts with the goal of increasing access to and sales of healthy foods and beverages among local residents. The purpose of this study was to qualitatively examine perceptions of the NC HFSRP among store customers.MethodsQualitative interviews were conducted with 29 customers from five NC HFSRP stores in food deserts across eastern NC. Interview questions were related to shoppers' food and beverage purchases at NC HFSRP stores, whether they had noticed any in-store efforts to promote healthier foods and beverages, their suggestions for promoting healthier foods and beverages, their familiarity with and support of the NC HFSRP, and how their shopping and consumption habits had changed since implementation of the NC HFSRP. A codebook was developed based on deductive (from the interview guide questions) and inductive (emerged from the data) codes and operational definitions. Verbatim transcripts were double-coded and a thematic analysis was conducted based on code frequency, and depth of participant responses for each code.ResultsAlthough very few participants were aware of the NC HFSRP legislation, they recognized changes within the store. Customers noted that the provision of healthier foods and beverages in the store had encouraged them to make healthier purchase and consumption choices. When a description of the NC HFSRP was provided to them, all participants were supportive of the state-funded program. Participants discussed program benefits including improving food access in low-income and/or rural areas and making healthy choices easier for youth and for those most at risk of diet-related chronic diseases.ConclusionsFindings can inform future healthy corner store initiatives in terms of framing a rationale for funding or policies by focusing on increased food access among vulnerable populations.</t>
  </si>
  <si>
    <t>Bell, Ronny/IOW-3146-2023; Johnson, Nathan/Q-3158-2016; Kelley, Casey/KJK-9684-2024</t>
  </si>
  <si>
    <t>Boys, Kathryn/0000-0002-8091-1415; Haynes-Maslow, Lindsey/0000-0001-9571-1478; Laska, Melissa/0000-0002-3836-0269</t>
  </si>
  <si>
    <t>JUL 27</t>
  </si>
  <si>
    <t>10.1186/s12889-021-11509-x</t>
  </si>
  <si>
    <t>WOS:000683174700004</t>
  </si>
  <si>
    <t>Tonumaipe'a, D; Cammock, R; Conn, C</t>
  </si>
  <si>
    <t>Tonumaipe'a, Daysha; Cammock, Radilaite; Conn, Cath</t>
  </si>
  <si>
    <t>Food havens not swamps: a strength-based approach to sustainable food environments</t>
  </si>
  <si>
    <t>HEALTH PROMOTION INTERNATIONAL</t>
  </si>
  <si>
    <t>The current paper provides a critical review of food environments' literature, with a focus on the metaphoric typology that has been developed over recent decades. This has tended to focus understandably on harmful food environments using well-known metaphors: that of food deserts, food swamps and food mirages. The purpose of the review was to consider the current typology in relation to what constitutes healthy food environments, and the implications for population groups in low socioeconomic environments who are often disadvantaged by current food systems and unhealthy food environments. The paper posits a new term, alongside the notion of the food oasis, that of food havens. Oasis indicates a small place of plenty in a setting of scarcity. Haven extends the boundaries of plenty in society by positing places and settings of refuge and safety, even sanctuary from which health and well-being can be attained and supported. We argue for focusing on creating such sustainable food environments so as to proliferate and promote examples of what needs to be done urgently in the fight to transform global food environments for the health of people particularly those that are vulnerable and the planet. Elements of the food haven as proposed in this paper have been drawn from indigenous perspectives-these include Maori and Pacific worldviews. Future research should consider what food environments might look like in different contexts and how we might move away from food swamps and deserts to food oases and havens; and utilize these positive motifs to go further in creating whole sustainable food environments encompassing all of society.</t>
  </si>
  <si>
    <t>0957-4824</t>
  </si>
  <si>
    <t>1460-2245</t>
  </si>
  <si>
    <t>10.1093/heapro/daab021</t>
  </si>
  <si>
    <t>WOS:000736124100025</t>
  </si>
  <si>
    <t>Almalki, A; Gokaraju, B; Mehta, N; Doss, DA</t>
  </si>
  <si>
    <t>Almalki, Abrar; Gokaraju, Balakrishna; Mehta, Nikhil; Doss, Daniel Adrian</t>
  </si>
  <si>
    <t>Geospatial and Machine Learning Regression Techniques for Analyzing Food Access Impact on Health Issues in Sustainable Communities</t>
  </si>
  <si>
    <t>Food access is a major key component in food security, as it is every individual's right to proper access to a nutritious and affordable food supply. Low access to healthy food sources influences people's diet and activity habits. Guilford County in North Carolina has a high ranking in low food security and a high rate of health issues such as high blood pressure, high cholesterol, and obesity. Therefore, the primary objective of this study was to investigate the geospatial correlation between health issues and food access areas. The secondary objective was to quantitatively compare food access areas and heath issues' descriptive statistics. The tertiary objective was to compare several machine learning techniques and find the best model that fit health issues against various food access variables with the highest performance accuracy. In this study, we adopted a food-access perspective to show that communities that have residents who have equitable access to healthy food options are typically less vulnerable to health-related disasters. We propose a methodology to help policymakers lower the number of health issues in Guilford County by analyzing such issues via correlation with respect to food access. Specifically, we conducted a geographic information system mapping methodology to examine how access to healthy food options influenced health and mortality outcomes in one of the largest counties in the state of North Carolina. We created geospatial maps representing food deserts-areas with scarce access to nutritious food; food swamps-areas with more availability of unhealthy food options compared to healthy food options; and food oases-areas with a relatively higher availability of healthy food options than unhealthy options. Our results presented a positive correlation coefficient of R-2 = 0.819 among obesity and the independent variables of transportation access, and population. The correlation coefficient matrix analysis helped to identify a strong negative correlation between obesity and median income. Overall, this study offers valuable insights that can help health authorities develop preemptive preparedness for healthcare disasters.</t>
  </si>
  <si>
    <t>Almalki, Abrar/0000-0001-8728-5114; Doss, Daniel/0000-0002-3393-0488</t>
  </si>
  <si>
    <t>10.3390/ijgi10110745</t>
  </si>
  <si>
    <t>WOS:000724510800001</t>
  </si>
  <si>
    <t>Delanois, RE; Tarazi, JM; Wilkie, WA; Remily, E; Salem, HS; Mohamed, NS; Pollack, AN; Mont, MA</t>
  </si>
  <si>
    <t>Delanois, R. E.; Tarazi, J. M.; Wilkie, W. A.; Remily, E.; Salem, H. S.; Mohamed, N. S.; Pollack, A. N.; Mont, M. A.</t>
  </si>
  <si>
    <t>Social determinants of health in total knee arthroplasty ARE SOCIAL FACTORS ASSOCIATED WITH INCREASED 30-DAY POST-DISCHARGE COST OF CARE AND LENGTH OF STAY?</t>
  </si>
  <si>
    <t>BONE &amp; JOINT JOURNAL</t>
  </si>
  <si>
    <t>Aims Social determinants of health (SDOHs) may contribute to the total cost of care (TCOC) for patients undergoing total knee arthroplasty (TKA). The aim of this study was to investigate the association between demographic data, health status, and SDOHs on 30-day length of stay (LOS) and TCOC after this procedure. Methods Patients who underwent TKA between 1 January 2018 and 31 December 2019 were identified. A total of 234 patients with complete SDOH data were included. Data were drawn from the Chesapeake Regional Information System, the Centers for Disease Control social vulnerability index (SVI), the US Department of Agriculture, and institutional electronic medical records. The SVI identifies areas vulnerable to catastrophic events with four themed scores: socioeconomic status; household composition and disability; minority status and language; and housing and transportation. Food deserts were defined as neighbourhoods located one or ten miles from a grocery store in urban and rural areas, respectively. Multiple regression analyses were performed to determine associations with LOS and costs after controlling for various demographic parameters. Results Divorced status was significantly associated with an increased LOS (p = 0.043). Comorbidities significantly associated with an increased LOS included chronic obstructive pulmonary disease/asthma and congestive heart failure (p = 0.043 and p = 0.001, respectively). Communities with a higher density of tobacco stores were significantly associated with an increased LOS (p = 0.017). Comorbidities significantly associated with an increased TCOC included chronic obstructive pulmonary disease (p = 0.004), dementia (p = 0.048), and heart failure (p = 0.007). Increased TCOCs were significantly associated with patients who lived in food deserts (p = 0.001) and in areas with an increased density of tobacco stores (p = 0.023). Conclusion Divorced marital status was significantly associated with an increased LOS following TKA. Living in food deserts and in communities with more tobacco stores were significant risk factors for increased LOS and TCOC. Food access and ease of acquiring tobacco may both prove to be prognostic of outcome after TKA and an opportunity for intervention.</t>
  </si>
  <si>
    <t>2049-4394</t>
  </si>
  <si>
    <t>103B</t>
  </si>
  <si>
    <t>10.1302/0301-620X.103B6.BJJ-2020-2430.R1</t>
  </si>
  <si>
    <t>WOS:000669366800018</t>
  </si>
  <si>
    <t>Smith, EJT; Matthay, E; Matthay, Z; Seligman, H; Wick, EC; Finlayson, EVA; Iannuzzi, JC</t>
  </si>
  <si>
    <t>Smith, Eric J. T.; Matthay, Ellicott; Matthay, Zachary; Seligman, Hilary; Wick, Elizabeth C.; Finlayson, Emily V. A.; Iannuzzi, James C.</t>
  </si>
  <si>
    <t>Living in a Food Desert Increases Wound Complication Risk after Colorectal Surgery</t>
  </si>
  <si>
    <t>JOURNAL OF THE AMERICAN COLLEGE OF SURGEONS</t>
  </si>
  <si>
    <t>1072-7515</t>
  </si>
  <si>
    <t>1879-1190</t>
  </si>
  <si>
    <t>S57</t>
  </si>
  <si>
    <t>S58</t>
  </si>
  <si>
    <t>WOS:000718303100089</t>
  </si>
  <si>
    <t>Di Gioia, F; Petropoulos, SA; Ferreira, ICFR; Rosskopf, EN</t>
  </si>
  <si>
    <t>Tzortzakis, N; Nicola, N</t>
  </si>
  <si>
    <t>Di Gioia, F.; Petropoulos, S. A.; Ferreira, I. C. F. R.; Rosskopf, E. N.</t>
  </si>
  <si>
    <t>Microgreens: from trendy vegetables to functional food and potential nutrition security resource</t>
  </si>
  <si>
    <t>III INTERNATIONAL SYMPOSIUM ON SOILLESS CULTURE AND HYDROPONICS: INNOVATION AND ADVANCED TECHNOLOGY FOR CIRCULAR HORTICULTURE</t>
  </si>
  <si>
    <t>MAR 19-22, 2021</t>
  </si>
  <si>
    <t>Lemesos, CYPRUS</t>
  </si>
  <si>
    <t>ISHS, Div Protected Cultivat &amp; Soilless Culture,ISHS, Div Precis Hort &amp; Engn,ISHS, Working Grp Hydropon &amp; Aquapon,SQM,Urbinati Nursery Technol Srl,Lab Supplies Sci,Dev Agcy Lemesos Ltd</t>
  </si>
  <si>
    <t>Starting as trendy high-value gourmet greens, today, microgreens have gained great popularity among consumers for their nutritional profile and high content of antioxidant compounds. Microgreens' nutritional profile is associated with the rich variety of colors, shapes, textural properties, and flavors obtained from sprouting a multitude of edible vegetable species, including herbs, herbaceous crops, and neglected wild edible species. Grown in a variety of soilless production systems, over the last five years in many urban and peri-urban areas of the world, microgreens have literally exploded as a cash crop produced in various protected culture systems and especially indoors through the use of artificial lighting systems. The ability to grow microgreens indoors in very small space, the short growth cycle required, and only minimum inputs required to produce them may allow the micro-scale production of fresh and nutritious vegetables even in areas that are considered food deserts. The current COVID-19 pandemic revealed the vulnerability of our food system and the need to address malnutrition issues and nutrition security inequality which could be exacerbated by potential future situations of emergency or catastrophe. Microgreens have great potential as an efficient food resilience resource, since they can provide essential nutrients and antioxidants. Using simple soilless production systems, seeds, and minimal inputs, nutrient-dense microgreens and shoots may be produced under different lighting conditions ranging from darkness to full sunlight or under artificial lighting in controlled environmental conditions, providing a rich source of essential nutrients and antioxidant compounds in a very short time. Moreover, using simple agronomic techniques, it is possible to produce biofortified or tailored functional micro-vegetables that could address specific dietary needs and/or address micronutrient deficiencies and nutrition security issues in emergency situations or limiting environmental conditions.</t>
  </si>
  <si>
    <t>Ferreira, Ianca/GNM-6967-2022</t>
  </si>
  <si>
    <t>978-94-62613-20-1</t>
  </si>
  <si>
    <t>10.17660/ActaHortic.2021.1321.31</t>
  </si>
  <si>
    <t>WOS:001207840200031</t>
  </si>
  <si>
    <t>The Association between Living in a Food Desert and the Likelihood of Initiating Breastfeeding.</t>
  </si>
  <si>
    <t>Fryer, Kimberly/AAR-5962-2021; Wilson, Ronee/HJH-7204-2023; Salemi, Jason/IUO-0313-2023; CAMPOS, ELBA/HGB-3090-2022; Louis-Jacques, Adetola/AAA-3058-2020; Salemi, Jason/N-9492-2013</t>
  </si>
  <si>
    <t>O-090</t>
  </si>
  <si>
    <t>84A</t>
  </si>
  <si>
    <t>WOS:000675441000091</t>
  </si>
  <si>
    <t>Smith, E; Matthay, Z; Ramirez, J; Seligman, H; Gasper, W; Hiramoto, J; Conte, M; Iannuzzi, J</t>
  </si>
  <si>
    <t>Smith, Eric; Matthay, Zachary; Ramirez, Joel; Seligman, Hilary; Gasper, Warren; Hiramoto, Jade; Conte, Michael; Iannuzzi, James</t>
  </si>
  <si>
    <t>Living in a Food Desert is Associated With Increased Wound Complications After Major Vascular Procedures</t>
  </si>
  <si>
    <t>JOURNAL OF VASCULAR SURGERY</t>
  </si>
  <si>
    <t>0741-5214</t>
  </si>
  <si>
    <t>E406</t>
  </si>
  <si>
    <t>WOS:000707158200194</t>
  </si>
  <si>
    <t>Brahma, VL; Snow, J; Tam, V; Ross, AG; Tamhankar, MA; Shindler, KS; Avery, RA; Liu, GT; Hamedani, AG</t>
  </si>
  <si>
    <t>Brahma, Venkatesh L.; Snow, Jonathan; Tam, Vicky; Ross, Ahmara G.; Tamhankar, Madhura A.; Shindler, Kenneth S.; Avery, Robert A.; Liu, Grant T.; Hamedani, Ali G.</t>
  </si>
  <si>
    <t>Socioeconomic and Geographic Disparities in Idiopathic Intracranial Hypertension</t>
  </si>
  <si>
    <t>NEUROLOGY</t>
  </si>
  <si>
    <t>Objective To identify relationships between idiopathic intracranial hypertension (IIH) and socioeconomic determinants of health, such as low-income status and proximity to healthy food. Methods This retrospective case-control study of adult female neuro-ophthalmology patients from one institution identified 223 women with and 4,783 women without IIH. Street addresses were geocoded and merged with US census data to obtain census tract-level information on income and food access. Choropleth maps visualized IIH clusters within certain neighborhoods. Logistic regression compared the proportion of patients with IIH from racial and ethnic minority backgrounds, low-income census tracts, and food deserts and swamps to controls without IIH. Results In our cohort, when adjusted for age, women with IIH were more likely to be Black (odds ratio [OR] 3.96, 95% confidence interval [CI] 2.98-5.25), Hispanic (OR 2.23, 95% CI 1.14-4.36), and live in low-income tracts (OR 2.24, 95% CI 1.71-2.95) or food swamps (OR 1.54, 95% CI 1.15-2.07). Patients with IIH were less likely to live in food deserts than controls (OR 0.61, 95% CI 0.45-0.83). The association between Black race and IIH remained significant even after adjusting for other variables. Conclusion IIH is more common among Black and Hispanic women than expected even when accounting for the demographics of a metropolitan city. Some of this relationship is driven by the association of obesity and IIH incidence with low income and proximity to unhealthy foods.</t>
  </si>
  <si>
    <t>Shindler, Kenneth/D-2095-2009</t>
  </si>
  <si>
    <t>Ross, Ahmara/0000-0002-7527-3121</t>
  </si>
  <si>
    <t>0028-3878</t>
  </si>
  <si>
    <t>1526-632X</t>
  </si>
  <si>
    <t>JUN 8</t>
  </si>
  <si>
    <t>E2854</t>
  </si>
  <si>
    <t>E2860</t>
  </si>
  <si>
    <t>10.1212/WNL.0000000000012037</t>
  </si>
  <si>
    <t>WOS:000702399700023</t>
  </si>
  <si>
    <t>Sansom, G; Hannibal, B</t>
  </si>
  <si>
    <t>Sansom, Garett; Hannibal, Bryce</t>
  </si>
  <si>
    <t>Disparate access to nutritional food; place, race and equity in the United States</t>
  </si>
  <si>
    <t>BMC NUTRITION</t>
  </si>
  <si>
    <t>Background Prior research has demonstrated minority communities have fewer options to access healthy foods when compared to their majority counterparts. While much focus has been placed upon community-level resources, little research has been placed on the efforts that minority groups need to undergo to reach well-stocked stores to purchase healthy food options. Methods As part of the Water, Energy, Food Nexus Research Group at Texas A&amp;M University, a nationally representative survey (n = 1612) was conducted to acquire self-reported distance, time, and motives that certain populations must travel to purchase food for themselves and their families. Results Findings suggest that minority populations consider saving money, driving less, having a better selection of foods, and have the ability to buy organic foods as an important factor when choosing where to buy foods. Further, minority populations across the nation need to drive a significantly greater (p &lt; 0.05) amount of time to reach their destinations than white populations. Conclusion This underscores the importance, and scope of the issues, of promoting and implementing more equitably distributed opportunities to purchase healthy food options throughout the United States.</t>
  </si>
  <si>
    <t>Sansom, Garett/0000-0003-3577-8114</t>
  </si>
  <si>
    <t>2055-0928</t>
  </si>
  <si>
    <t>JUN 29</t>
  </si>
  <si>
    <t>10.1186/s40795-021-00434-2</t>
  </si>
  <si>
    <t>WOS:000667694500001</t>
  </si>
  <si>
    <t>Leite, MA; de Assis, MM; do Carmo, AS; Nogueira, MC; Netto, MP; Mendes, LL</t>
  </si>
  <si>
    <t>Leite, Maria Alvim; de Assis, Maira Macario; do Carmo, Ariene Silva; Nogueira, Mario Cirio; Netto, Michele Pereira; Mendes, Larissa Loures</t>
  </si>
  <si>
    <t>Inequities in the urban food environment of a Brazilian city</t>
  </si>
  <si>
    <t>Food environment refers to the physical, social, cultural, economic and political contexts in which people engage with food systems in order to acquire, prepare and consume food. In 2016, we investigated the food environment of districts in Juiz de Fora, Minas Gerais, Brazil, according to different socio-economic levels. We proposed a categorization of food establishments according to the NOVA food classification, devised thematic maps, tested the significance of food retailers' agglomerations by univariate K function and detected district clusters using variables of interest. A total of 23 districts (19.1%) presented high or very high vulnerability. Establishments only or mainly selling ultra-processed foods presented higher frequencies (52.7%) in comparison to other categories throughout the city. The downtown district had the most of all types of establishments. Districts of greater vulnerability had fewer establishments. The environmental iniquities we have identified reinforce the need to implement public policies that promote healthy urban food environments.</t>
  </si>
  <si>
    <t>Leite, Maria Alvim/ADW-6713-2022; Círio Nogueira, Mário/AAW-7476-2021; Mendes, Larissa/Q-4817-2017</t>
  </si>
  <si>
    <t>Alvim Leite, Maria/0000-0002-2774-7126; Cirio Nogueira, Mario/0000-0001-9688-4557</t>
  </si>
  <si>
    <t>10.1007/s12571-020-01116-w</t>
  </si>
  <si>
    <t>NOV 2020</t>
  </si>
  <si>
    <t>WOS:000587286100001</t>
  </si>
  <si>
    <t>Jones, T; Wallam, S; Beavis, A; Rositch, A; Voegtline, K; Levinson, K</t>
  </si>
  <si>
    <t>Jones, Tiffany; Wallam, Sara; Beavis, Anna; Rositch, Anne; Voegtline, Kristin; Levinson, Kimberly</t>
  </si>
  <si>
    <t>The Impact of living in a food desert on endometrial cancer outcomes</t>
  </si>
  <si>
    <t>S296</t>
  </si>
  <si>
    <t>WOS:000687070800559</t>
  </si>
  <si>
    <t>Smith, EJ; Matthay, ZA; Ramirez, JL; Covinsky, K; Seligman, H; Conte, MS; Hiramoto, J; Iannuzzi, JC</t>
  </si>
  <si>
    <t>Smith, Eric J.; Matthay, Zachary A.; Ramirez, Joel L.; Covinsky, Ken; Seligman, Hilary; Conte, Michael S.; Hiramoto, Jade; Iannuzzi, James C.</t>
  </si>
  <si>
    <t>Food Deserts Associated With Increased Wound Complications After Major Vascular Procedures</t>
  </si>
  <si>
    <t>IPC22</t>
  </si>
  <si>
    <t>E73</t>
  </si>
  <si>
    <t>WOS:000691401100149</t>
  </si>
  <si>
    <t>Logan, TM; Anderson, MJ; Williams, TG; Conrow, L</t>
  </si>
  <si>
    <t>Logan, T. M.; Anderson, M. J.; Williams, T. G.; Conrow, L.</t>
  </si>
  <si>
    <t>Measuring inequalities in urban systems: An approach for evaluating the distribution of amenities and burdens</t>
  </si>
  <si>
    <t>COMPUTERS ENVIRONMENT AND URBAN SYSTEMS</t>
  </si>
  <si>
    <t>Current approaches for measuring inequality are insufficient or unsuitable for promoting and designing equitable built environments and urban systems. In this paper, we demonstrate how a recently developed inequality measure-the Kolm-Pollak equally-distributed equivalent (EDE)-could be used to support decision making to foster equity in the built environment. The EDE provides a measure of a distribution that is similar to the average (mean) but includes a penalty based on the inequality of that distribution. The primary advantage of the Kolm-Pollak EDE is that it can be used to evaluate the inequality of both desirable quantities (e.g., amenities) and undesirable quantities (e.g., burdens). This is essential in urban systems as inequities can manifest through, among other things, disparate access to opportunities like public amenities and unequal exposure to burdens, such as pollution and natural hazards. Additionally, the Kolm-Pollak EDE can be calculated for different sociodemographic subgroups, enabling needs-based assessments to promote environmental justice. Thus, the Kolm-Pollak EDE presents numerous opportunities for practitioners, policymakers, and researchers concerned with advancing equity. We demonstrate the approach with a case study of grocery store access in ten cities across the USA and provide a Python package (inequalipy) and R code to enable others to use these inequality metrics.</t>
  </si>
  <si>
    <t>Logan, Thomas/0000-0002-9209-3018; Williams, Tim/0000-0001-5642-728X; Anderson, Mitchell/0000-0002-2167-8158</t>
  </si>
  <si>
    <t>0198-9715</t>
  </si>
  <si>
    <t>1873-7587</t>
  </si>
  <si>
    <t>10.1016/j.compenvurbsys.2020.101590</t>
  </si>
  <si>
    <t>JAN 2021</t>
  </si>
  <si>
    <t>WOS:000640614100014</t>
  </si>
  <si>
    <t>Orta, L; Yepez, E; Nguyen, N; Rico, R; Trieu, SL</t>
  </si>
  <si>
    <t>Orta, Lillian; Yepez, Esther; Nguyen, Nina; Rico, Rosario; Leng Trieu, Sang</t>
  </si>
  <si>
    <t>Bridging the GAP: Leveraging Partnerships to Bring Quality Nutrition Education to the Gardening Apprenticeship Program</t>
  </si>
  <si>
    <t>In the United States, about 12% of households are food-insecure, which can have negative health outcomes for children, including delayed development and early onset of obesity. Although many programs prioritize children, few evidence-based interventions exist for adolescents that address nutrition education. One promising intervention is teaching adolescents how to cook healthy meals. The Los Angeles Trust for Children's Health partnered with The Los Angeles Neighborhood Land Trust to integrate nutrition education and hands-on cooking demonstrations into an after-school program called the Gardening Apprenticeship Program at a local high school. Designed as a yearlong intervention, the Gardening Apprenticeship Program involves garden-based activities teaching food and environmental justice. Cultivating partnerships with other community-based organizations can help build capacity to pilot and replicate similar programs in other communities in food deserts.</t>
  </si>
  <si>
    <t>Trieu, Sang Leng/0000-0003-4457-6717</t>
  </si>
  <si>
    <t>10.1177/1524839920963583</t>
  </si>
  <si>
    <t>WOS:000583772300001</t>
  </si>
  <si>
    <t>Bottcher, C; Underhill, SJR; Aliakbari, J; Burkhart, SJ</t>
  </si>
  <si>
    <t>Bottcher, Charis; Underhill, Steven J. R.; Aliakbari, Judith; Burkhart, Sarah J.</t>
  </si>
  <si>
    <t>Food Access and Availability in Auki, Solomon Islands</t>
  </si>
  <si>
    <t>Our study assessed food access and availability in Auki, Solomon Islands by investigating the number, type and characteristics of food venues and characteristics of items for sale (including type, brand, price, source and quality) at one timepoint to determine feasibility for the local population to meet current guidelines. We found residents had good access to, and availability of foods from the three Pacific guidelines for a healthy lifestyle food groups, but diversity was lacking. Many fresh foods are likely seasonal suggesting there may be periods when Auki residents have greater/less access to a variety of foods, potentially impacting food security.</t>
  </si>
  <si>
    <t>Burkhart, Sarah/AAD-5804-2020; Underhill, Steven/A-9734-2011; Burkhart, Sarah/H-1459-2016</t>
  </si>
  <si>
    <t>Burkhart, Sarah/0000-0003-2635-4299</t>
  </si>
  <si>
    <t>10.1080/19320248.2020.1739586</t>
  </si>
  <si>
    <t>APR 2020</t>
  </si>
  <si>
    <t>WOS:000523648300001</t>
  </si>
  <si>
    <t>Dubowitz, T; Dastidar, MG; Troxel, WM; Beckman, R; Nugroho, A; Siddiqi, S; Cantor, J; Baird, M; Richardson, AS; Hunter, GP; Mendoza-Graf, A; Collins, RL</t>
  </si>
  <si>
    <t>Dubowitz, Tamara; Dastidar, Madhumita Ghosh; Troxel, Wendy M.; Beckman, Robin; Nugroho, Alvin; Siddiqi, Sameer; Cantor, Jonathan; Baird, Matthew; Richardson, Andrea S.; Hunter, Gerald P.; Mendoza-Graf, Alexandra; Collins, Rebecca L.</t>
  </si>
  <si>
    <t>Food Insecurity in a Low-Income, Predominantly African American Cohort Following the COVID-19 Pandemic</t>
  </si>
  <si>
    <t>Objectives. To examine the impact of COVID-19 shutdowns on food insecurity among a predominantly African American cohort residing in low-income racially isolated neighborhoods. Methods. Residents of 2 low-income African American food desert neighborhoods in Pittsburgh, Pennsylvania, were surveyed from March 23 to May 22, 2020, drawing on a longitudinal cohort (n = 605) previously followed from 2011 to 2018. We examined longitudinal trends in food insecurity from 2011 to 2020 and compared them with national trends. We also assessed use of food assistance in our sample in 2018 versus 2020. Results. From 2018 to 2020, food insecurity increased from 20.7% to 36.9% (t = 7.63; P&lt;.001) after steady declines since 2011. As a result of COVID-19, the United States has experienced a 60% increase in food insecurity, whereas this sample showed a nearly 80% increase, widening a preexisting disparity. Participation in the Supplemental Nutrition Assistance Program (52.2%) and food bank use (35.9%) did not change significantly during the early weeks of the pandemic. Conclusions. Longitudinal data highlight profound inequities that have been exacerbated by COVID-19. Existing policies appear inadequate to address the widening gap.</t>
  </si>
  <si>
    <t>Baird, Matthew/0000-0003-3016-480X; Mendoza-Graf, Alexandra/0000-0003-2529-7085</t>
  </si>
  <si>
    <t>10.2105/AJPH.2020.306041</t>
  </si>
  <si>
    <t>WOS:000639017000041</t>
  </si>
  <si>
    <t>Treat everybody right: Examining foodways to improve food access</t>
  </si>
  <si>
    <t>Detroit is regularly assumed to be a food desert despite contradicting evidence. With fruits and vegetables available at each of Detroit's 70 independent, full-line grocery stores, there remains a lack of understanding among media and academics of residents' perception and preferences for food access. A baseline study was initiated during the summer of 2014 to understand residents' own perceptions of food access and to assess the socio-cultural foodways utilized by residents. A total of 207 Detroit residents participated in focus groups and interviews to discuss food provisioning. Residents identified a wide range of food access points, from home gardens and fishing to specialty meat markets and big-box stores. However, 60% of residents reported that their primary grocery store was a chain supermarket outside the city limits. Residents highlighted customer service and in-store treatment as key factors in choosing where to shop for food. These new findings present contradictions to assumptions about food access in Detroit and similar cities. The findings point to a significant opportunity to leverage geoethnographic methods in order to focus on resident perceptions and preferences to improve food access.</t>
  </si>
  <si>
    <t>10.5304/jafscd.2021.103.012</t>
  </si>
  <si>
    <t>WOS:000686472900003</t>
  </si>
  <si>
    <t>Kar, A; Motoyama, Y; Carrel, AL; Miller, HJ; Le, HTK</t>
  </si>
  <si>
    <t>Kar, Armita; Motoyama, Yasuyuki; Carrel, Andre L.; Miller, Harvey J.; Le, Huyen T. K.</t>
  </si>
  <si>
    <t>COVID-19 exacerbates unequal food access</t>
  </si>
  <si>
    <t>Inequality to food access has always been a serious problem, yet it became even more critical during the COVID19 pandemic, which exacerbated social inequality and reshaped essential travel. This study provides a holistic view of spatio-temporal changes in food access based on observed travel data for all grocery shopping trips in Columbus, Ohio, during and after the state-wide stay-at-home period. We estimated the decline and recovery patterns of store visits during the pandemic to identify the key socio-economic and built environment determinants of food shopping patterns. The results show a disparity: during the lockdown, store visits to dollar stores declined the least, while visits to big-box stores declined the most and recovered the fastest. Visits to stores in low-income areas experienced smaller changes even during the lockdown period. A higher percentage of lowincome customers was associated with lower store visits during the lockdown period. Furthermore, stores with a higher percentage of white customers declined the least and recovered faster during the reopening phase. Our study improves the understanding of the impact of the COVID-19 crisis on food access disparities and business performance. It highlights the role of COVID-19 and similar disruptions on exposing underlying social problems in the US.</t>
  </si>
  <si>
    <t>Carrel, Andre/AFN-0559-2022; Kar, Armita/GXG-8331-2022; Le, Huyen/T-9415-2019</t>
  </si>
  <si>
    <t>Kar, Armita/0000-0003-3951-9654; Le, Huyen/0000-0001-9873-1669</t>
  </si>
  <si>
    <t>10.1016/j.apgeog.2021.102517</t>
  </si>
  <si>
    <t>WOS:000687209200001</t>
  </si>
  <si>
    <t>Crowder, SL; Beckie, T; Stern, M</t>
  </si>
  <si>
    <t>Crowder, Sylvia L.; Beckie, Theresa; Stern, Marilyn</t>
  </si>
  <si>
    <t>A Review of Food Insecurity and Chronic Cardiovascular Disease: Implications during the COVID-19 Pandemic</t>
  </si>
  <si>
    <t>Cardiovascular disease is the leading cause of death and disability globally. Self-management of cardiovascular disease includes the consumption of nutrient-dense foods and prudent dietary patterns, such as the DASH (Dietary Approaches to Stop Hypertension) and Mediterranean Diet to decrease inflammation and stress. Over the last few decades, there has been a growing interest in food insecurity and health outcomes in the United States. While it is well established that diet plays a role in the development of cardiovascular disease, there is little known regarding the role of food insecurity and cardiovascular disease. As a result of unprecedented unemployment rates during and following the global COVID-19 pandemic, all dimensions of food insecurity have been impacted, including declines in food availability, accessibility, utilization, and stability. This paper summarizes the existing quantitative and qualitative literature exploring the social determinants of health (economics/poverty, employment, limited access to health care, and food) that affect the self-management of cardiovascular disease, including healthy nutrition, highlighting special considerations during the COVID-19 global pandemic.</t>
  </si>
  <si>
    <t>Beckie, Theresa/HTO-5349-2023; Stern, Marilyn/AAJ-8944-2021</t>
  </si>
  <si>
    <t>Crowder, Sylvia/0000-0003-1430-9810; Beckie, Theresa/0000-0001-8985-2725; Stern, Marilyn/0000-0003-2183-0030</t>
  </si>
  <si>
    <t>SEP 3</t>
  </si>
  <si>
    <t>10.1080/03670244.2021.1956485</t>
  </si>
  <si>
    <t>WOS:000704487300005</t>
  </si>
  <si>
    <t>Raza, Q; Nicolaou, M; Cay, F; Seidell, B</t>
  </si>
  <si>
    <t>Raza, Qaisar; Nicolaou, Mary; Cay, Funda; Seidell, Bap</t>
  </si>
  <si>
    <t>Association of dietary intake and dietary habits with risk of cardiovascular disease among immigrant Pakistanis living in the Netherlands</t>
  </si>
  <si>
    <t>JOURNAL OF THE PAKISTAN MEDICAL ASSOCIATION</t>
  </si>
  <si>
    <t>Objective:To explore the current intake/changed dietary habits being associated with risk of cardiovascular disease after migration from Pakistan to the Netherlands. Methods: Data collection started in March 2012 and ended in July 2013. Self-administered survey with respect to cardiovascular disease and dietary intake was filled by 154 adult Pakistanis. Participants were approached through festivals and community centres. Descriptive statistics was used to analyse the data. Results: There were 41 (61%) participants who reported drinking fruit juice every day, while 13 (18.6%) participants reported drinking soft drinks 5-7 days a week. In addition, 20 (30%) participants reported decreased intake of high fat/fried foods, deserts/candy/sweets and red meat, while 23 (35%) reported an increased intake of soft drinks and convenience foods, as far as high calorie and refined food items were considered, after migration. Conclusion The study showed significant changes in dietary habits, both favourable and unfavourable, being associated with risk of cardiovascular diseases among immigrant Pakistanis living in The Netherlands.</t>
  </si>
  <si>
    <t>Seidell, jacob/0000-0002-9262-9062; Nicolaou, Mary/0000-0002-0419-5816</t>
  </si>
  <si>
    <t>0030-9982</t>
  </si>
  <si>
    <t>10.47391/JPMA.219</t>
  </si>
  <si>
    <t>WOS:000641705200005</t>
  </si>
  <si>
    <t>Wisseh, C; Hildreth, K; Marshall, J; Tanner, A; Bazargan, M; Robinson, P</t>
  </si>
  <si>
    <t>Wisseh, Cheryl; Hildreth, Kristin; Marshall, Jazalene; Tanner, Ashton; Bazargan, Mohsen; Robinson, Paul</t>
  </si>
  <si>
    <t>Social Determinants of Pharmacy Deserts in Los Angeles County</t>
  </si>
  <si>
    <t>JOURNAL OF RACIAL AND ETHNIC HEALTH DISPARITIES</t>
  </si>
  <si>
    <t>As medications are commonly used to prevent and mitigate chronic diseases and their associated complications and outcomes, limited geographic access to medications in communities that are already plagued with health inequity is a growing concern. This is especially important because low-income urban minority communities often have high prevalence and incidence of cardiometabolic and respiratory chronic conditions. Community pharmacy deserts have been established in Chicago, New York, and other locales. In part because the definition was originally adapted from the concept of food deserts, existing studies have either utilized the distance of 1 mile or greater to the nearest community pharmacy solely, or used distance along with the same predefined social indicator thresholds that define food deserts (i.e., income and vehicle ownership), to define and identify areas as pharmacy deserts. No full analysis has been conducted of the social determinants that define and characterize medication shortage areas within a given locale, even though medication and food are usually accessed independently. Therefore, to address this gap in the literature, this study was designed to identify all potential pharmacy deserts in Los Angeles County based on distance alone and then characterize them by their social determinants of health (SDOH) indicators. Geographic pharmacy deserts were identified as census tracts where the nearest community pharmacy was 1 mile or more away from a tract centroid. K-means clustering was applied to group pharmacy deserts based on their composition of social determinants of health indicators. Twenty-five percent (571/2323) of LA County census tracts were pharmacy deserts and 75% (1752/2323) were pharmacy non-deserts. Within the desert areas, two statistically distinct groups of pharmacy deserts (type one and type two) emerged from the analysis. In comparison to type two pharmacy deserts, type one pharmacy deserts were characterized by a denser population, had more renters, more residents that speak English as a second language, less vehicle ownership, more residents living under the federal poverty level, more Black and Hispanic residents, more areas with higher crime against property and people, and less health professionals to serve the area. Residing in type one desert areas, potentially compounds the geographic shortage of pharmacies and pharmacy services. As such, residents in Los Angeles County pharmacy deserts might benefit greatly from equitable, innovative, community-based interventions that increase access to medications, pharmacy services, and pharmacists.</t>
  </si>
  <si>
    <t>2197-3792</t>
  </si>
  <si>
    <t>2196-8837</t>
  </si>
  <si>
    <t>10.1007/s40615-020-00904-6</t>
  </si>
  <si>
    <t>WOS:000584551800001</t>
  </si>
  <si>
    <t>Choi, JK; Kelley, M; Wang, D; Kerby, H</t>
  </si>
  <si>
    <t>Choi, Jeong-Kyun; Kelley, Megan; Wang, Dan; Kerby, Hannah</t>
  </si>
  <si>
    <t>Neighborhood Environment and Child Health in Immigrant Families: Using Nationally Representative Individual, Family, and Community Datasets</t>
  </si>
  <si>
    <t>Purpose: This study aimed to examine neighborhood effects on the physical and socioemotional health of children from immigrant families, after controlling for parents' demographic characteristics, socioeconomic status, acculturation, and health care issues. Design: Pooled cross-sectional data were merged with community profiles. Setting: The United States in 2013, 2014, and 2015. Participants: 10,399 children from immigrant families in the 2013-2015 National Health Interview Surveys and the U.S. Census Data. Measures: Both objective and subjective measures of neighborhood environments were assessed, including neighborhood physical disorder, socioeconomic status, demographic composition, community resources, and social trust. Analysis: Descriptive statistics, logistic regression models. Results: About half of the sampled children were male (51%); 68% were white; 56% were of Hispanic; and 34% were school-aged. Three neighborhood factors-neighborhood trust, area-level poverty rate, and the presence of primary care physician-were identified as significant predictors for child health outcomes. Foreign-born population, green space, and food desert were not significant. At the individual level, parents' racial and ethnic minority status, non-marital status, and healthcare issues were found to be risk factors. Families' financial resources and parental education were identified as protective factors of socioemotional health. Conclusion: Intervention approaches to build on neighborhood trust may have broad potential to improve child outcomes. Programs focusing on immigrant families with children in high poverty neighborhoods should be a high priority.</t>
  </si>
  <si>
    <t>Kelley, Megan/JPK-5331-2023</t>
  </si>
  <si>
    <t>10.1177/08901171211012522</t>
  </si>
  <si>
    <t>APR 2021</t>
  </si>
  <si>
    <t>WOS:000649133200001</t>
  </si>
  <si>
    <t>Sirsat, SA; Mohammad, ZH; Raschke, I</t>
  </si>
  <si>
    <t>Sirsat, Sujata A.; Mohammad, Zahra H.; Raschke, Isabella</t>
  </si>
  <si>
    <t>Safety and Quality of Romaine Lettuce Accessible to Low Socioeconomic Populations Living in Houston, TX</t>
  </si>
  <si>
    <t>Previous empirical evidence has demonstrated that low-socioeconomic status (SES) communities have higher rates of gastroenteritis; however, there is a paucity of literature on the safety and quality of food (fresh produce) accessible to these communities. The overarching goal of this study was to investigate the microbial safety and quality of romaine lettuce from low and high-SES neighborhoods in the Houston, TX, area. Loose-leaf romaine lettuce was purchased from low-and high-SES neighborhood retailers, and aerobic plate count, coliform, Escherichia coli, yeast, and mold assays were conducted. In addition, enrichment was performed on all samples for Listeria monocytogenes, Staphylococcus aureus, Salmonella spp., and E. coli O157:H7, and reverse transcriptase PCR analysis was carried out. The results showed that E. coli, coliform, yeast, and mold were present in significantly higher counts (P , 0.05) in produce obtained from low-SES neighborhoods compared with highSES neighborhoods. The reverse transcriptase PCR results showed that 38% of samples from high-SES areas were positive for S. aureus versus 87% of samples from low-SES areas. None of the samples from high-SES areas were positive for the other pathogens. The samples from low-SES areas were positive for E. coli O157:H7 (4%), Salmonella spp. (53%), L. monocytogenes (13%), and S. aureus (87%). These results demonstrate a significant disparity in the quality and safety of romaine lettuce accessible to low-versus high-SES populations. Future studies can be designed to identify the specific cause of this challenge by investigating the food supply chain.</t>
  </si>
  <si>
    <t>Mohammad, Zahra/AAL-8629-2021</t>
  </si>
  <si>
    <t>Sirsat, Sujata/0000-0001-5734-2413</t>
  </si>
  <si>
    <t>10.4315/JFP-21-250</t>
  </si>
  <si>
    <t>WOS:000722425600010</t>
  </si>
  <si>
    <t>Sung, JLN; Firlit, M; Lal, A; Sprawka, N; Alrahmani, L; Goodman, JR</t>
  </si>
  <si>
    <t>Sung, Juliana; Firlit, Michelle; Lal, Ann; Sprawka, Nicole; Alrahmani, Layan; Goodman, Jean R.</t>
  </si>
  <si>
    <t>Association of food deserts and coronavirus severity in pregnancy</t>
  </si>
  <si>
    <t>S491</t>
  </si>
  <si>
    <t>WOS:000621547401333</t>
  </si>
  <si>
    <t>Madhavan, S; Clark, S; Schmidt, S</t>
  </si>
  <si>
    <t>Madhavan, Sangeetha; Clark, Shelley; Schmidt, Sara</t>
  </si>
  <si>
    <t>Single mothers coping with food insecurity in a Nairobi slum</t>
  </si>
  <si>
    <t>With high urbanisation rates, cities in sub-Saharan Africa are contending with food insecurity. Urban studies scholars have approached the issue mainly from the perspective of food deserts. We adapt Sen's 'resource bundles' and Watts and Bohles's 'space of vulnerability' concepts to examine food insecurity as a function of both tangible and intangible resources. Moreover, we also interrogate the role of kin in strengthening safety nets for the urban poor. Drawing on a data set of 462 single mothers in a slum in Nairobi, Kenya, we find that (1) bundles comes in four types; (2) bundles with high levels of all resources buffer against food insecurity as do (3) bundles weighted with high levels of wealth and social standing; and (4) kin enhance the protective effect of bundles only for two types. These findings should direct urban poverty researchers to consider the compounding effect of resources in the reproduction of poverty and social inequality and encourage policy makers to focus on both vulnerability and resilience in designing interventions to ensure food security.</t>
  </si>
  <si>
    <t>Madhavan, Sangeetha/0000-0001-6216-3612</t>
  </si>
  <si>
    <t>10.1177/0042098020963849</t>
  </si>
  <si>
    <t>DEC 2020</t>
  </si>
  <si>
    <t>WOS:000677315200001</t>
  </si>
  <si>
    <t>Dollar Stores, Retailer Redlining, and the Metropolitan Geographies of Precarious Consumption</t>
  </si>
  <si>
    <t>For the last twenty years, scholarly research has relied primarily on food deserts as a way to frame geographic disparities in access to healthy foods. The results of this research have been empirically mixed, and the term itself has been critiqued as apolitical. Using the alternative framing of retailer redlining, I analyze the rapid growth of dollar stores in twenty-seven metropolitan areas in the United States. Locations for these stores increased by 62 percent nationally during this time period, an expansion that was consistent in all regions of the country. Using descriptive statistics, cross-sectional, and first-difference models, I analyze how neighborhoods' racial makeup was associated with changes in dollar store proximity, controlling for household income, population, and overall retailer density. This analysis shows that proximity to dollar stores is highly associated with neighborhoods of color even when controlling for other factors. This result highlights how the growth of dollar stores and similar spaces designed for economically precarious households both reflect and, potentially, contribute to long histories of racial exclusion.</t>
  </si>
  <si>
    <t>JUN 7</t>
  </si>
  <si>
    <t>10.1080/24694452.2020.1775544</t>
  </si>
  <si>
    <t>WOS:000563384400001</t>
  </si>
  <si>
    <t>Singleton, CR; Li, Y; Zenk, SN; Powell, LM</t>
  </si>
  <si>
    <t>Singleton, Chelsea R.; Li, Yu; Zenk, Shannon N.; Powell, Lisa M.</t>
  </si>
  <si>
    <t>Examining changes to food and beverage availability and marketing in a low-income community after the opening of a new supermarket</t>
  </si>
  <si>
    <t>Objective: In 2016, a Whole Foods Market (c) opened in the Englewood community of Chicago, IL - a predominately low-income African American community. This study aimed to examine changes to food and beverage availability and marketing in Englewood's existing food stores after the opening of this supermarket. Design: Quasi-experimental study. Setting: Two low-income African American communities in Chicago, IL. Participants: Fieldworkers audited all small grocery and limited service stores (e.g. convenience stores, liquor stores and dollar/discount stores) located within one-square mile of the new supermarket and a one-square mile area of a demographically comparable community that also lacked a supermarket. Stores were audited before (2016) and after (2017 and 2018) the supermarket opened. Results: Of the 78 stores audited at baseline, 71 center dot 8 % were limited service stores and 85 center dot 9 % accepted Supplemental Nutrition Assistance Program (SNAP) benefits. Overall, the availability of healthy food and beverage options in nearby small stores was low at baseline and both follow-up periods. Difference-in-difference regression models revealed a significant increase in: (1) the percentage of stores in the intervention community (i.e. Englewood) offering regular cheese and promoting salty snacks at check-out from 2016 to 2017; and (2) the percentage of stores in the comparison community with interior store promotions for other sweetened beverages from 2016 to 2018. Conclusions: Minimal changes in food and beverage availability and marketing occurred 1 and 2 years after the opening of a new supermarket. However, the wide range of staple food items offered by the supermarket expanded healthy food retail in Chicago's Englewood community.</t>
  </si>
  <si>
    <t>PII S1368980021003165</t>
  </si>
  <si>
    <t>10.1017/S1368980021003165</t>
  </si>
  <si>
    <t>WOS:000720784600028</t>
  </si>
  <si>
    <t>Chen, L; Guttieres, D; Levi, R; Paulson, E; Perakis, G; Renegar, N; Springs, S</t>
  </si>
  <si>
    <t>Chen, Lu; Guttieres, Donovan; Levi, Retsef; Paulson, Elisabeth; Perakis, Georgia; Renegar, Nicholas; Springs, Stacy</t>
  </si>
  <si>
    <t>Public health risks arising from food supply chains: Challenges and opportunities</t>
  </si>
  <si>
    <t>NAVAL RESEARCH LOGISTICS</t>
  </si>
  <si>
    <t>Safe, healthy, and resilient food supply chains are essential to ensuring the livelihood and well-being of humans and societies, as well as local and global economies. However, the ability to provide and sustain access to nutritious and safe food continues to be a major concern and a challenge for almost any country around the world, including developed countries. Some serious and global public health risks arise from food supply chains. These include food safety and adulteration risks in which unsafe food is sold for human consumption, antimicrobial resistance risks that are becoming increasingly prevalent due to the overuse of antibiotics, zoonotic disease risks (i.e., viruses and diseases that transfer from animals to humans through food supply chains), food waste, and also food security issues such as food deserts and the diet disparity among different segments of the population. This article gives an introduction to these various risks and reviews directions in the current academic literature to address these challenges. The article also seeks to highlight important new research directions in these areas, and especially those that might be of significant interest to the operations research community.</t>
  </si>
  <si>
    <t>Levi, Retsef/0000-0002-1994-4875; /0000-0002-0888-9030</t>
  </si>
  <si>
    <t>0894-069X</t>
  </si>
  <si>
    <t>1520-6750</t>
  </si>
  <si>
    <t>10.1002/nav.22020</t>
  </si>
  <si>
    <t>WOS:000688468500001</t>
  </si>
  <si>
    <t>Jiao, JF; Azimian, A</t>
  </si>
  <si>
    <t>Jiao, Junfeng; Azimian, Amin</t>
  </si>
  <si>
    <t>Measuring accessibility to grocery stores using radiation model and survival analysis</t>
  </si>
  <si>
    <t>Measuring spatial accessibility to grocery stores and identifying food deserts have been of interest to planners and policy makers. However, measuring and quantifying accessibility in a way that relates to actual travel behaviors and preferences are challenging. This study aims to promote an existing radiation model by incorporating different transportation modes and time use diaries to provide a more realistic estimation of accessibility. We proposed a survival analysis method, such as the Cox proportional hazard model, as a novel approach to develop a cost decay function based on time use diaries. A multinomial logit model was applied to estimate the portion of people walking, traveling by car, and traveling by bus. A case study of grocery stores in Travis County, Texas, is used to illustrate the approach. The results indicate that for walking accessibility to grocery stores, the majority of zip codes fall into the very low, low, and moderate accessibility classes. Moreover, in most western zip codes transit accessibility to grocery stores is found to be very low. However, the spatial accessibility for some of such zip codes has been enhanced because of the presence of cars.</t>
  </si>
  <si>
    <t>10.1016/j.jtrangeo.2021.103107</t>
  </si>
  <si>
    <t>JUN 2021</t>
  </si>
  <si>
    <t>WOS:000672856800005</t>
  </si>
  <si>
    <t>Swayne, MRE; Lowery, BC</t>
  </si>
  <si>
    <t>Swayne, Madison R. E.; Lowery, Bryce C.</t>
  </si>
  <si>
    <t>Integrating transit data and travel time into food security analysis: A case study of San Diego, California</t>
  </si>
  <si>
    <t>Research suggests an important role for planners and policymakers in enhancing neighborhood access to healthy food. Spatial analysis is often used to explore relationships between proximity to sources of food and health outcomes such as food security and risk for diet-related disease. Spatial models often account for proximity based on walking distance or automobile but advancements in geospatial technologies now allow for estimates of access by transit as well as travel time to understand neighborhood level food security. One approach for addressing this gap is to employ real-time travel estimates over transit and road networks to more precisely measure food access. In this paper, we compare the Google Distance Matrix API calculating both the distance and time between origins and destinations, with other spatial approaches to understanding grocery store and fullservice supermarket access in this case study of San Diego, California. Results suggest that distances between residents and food outlets are constant across modes of transport but travel times are highly differentiated by mode. Trips to stores by transit are on average, three times longer than trips by car. This paper offers a new understanding of the potential for incongruence between spatial proximity and true accessibility in the built environment.</t>
  </si>
  <si>
    <t>Swayne, Madison/IUN-2045-2023</t>
  </si>
  <si>
    <t>Lowery, Bryce/0000-0001-8359-9773</t>
  </si>
  <si>
    <t>10.1016/j.apgeog.2021.102461</t>
  </si>
  <si>
    <t>MAY 2021</t>
  </si>
  <si>
    <t>WOS:000658299200001</t>
  </si>
  <si>
    <t>Freedman, DA; Bell, BA; Clark, J; Ngendahimana, D; Borawski, E; Trapl, E; Pike, S; Sehgal, AR</t>
  </si>
  <si>
    <t>Freedman, Darcy A.; Bell, Bethany A.; Clark, Jill; Ngendahimana, David; Borawski, Elaine; Trapl, Erika; Pike, Stephanie; Sehgal, Ashwini R.</t>
  </si>
  <si>
    <t>Small Improvements in an Urban Food Environment Resulted in No Changes in Diet Among Residents</t>
  </si>
  <si>
    <t>Living in a low-income neighborhood with low access to healthy food retailers is associated with increased risk for chronic disease. The U.S. Healthy Food Financing Initiative (HFFI) provides resources to support the development of infrastructure to improve neighborhood food environments. This natural experiment examined a HFFI funded food hub that was designed to be implemented by a community development corporation in an urban neighborhood in Cleveland, Ohio. It was intended to increase access to affordable, local, and healthy foods; establish programs to increase social connections and support for healthy eating; and create job opportunities for residents. We used a quasi-experimental, longitudinal design to externally evaluate food hub implementation and its impact on changes to the built and social environment and dietary patterns among residents living in the intervention neighborhood (n = 179) versus those in a comparison (n = 150) neighborhood. Overall, many of the food hub components were not implemented fully, and dose and reach of the executed food hub components was low. There were statistically significant improvements in observed availability of healthy foods in the intervention neighborhood versus the comparison neighborhood. There were no changes over time in diet quality scores, total caloric intake, or fruit and vegetable intake in the intervention neighborhood. In conclusion, low dose implementation of a food hub led to small improvements in availability of healthy foods but not in dietary patterns. Findings highlight challenges to implementing a food hub in neighborhoods with low access to healthy food retailers.</t>
  </si>
  <si>
    <t>Trapl, Erika/O-8237-2019; Clark, Jill/A-1661-2013; Freedman, Darcy/E-6388-2010; Bell, Bethany/AAV-6917-2021</t>
  </si>
  <si>
    <t>Freedman, Darcy/0000-0002-0521-9621</t>
  </si>
  <si>
    <t>10.1007/s10900-020-00805-z</t>
  </si>
  <si>
    <t>WOS:000564390200001</t>
  </si>
  <si>
    <t>Steenkamp, J; Cilliers, EJ; Cilliers, SS; Lategan, L</t>
  </si>
  <si>
    <t>Steenkamp, Jorinda; Cilliers, Elizelle Juanee; Cilliers, Sarel Stephanus; Lategan, Louis</t>
  </si>
  <si>
    <t>Food for Thought: Addressing Urban Food Security Risks through Urban Agriculture</t>
  </si>
  <si>
    <t>Food and nutrition security has been neglected in the planning field for reasons of a lack of connection between food and planning and the perception that agricultural activities have no place in the modernizing world. However, considering increasing climate change impacts and implications on industrialized agriculture, there is a clear need to establish shorter, more sustainable agricultural production practices and food supply chains. Urban agriculture is proposed as a potential method of intervention for planners to support sustainable food production and supply chains. The paper utilized a multiple-case study design to analyze four best practice examples of urban agriculture in the Global South to uncover its potential to address food security associated risks and contribute to sustainable development objectives. The results delivered evidence of the potential to harness the multifunctionality of urban agriculture to not only improve the food security of the most at-risk populations, but to also address other urban risks such as unemployment, community decline and food deserts. The recommendations for this paper relate to establishing a food security department, mapping and encouraging more sustainable food supply chains, creating land uses and zonings specific to urban agriculture and to utilize its multifunctionality to address other urban risks.</t>
  </si>
  <si>
    <t>Cilliers, Juanee/C-4303-2012; Cilliers, Sarel/R-1537-2019</t>
  </si>
  <si>
    <t>STEENKAMP, JORINDA/0000-0003-0431-6742; Lategan, Louis/0000-0002-8969-6766; Cilliers, Sarel/0000-0001-6108-6686</t>
  </si>
  <si>
    <t>10.3390/su13031267</t>
  </si>
  <si>
    <t>WOS:000615639700001</t>
  </si>
  <si>
    <t>Taylor, JR; Hanumappa, M; Miller, L; Shane, B; Richardson, ML</t>
  </si>
  <si>
    <t>Taylor, John R.; Hanumappa, Mamatha; Miller, Lara; Shane, Brendan; Richardson, Matthew L.</t>
  </si>
  <si>
    <t>Facilitating Multifunctional Green Infrastructure Planning in Washington, DC through a Tableau Interface</t>
  </si>
  <si>
    <t>Multifunctional urban green infrastructure (UGI) can regulate stormwater, mitigate heat islands, conserve biodiversity and biocultural diversity, and produce food, among other functions. Equitable governance of UGI requires new tools for sharing pertinent information. Our goal was to develop a public-access geographic information system (GIS) that can be used for comprehensive UGI planning in Washington, DC (the District) and to create an e-tool for UGI in the form of Tableau dashboards. The dashboards allow stakeholders to identify (1) existing UGI and (2) potential areas for new UGI including urban agriculture (UA). They also allow users to manipulate the data and identify priority locations for equitable UGI development by applying population vulnerability indices and other filters. We demonstrate use of the dashboards through scenarios focusing on UA in the District, which currently has 150 ha of existing UGI in the form of documented projects and an additional 2734 ha potentially suitable for UGI development. A total of 2575 ha is potentially suitable for UA, with 56% of that area in Wards 5, 7, and 8, which are largely food deserts and whose residents are primarily Black and experience the greatest inequities. Our work can serve as a model for similar digital tools in other locales using Tableau and other platforms.</t>
  </si>
  <si>
    <t>Richardson, Matthew/0000-0001-9769-1669; Taylor, John/0000-0002-0689-9032</t>
  </si>
  <si>
    <t>10.3390/su13158390</t>
  </si>
  <si>
    <t>WOS:000682154800001</t>
  </si>
  <si>
    <t>Pitts, SJB; Wu, Q; Truesdale, KP; Rafferty, AP; Haynes-Maslow, L; Boys, KA; McGuirt, JT; Fleischhacker, S; Johnson, N; Kaur, AP; Bell, RA; Ammerman, AS; Laska, MN</t>
  </si>
  <si>
    <t>Jilcott Pitts, Stephanie B.; Wu, Qiang; Truesdale, Kimberly P.; Rafferty, Ann P.; Haynes-Maslow, Lindsey; Boys, Kathryn A.; McGuirt, Jared T.; Fleischhacker, Sheila; Johnson, Nevin; Kaur, Archana P.; Bell, Ronny A.; Ammerman, Alice S.; Laska, Melissa N.</t>
  </si>
  <si>
    <t>A four-year observational study to examine the dietary impact of the North Carolina Healthy Food Small Retailer Program, 2017-2020</t>
  </si>
  <si>
    <t>Background The North Carolina (NC) Healthy Food Small Retailer Program (HFSRP) was passed into law with a $250,000 appropriation (2016-2018) providing up to $25,000 in funding to small food stores for equipment to stock healthier foods and beverages. This paper describes an observational natural experiment documenting the impact of the HFSRP on store food environments, customers' purchases and diets. Methods Using store observations and intercept surveys from cross-sectional, convenience customer samples (1261 customers in 22 stores, 2017-2020; 499 customers in 7 HFSRP stores, and 762 customers in 15 Comparison stores), we examined differences between HFSRP and comparison stores regarding: (1) change in store-level availability, quality, and price of healthy foods/beverages; (2) change in healthfulness of observed food and beverage purchases (bag checks); and, (3) change in self-reported and objectively-measured (Veggie Meter (R)-assessed skin carotenoids) customer dietary behaviors. Differences (HFSRP vs. comparison stores) in store-level Healthy Food Supply (HFS) and Healthy Eating Index-2010 scores were assessed using repeated measure ANOVA. Intervention effects on diet were assessed using difference-in-difference models including propensity scores. Results There were improvements in store-level supply of healthier foods/beverages within 1 year of program implementation (0 vs. 1-12 month HFS scores; p = 0.055) among HFSRP stores only. Comparing 2019 to 2017 (baseline), HFSRP stores' HFS increased, but decreased in comparison stores (p = 0.031). Findings indicated a borderline significant effect of the intervention on self-reported fruit and vegetable intake (servings/day), though in the opposite direction expected, such that fruit and vegetable intake increased more among comparison store than HFSRP store customers (p = 0.05). There was no significant change in Veggie Meter (R)-assessed fruit and vegetable intake by customers shopping at the intervention versus comparison stores. Conclusions Despite improvement in healthy food availability, there was a lack of apparent impact on dietary behaviors related to the HFSRP, which could be due to intervention dose or inadequate statistical power due to the serial cross-sectional study design. It may also be that individuals buy most of their food at larger stores; thus, small store interventions may have limited impact on overall eating patterns. Future healthy retail policies should consider how to increase intervention dose to include more product marketing, consumer messaging, and technical assistance for store owners.</t>
  </si>
  <si>
    <t>Johnson, Nathan/Q-3158-2016; Bell, Ronny/IOW-3146-2023</t>
  </si>
  <si>
    <t>Laska, Melissa/0000-0002-3836-0269; Haynes-Maslow, Lindsey/0000-0001-9571-1478; Boys, Kathryn/0000-0002-8091-1415</t>
  </si>
  <si>
    <t>MAR 24</t>
  </si>
  <si>
    <t>10.1186/s12966-021-01109-8</t>
  </si>
  <si>
    <t>WOS:000632382100001</t>
  </si>
  <si>
    <t>Fong, AJ; Lafaro, K; Fong, YM</t>
  </si>
  <si>
    <t>Fong, Abigail J.; Lafaro, Kelly; Fong, Yuman</t>
  </si>
  <si>
    <t>ASO Author Reflections: Access to Healthcare Does Not Mean Access to Health: Food Deserts in the Land of Plenty</t>
  </si>
  <si>
    <t>10.1245/s10434-020-09059-4</t>
  </si>
  <si>
    <t>WOS:000568266400001</t>
  </si>
  <si>
    <t>Japan</t>
  </si>
  <si>
    <t>Iwama, N; Asakawa, T; Koichi, T; Nobuhiko, K</t>
  </si>
  <si>
    <t>Iwama, N.; Asakawa, T.; Koichi, T.; Nobuhiko, K.</t>
  </si>
  <si>
    <t>RETRACTION: Analysis of the factors that disrupt dietary habits in the elderly: A case study of a Japanese food desert (Retraction of Vol 54, Pg 3560, 2017)</t>
  </si>
  <si>
    <t>NP1</t>
  </si>
  <si>
    <t>10.1177/0042098018821280</t>
  </si>
  <si>
    <t>WOS:000709446400001</t>
  </si>
  <si>
    <t>Cesmat, AP; Senter, E; Lin, FC; Keen, S; Simpson, RJ</t>
  </si>
  <si>
    <t>Cesmat, Andrew P.; Senter, Elizabeth; Lin, Feng-Chang; Keen, Susan; Simpson, Ross J.</t>
  </si>
  <si>
    <t>The Association of Food Deserts with Sudden Death in Wake County, North Carolina</t>
  </si>
  <si>
    <t>NOV 12-15, 2021</t>
  </si>
  <si>
    <t>A10285</t>
  </si>
  <si>
    <t>WOS:000752020002045</t>
  </si>
  <si>
    <t>Liese, AD; Sharpe, PA; Bell, BA; Hutto, B; Stucker, J; Wilcox, S</t>
  </si>
  <si>
    <t>Liese, Angela D.; Sharpe, Patricia A.; Bell, Bethany A.; Hutto, Brent; Stucker, Jessica; Wilcox, Sara</t>
  </si>
  <si>
    <t>Persistence and transience of food insecurity and predictors among residents of two disadvantaged communities in South Carolina</t>
  </si>
  <si>
    <t>Background: Little is known about patterns of household food insecurity (HFI) across more than two time points in adults in the United States, the frequency predictors of different trajectories. The distinctions between persistent and transient food insecurity trajectories may be crucial to developing effective interventions. Objective: To characterize dominant trajectories of food security status over three time points between 2013 and 2016 and identify demographic, socioeconomic and health-related predictors of persistent and transient HFI. Design: Cohort study in disadvantaged communities in South Carolina. Setting: and subjects: 397 middle-aged participants, predominantly female, African American, living in USDAdesignated food deserts. Main outcome measure: Household food insecurity over time using the 18-item USDA?s Household Food Security Survey Module. Statistical analyses performed: Descriptive analyses of food security trajectories and multinomial regression analyses. Results: At baseline (2013?2014), 61% of households reported HFI during the previous 12 months, which decreased to 54% in 2015 and to 51% in 2016. Only 27% of households were persistently food secure, 36% experienced transient and 37% persistent food insecurity. Female sex (OR 2.7, 95%CI 1.2?5.9), being married or living with a partner (OR 2.4, 95CI% 1.1?5.3) and fair health status (OR 4.4, 95%CI 2.2?8.8) were associated with increased odds of persistent food insecurity. Fair health was also a significant predictor of transient food insecurity. Conclusions: These findings suggest that future research should focus on persistent versus transient trajectories separately and that tailored interventions may be needed to make progress on alleviating food insecurity among disadvantaged communities.</t>
  </si>
  <si>
    <t>Bell, Bethany/AAV-6917-2021; Wilcox, Sara/GXV-7647-2022</t>
  </si>
  <si>
    <t>10.1016/j.appet.2021.105128</t>
  </si>
  <si>
    <t>FEB 2021</t>
  </si>
  <si>
    <t>WOS:000634575300019</t>
  </si>
  <si>
    <t>Boys, KA; Haynes-Maslow, L; McGuirt, JT; Ammerman, AS; Van Fleet, EE; Johnson, NS; Kelley, CJ; Donadio, VE; Fleischhacker, SE; Truesdale, KP; Bell, RA; Pitts, SBJ</t>
  </si>
  <si>
    <t>Boys, Kathryn A.; Haynes-Maslow, Lindsey; McGuirt, Jared T.; Ammerman, Alice S.; Van Fleet, Erin E.; Johnson, Nevin S.; Kelley, Casey J.; Donadio, Victoria E.; Fleischhacker, Sheila E.; Truesdale, Kimberly P.; Bell, Ronny A.; Pitts, Stephanie B. Jilcott</t>
  </si>
  <si>
    <t>Perceived barriers and facilitators to participating in the North Carolina Healthy Food Small Retailer Program: a mixed-methods examination considering investment effectiveness</t>
  </si>
  <si>
    <t>Objective: The North Carolina Legislature appropriated funds in 2016-2019 for the Healthy Food Small Retailer Program (HFSRP), providing small retailers located in food deserts with equipment to stock nutrient-dense foods and beverages. The study aimed to: (1) examine factors facilitating and constraining implementation of, and participation in, the HFSRP from the perspective of storeowners and (2) measure and evaluate the impact and effectiveness of investment in the HFSRP. Design: The current analysis uses both qualitative and quantitative assessments of storeowner perceptions and store outcomes, as well as two innovative measures of policy investment effectiveness. Qualitative semi-structured interviews and descriptive quantitative approaches, including monthly financial reports and activity forms, and end-of-programme evaluations were collected from participating HFSRP storeowners. Setting: Eight corner stores in North Carolina that participated in the two cohorts (2016-2018; 2017-2019) of the HFSRP. Participants: Owners of corner stores participating in the HFSRP. Results: All storeowners reported that the HFSRP benefitted their stores. In addition, the HFSRP had a positive impact on sales across each category of healthy food products. Storeowners reported that benefits would be enhanced with adjustments to programme administration and support. Specific suggestions included additional information regarding which healthy foods and beverages to stock; inventory management; handling of perishable produce; product display; modified reporting requirements and a more efficient process of delivering and maintaining equipment. Conclusions: All storeowners reported several benefits of the HFSRP and would recommend that other storeowners participate. The barriers and challenges they reported inform potential approaches to ensuring success and sustainability of the HFSRP and similar initiatives underway in other jurisdictions.</t>
  </si>
  <si>
    <t>Kelley, Casey/KJK-9684-2024; Bell, Ronny/IOW-3146-2023</t>
  </si>
  <si>
    <t>Kelley, Casey/0000-0001-7770-1639; Boys, Kathryn/0000-0002-8091-1415; Haynes-Maslow, Lindsey/0000-0001-9571-1478</t>
  </si>
  <si>
    <t>PII S1368980021003955</t>
  </si>
  <si>
    <t>10.1017/S1368980021003955</t>
  </si>
  <si>
    <t>WOS:000721004700057</t>
  </si>
  <si>
    <t>Hardy, RY; Liu, GC; Kelleher, K</t>
  </si>
  <si>
    <t>Hardy, Rose Y.; Liu, Gilbert C.; Kelleher, Kelly</t>
  </si>
  <si>
    <t>Contribution of Social Determinant of Health Factors to Rural-Urban Preventive Care Differences Among Medicaid Enrollees</t>
  </si>
  <si>
    <t>ACADEMIC PEDIATRICS</t>
  </si>
  <si>
    <t>OBJECTIVE: 1) Assess whether rural-urban disparities are present in pediatric preventive health care utilization; and 2) use regression decomposition to measure the contribution of social determinants of health (SDH) to those disparities. METHODS: With an Ohio Medicaid population served by a pediatric Accountable Care Organization, Partners For Kids, between 2017 and 2019, we used regression decomposition (a nonlinear multivariate regression decomposition model) to analyze the contribution of patient, provider, and SDH factors to the rural-urban well-child visit gap among children in Ohio. RESULTS: Among the 453,519 eligible Medicaid enrollees, 61.2% of urban children received a well-child visit. Well-child visit receipt among children from large rural cities/towns and small/isolated towns was 58.2% and 55.5%, respectively. Comparing large rural towns to urban centers, 55.8% of the 3.0 percentage-point difference was explained by patient, provider, and community-level SDH factors. In comparing small/isolated town to urban centers, 89.8% of the 5.7 percentage-point difference was explained by these characteristics. Of provider characteristics, pediatrician providers were associated with increased well visit receipt. Of the SDH factors, unemployment and education contributed the most to the explained difference in large rural towns while unemployment, education, and food deserts contributed significantly to the small/isolated town difference. CONCLUSIONS: The receipt of pediatric preventive care is slightly lower in rural communities. While modest, the largest part of the rural-urban preventive care gap can be explained by differences in provider type, poverty, unemployment, and education levels. More could be done to improve pediatric preventive care in all communities.</t>
  </si>
  <si>
    <t>Liu, Gilbert/0000-0001-9687-8931</t>
  </si>
  <si>
    <t>1876-2859</t>
  </si>
  <si>
    <t>1876-2867</t>
  </si>
  <si>
    <t>WOS:000607291700014</t>
  </si>
  <si>
    <t>Bradley, SE; Vitous, CA</t>
  </si>
  <si>
    <t>Bradley, Sarah E.; Vitous, C. Ann</t>
  </si>
  <si>
    <t>Using GIS to Explore Disparities between the Location of Food Deserts and Vulnerability to Food Insecurity</t>
  </si>
  <si>
    <t>Targeted food insecurity interventions in Tampa, FL have focused on increasing the availability of free food distributed through food pantries. The locations of pantries do not always take into consideration barriers to access. This research explores barriers to free food access through ethnographic data provided by semi-structured interviews with food pantry clients. GIS mapping can incorporate this kind of ethnographic data in order to more accurately represent the barriers that food insecure households face when accessing free food services. Mapping shows that free food resource locations in Tampa may not reflect the vulnerability of residents to food insecurity based on census tract demographics.</t>
  </si>
  <si>
    <t>10.1080/19320248.2019.1617818</t>
  </si>
  <si>
    <t>WOS:000647704600001</t>
  </si>
  <si>
    <t>Duque, RB</t>
  </si>
  <si>
    <t>Duque, Richard B.</t>
  </si>
  <si>
    <t>Black Health Matters Too horizontal ellipsis Especially in the Era of Covid-19: How Poverty and Race Converge to Reduce Access to Quality Housing, Safe Neighborhoods, and Health and Wellness Services and Increase the Risk of Co-morbidities Associated with Global Pandemics</t>
  </si>
  <si>
    <t>Objectives This research offers an alternative to the singular focus on improving health services to the African American community to increase their resilience to health-related co-morbidities associated with Covid-19 deaths. Methods This study employs a participatory action research (PAR) approach, where local non-profit organizations and researchers partnered with a challenged community in a self-study of intergenerational poverty related to health issues and the various obstacles to breaking this cycle. Results A quantitative and qualitative analysis of interview and focus group data suggests that the majority of those living in poor neighborhoods report reducing intersectional factors that are the cause and function of intergenerational poverty would reduce poverty and by extension increase African Americans' resilience to health-related mortality. Conclusions Analysis of data related to overlapping obstacles like lack of access to safe housing and quality health services offers both context and insight about how policies addressing poverty reduction may offer pathways for reducing the co-morbidities associated with pandemic risk for African Americans.</t>
  </si>
  <si>
    <t>Duque, Richard (Ricardo) B./0000-0003-3473-6342</t>
  </si>
  <si>
    <t>10.1007/s40615-020-00857-w</t>
  </si>
  <si>
    <t>WOS:000570833900003</t>
  </si>
  <si>
    <t>Mulrooney, T; Foster, R; Jha, M; Beni, LH; Kurkalova, L; Liang, CL; Miao, HR; Monty, G</t>
  </si>
  <si>
    <t>Mulrooney, Timothy; Foster, Richard; Jha, Manoj; Beni, Leila Hashemi; Kurkalova, Lyubov; Liang, Chyi Lyi; Miao, Haoran; Monty, Greg</t>
  </si>
  <si>
    <t>Using geospatial networking tools to optimize source locations as applied to the study of food availability: A study in Guilford County, North</t>
  </si>
  <si>
    <t>In the study of local-level food security, terms such as food variety, availability, accessibility and utilization represent quantitative metrics to describe one's relationship to the tangible and intangible food environment. Food availability entails how close one is located to the nearest food location. These locations could be healthy and fresh food as applied explicitly to the study food deserts, generally considered to be low-income areas that are far from healthy and fresh food. In the Geographic Information Systems (GIS) network model where travel times and distances are either calculated along a line network such as a series of roads or via more traditional techniques such as Manhattan or Euclidean distance, healthy and fresh food locations are defined as destinations. The places people are traveling from are referred to as sources. However, modeling source locations can be increasingly complex. In just measuring food availability between all residential parcels to the closest healthy food destination in Guilford County, North Carolina, it requires more than 177,000 route calculations, one for each of the residential parcels in Guilford County, North Carolina. Research (Zandbergen and Hart 2009; Fischer 2004; Sahar et al. 2019; Winn 2014) has highlighted the challenges in efficiently locating many addresses and calculating so many routes. In order to simplify the number of network calculations, this research explores ways to model, agglomerate or simplify source locations to decrease the sheer number of calculations while not degrading results when compared to calculations using all original 177,000 source locations. Studies in the field of food security have modeled source locations as census tract centroids, block group centroids, as well as random points and even fishnets or grids. In this paper, we explore the use of different techniques to simulate source locations in the study of food availability in Guilford County, North Carolina. These results are compared to calculations using all residential source locations in the county as a baseline. While all eleven techniques, which include random, stratified and systematic, as well as combinations of them, showed some level of agreement with baseline measurements, sources simulated as block centroids, population-weighted block group centroids and even a randomized-strata technique were strongest using t-tests of two means and equivalence tests for dissimilarity for both drive-distance and drive-time.</t>
  </si>
  <si>
    <t>Kurkalova, Lyubov/0000-0002-8873-3908; Mulrooney, Timothy/0000-0001-9333-9641; Miao, Haoran/0000-0002-9526-6850</t>
  </si>
  <si>
    <t>10.1016/j.apgeog.2021.102415</t>
  </si>
  <si>
    <t>WOS:000632331200002</t>
  </si>
  <si>
    <t>Brooks, KL; Rapp, W; Ogleby, J; Shepherd, M</t>
  </si>
  <si>
    <t>Brooks, Keyondra L.; Rapp, Will; Ogleby, Jennifer; Shepherd, Matt</t>
  </si>
  <si>
    <t>That Pop-Up Restaurant: Innovation in a Summer Feeding Program</t>
  </si>
  <si>
    <t>HEALTH BEHAVIOR AND POLICY REVIEW</t>
  </si>
  <si>
    <t>Objective: That Pop-Up Restaurant Summer Food Service Program (SFSP) was a federally reimbursed program that first served healthy meals to families in a rural Kansas community during the summer of 2017. The program aimed to empower communities to address child hunger by reducing stigma concerning food assistance and providing high-quality, nutritious meals to families. This pilot was developed to increase low utilization rates of summer feeding programs. Methods: An ecological approach was implemented to engage students and families. Program innovations included an open menu ordering format with paid adult meals and proper food storage while maintaining USDA's nutritional requirements. Additionally, the menu options exceeded fruit and vegetable requirements. Results: On average, 9.6% of youth who participated in the free and reduced-price lunch programs participated daily in summer nutrition during the 2016-2017 school year (FRAC, 2019). Comparatively, That Pop-Up Restaurant's pilot had over 25% of eligible youth participate in the program one or more times. Conclusions: That Pop-Up Restaurant summer food service program showed promising results for the target population and program developers aim to replicate the program in various communities.</t>
  </si>
  <si>
    <t>2326-4403</t>
  </si>
  <si>
    <t>10.14485/HBPR.8.6.12</t>
  </si>
  <si>
    <t>WOS:000749002500012</t>
  </si>
  <si>
    <t>Choi, Y; Schonfeld, PM; Lee, YJ; Shin, HS</t>
  </si>
  <si>
    <t>Choi, Youngmin; Schonfeld, Paul M.; Lee, Young-Jae; Shin, Hyeon-Shic</t>
  </si>
  <si>
    <t>Innovative Methods for Delivering Fresh Food to Underserved Populations</t>
  </si>
  <si>
    <t>JOURNAL OF TRANSPORTATION ENGINEERING PART A-SYSTEMS</t>
  </si>
  <si>
    <t>This study analyzed a last-mile fresh food delivery system for individuals in underserved communities. Five alternative delivery networks with various modes were considered: conventional trucks, electric cargo bikes, third-party deliveries by personal car, personalized ride transportation services, and parcel lockers. The total cost was formulated and optimized for each alternative. Then, the optimized results for the alternatives were compared. For our baseline values, numerical results showed that delivery by third party was the most cost-effective alternative in delivering fresh items, while truck deliveries ranked second. Personalized ride service and parcel locker delivery were more expensive than home-delivery services. Although more vehicles and frequent trips were needed for all alternatives as service area increased, home-delivery services had a moderate increase in total cost compared to other types. The personalized ride scenario was less influenced by changes in user value of waiting time. At a low demand density, truck operation may not be economically feasible. The study examined whether truck delivery could perform multiple tasks (i.e., delivering items to customers and fulfillment centers in a single delivery tour). Finally, mode shares for home deliveries were estimated when multiple delivery alternatives coexisted.</t>
  </si>
  <si>
    <t>Choi, Youngmin/AAX-3469-2021</t>
  </si>
  <si>
    <t>Choi, Youngmin/0000-0001-7523-2912</t>
  </si>
  <si>
    <t>2473-2907</t>
  </si>
  <si>
    <t>2473-2893</t>
  </si>
  <si>
    <t>10.1061/JTEPBS.0000464</t>
  </si>
  <si>
    <t>WOS:000672254600012</t>
  </si>
  <si>
    <t>Oronce, CIA; Miake-Lye, IM; Begashaw, MM; Booth, M; Shrank, WH; Shekelle, PG</t>
  </si>
  <si>
    <t>Oronce, Carlos Irwin A.; Miake-Lye, Isomi M.; Begashaw, Meron M.; Booth, Marika; Shrank, William H.; Shekelle, Paul G.</t>
  </si>
  <si>
    <t>Interventions to Address Food Insecurity Among Adults in Canada and the US A Systematic Review and Meta-analysis</t>
  </si>
  <si>
    <t>JAMA HEALTH FORUM</t>
  </si>
  <si>
    <t>This systematic review with meta-analysis examines 39 randomized and observational studies for associations between food insecurity interventions and insecurity status, health outcomes, and health care use among adults. Question Are food insecurity interventions associated with improvements in food insecurity status, health outcomes, or health care utilization? Findings In this systematic review and meta-analysis of 39 randomized and observational studies, including 170 605 participants, direct provision of food and monetary assistance were associated with statistically significant reductions in the prevalence of food insecurity. Health and health care utilization outcomes were reported in less than half of studies with mixed results that were not statistically significant in pooled analyses. Meaning For individuals with food insecurity, interventions that directly address their needs with food or monetary assistance are associated with improvements in food insecurity status, but further work is needed to understand the association with health outcomes and health care utilization. Importance Inadequate access to food is a risk factor for poor health and the effectiveness of federal programs targeting food insecurity, such as the Supplemental Nutrition Assistance Program (SNAP), are well-documented. The associations between other types of interventions to provide adequate food access and food insecurity status, health outcomes, and health care utilization, however, are unclear. Objective To review evidence on the association between food insecurity interventions and food insecurity status, clinically-relevant health outcomes, and health care utilization among adults, excluding SNAP. Data Sources A systematic search for English-language literature was performed in PubMed Central and Cochrane Trials databases (inception to January 23, 2020), the Social Interventions Research and Evaluation Network database (December 10, 2019); and the gray literature using Google (February 1, 2021). Study Selection Studies of any design that assessed the association between food insecurity interventions for adult participants and food insecurity status, health outcomes, and health care utilization were screened for inclusion. Studies of interventions that described addressing participants' food needs or reporting food insecurity as an outcome were included. Interventions were categorized as home-delivered food, food offered at a secondary site, monetary assistance in the form of subsidies or income supplements, food desert interventions, and miscellaneous. Data Extraction and Synthesis Data extraction was performed independently by 3 reviewers. Study quality was assessed using the Cochrane Risk of Bias Tool, the ROBINS-I (Risk of Bias in Non-Randomized Studies of Interventions) tool, and a modified version of the National Institutes of Health's Quality Assessment Tool for Before-After Studies With No Control. The certainty of evidence was based on GRADE (Grading of Recommendations Assessment, Development, and Evaluation) criteria and supplemented with mechanistic and parallel evidence. For outcomes within intervention categories with at least 3 studies, random effects meta-analysis was performed. Main Outcomes and Measures Food insecurity (measured through surveys; eg, the 2-item Hunger Vital Sign), health outcomes (eg, hemoglobin A(1c)), and health care utilization (eg, hospitalizations, costs). Results A total of 39 studies comprising 170 605 participants were included (8 randomized clinical trials and 31 observational studies). Of these, 14 studies provided high-certainty evidence of an association between offering food and reduced food insecurity (pooled random effects; adjusted odds ratio, 0.53; 95% CI, 0.33-0.67). Ten studies provided moderate-certainty evidence of an association between offering monetary assistance and reduced food insecurity (pooled random effects; adjusted odds ratio, 0.64; 95% CI, 0.49-0.84). There were fewer studies of the associations between interventions and health outcomes or health care utilization, and the evidence in these areas was of low or very low certainty that any food insecurity interventions were associated with changes in either. Conclusions and Relevance This systematic review with meta-analysis found that providing food and monetary assistance was associated with improved food insecurity measures; however, whether it translated to better health outcomes or reduced health care utilization was unclear.</t>
  </si>
  <si>
    <t>2689-0186</t>
  </si>
  <si>
    <t>AUG 6</t>
  </si>
  <si>
    <t>e212001</t>
  </si>
  <si>
    <t>10.1001/jamahealthforum.2021.2001</t>
  </si>
  <si>
    <t>WOS:000837104400005</t>
  </si>
  <si>
    <t>Grebitus, C</t>
  </si>
  <si>
    <t>Grebitus, Carola</t>
  </si>
  <si>
    <t>Small-scale urban agriculture: Drivers of growing produce at home and in community gardens in Detroit</t>
  </si>
  <si>
    <t>The desire for fresh, local food has increased interest in alternative food production approaches, such as private small-scale agriculture, wherein households grow their own food. Accordingly, it is worth investigating private agricultural production, especially in urban areas, given that an increasing share of the world's population is living in cities. This study analyzed the growth of produce at people's homes and in community gardens, focusing on behavioral and socio-demographic factors. Data were collected through an online survey in Detroit, Michigan; 420 citizens were interviewed. The results revealed that trust, attitude, and knowledge affect the growing of produce at home. Involvement and personality are also drivers of community gardening. Regarding socio-demographics, household size affects the growing of produce at home, while gender, age, and income affect community gardening. The findings have valuable implications for stakeholders who wish to foster private small-scale urban agriculture, for example, through city planning and nutrition education.</t>
  </si>
  <si>
    <t>Grebitus, Carola/B-6209-2014</t>
  </si>
  <si>
    <t>Grebitus, Carola/0000-0001-6511-1690</t>
  </si>
  <si>
    <t>SEP 7</t>
  </si>
  <si>
    <t>e0256913</t>
  </si>
  <si>
    <t>10.1371/journal.pone.0256913</t>
  </si>
  <si>
    <t>WOS:000707070200045</t>
  </si>
  <si>
    <t>Tokyo</t>
  </si>
  <si>
    <t>Sekiguchi, T; Hino, K</t>
  </si>
  <si>
    <t>Sekiguchi, Tatsuya; Hino, Kimihiro</t>
  </si>
  <si>
    <t>How Mobile Grocery Sales Wagons Can Help Disadvantaged Shoppers in Residential Areas around Central Tokyo: Characteristics of Spatial Distribution of Usage Places and Purchased Items</t>
  </si>
  <si>
    <t>In Japan, the number of shoppers who have difficulty accessing stores is increasing. Their health is often at risk because they cannot use stores at an appropriate frequency or buy a sufficient amount and variety of groceries. Grocery access that maintains disadvantaged shoppers' health is essential; thus, we investigated the effectiveness of mobile grocery sales (MGS) wagons as a possible solution. Using a detailed database, two analyses were conducted. The first analysis focused on the distribution of barriers en route to stores from the locations where people use the wagons. The second analysis focused on the amount and types of groceries customers purchased. Findings revealed that it was not only distance but also barriers on the roads, such as slopes, wide roads, and poorly installed sidewalks, that created the wagon demand. However, when limited to the occurrence of heavily used places, the impact of distance was greater as compared to the other barriers. Customers at such heavily used places bought most of their necessities, including discretionary items, from the wagons. By contrast, customers at less frequently used places regarded wagons as a complement to ordinary stores. Wagons contributed to customers' wellbeing with diverse roles.</t>
  </si>
  <si>
    <t>Sekiguchi, Tatsuya/0000-0003-4770-8383</t>
  </si>
  <si>
    <t>10.3390/su13052634</t>
  </si>
  <si>
    <t>WOS:000628681800001</t>
  </si>
  <si>
    <t>Gustafson, CR; Arslain, K; Rose, DJ</t>
  </si>
  <si>
    <t>Gustafson, Christopher R.; Arslain, Kristina; Rose, Devin J.</t>
  </si>
  <si>
    <t>High BMI Predicts Attention to Less Healthy Product Sets: Can a Prompt Lead to Consideration of Healthier Sets of Products?</t>
  </si>
  <si>
    <t>While the food environment has been implicated in diet-related health disparities, individuals' ability to shape the food environment by limiting attention to a subset of products has not been studied. We examine the relationship between BMI category and consideration set-the products the individual considers before making a final choice-in an online hypothetical shopping experiment. Specifically, we focus on the healthiness of the consideration set the individual selected. Secondly, we examined the interaction of a health prompt (versus a no-prompt control) with BMI category on the healthiness of the consideration set. We used linear probability models to document the relationship between weight status and consideration set, between prompt and consideration set, and the effect of the interaction between prompt and weight status on consideration set. We found that (1) obese individuals are 10% less likely to shop from a consideration set that includes the healthy options, (2) viewing the prompt increased the probability of choosing a healthy consideration set by 9%, and (3) exposure to the prompt affected individuals in different BMI categories equally. While obese individuals are more likely to ignore healthier product options, a health-focused prompt increases consideration of healthy options across all BMI categories.</t>
  </si>
  <si>
    <t>Gustafson, Christopher/L-4248-2019</t>
  </si>
  <si>
    <t>Gustafson, Christopher/0000-0001-6894-9456; Arslain, Kristina/0000-0001-6243-4216</t>
  </si>
  <si>
    <t>10.3390/nu13082620</t>
  </si>
  <si>
    <t>WOS:000689960600001</t>
  </si>
  <si>
    <t>Richardson, AS; Collins, RL; Ghosh-Dastidar, B; Ye, FF; Hunter, GP; Baird, MD; Schwartz, H; Sloan, JC; Nugroho, A; Beckman, R; Troxel, WM; Gary-Webb, TL; Dubowitz, T</t>
  </si>
  <si>
    <t>Richardson, Andrea S.; Collins, Rebecca L.; Ghosh-Dastidar, Bonnie; Ye, Feifei; Hunter, Gerald P.; Baird, Matthew D.; Schwartz, Heather; Sloan, Jennifer C.; Nugroho, Alvin; Beckman, Robin; Troxel, Wendy M.; Gary-Webb, Tiffany L.; Dubowitz, Tamara</t>
  </si>
  <si>
    <t>Improvements in Neighborhood Socioeconomic Conditions May Improve Resident Diet</t>
  </si>
  <si>
    <t>Neighborhood socioeconomic conditions (NSECs) are associated with resident diet, but most research has been cross-sectional. We capitalized on a natural experiment in Pittsburgh, Pennsylvania, in which 1 neighborhood experienced substantial investments and a sociodemographically similar neighborhood that did not, to examine pathways from neighborhood investments to changed NSECs and changed dietary behavior. We examined differences between renters and homeowners. Data were from a random sample of households (n = 831) in each of these low-income Pittsburgh neighborhoods that were surveyed in 2011 and 2014. Structural equation modeling tested direct and indirect pathways from neighborhood to resident dietary quality, adjusting for individuallevel sociodemographics, with multigroup testing by homeowners versus renters. Neighborhood investments were directly associated with improved dietary quality for renters (beta = 0.27, 95% confidence interval (CI): 0.05, 0.50) and homeowners (beta = 0.51, 95% CI: 0.10, 0.92). Among renters, investments also were associated with dietary quality through a positive association with commercial prices (beta = 0.34, 95% CI: 0.15, 0.54) and a negative association with residential prices (beta = -0.30, 95% CI: -0.59, -0.004). Among homeowners, we did not observe any indirect pathways from investments to dietary quality through tested mediators. Investing in neighborhoods may support resident diet through improvements in neighborhood commercial environments for renters, but mechanisms appear to differ for homeowners.</t>
  </si>
  <si>
    <t>Gary-Webb, Tiffany/0000-0001-9843-1084; Baird, Matthew/0000-0003-3016-480X; Ye, Feifei/0000-0001-7212-3235</t>
  </si>
  <si>
    <t>1476-6256</t>
  </si>
  <si>
    <t>10.1093/aje/kwaa220</t>
  </si>
  <si>
    <t>WOS:000667749900013</t>
  </si>
  <si>
    <t>Dubowitz, T; Haas, A; Ghosh-Dastidar, B; Collins, RL; Beckman, R; Holliday, SB; Richardson, AS; Hale, L; Buysse, DJ; Buman, MP; Troxel, WM</t>
  </si>
  <si>
    <t>Dubowitz, Tamara; Haas, Ann; Ghosh-Dastidar, Bonnie; Collins, Rebecca L.; Beckman, Robin; Holliday, Stephanie Brooks; Richardson, Andrea S.; Hale, Lauren; Buysse, Daniel J.; Buman, Matthew P.; Troxel, Wendy M.</t>
  </si>
  <si>
    <t>Does investing in low-income urban neighborhoods improve sleep?</t>
  </si>
  <si>
    <t>SLEEP</t>
  </si>
  <si>
    <t>Study Objectives: Neighborhood disadvantage is associated with poor sleep, which may contribute to and exacerbate racial and socioeconomic health disparities. Most prior work has been cross-sectional and thus it has not been possible to estimate causal effects. Methods: We leveraged a natural experiment opportunity in two low-income, predominantly African American Pittsburgh, PA neighborhoods, following a randomly selected cohort of households (n = 676) between 2013 and 2016. One of the neighborhoods received substantial public and private investments (housing, commercial) over the study period, while the other socio-demographically similar neighborhood received far fewer investments. Primary analyses used a difference-in-difference analysis based on neighborhood, to examine changes in actigraphy-assessed sleep duration, efficiency, and wakefulness after sleep onset (WASO), and self-reported sleep quality. Secondary analyses examined whether residents' proximity to investments, regardless of neighborhood, was associated with changes in sleep outcomes. Results: Resident sleep worsened over time in both neighborhoods with no significant differences among residents between the two neighborhoods. Secondary analyses, including covariate adjustment and propensity score weighting to improve comparability, indicated that regardless of neighborhood, those who lived in closer proximity to investments (&lt;0.1 mile) were significantly less likely to experience decreases in sleep duration, efficiency, and quality, or increases in WASO, compared to those who lived farther away. Conclusions: While we did not observe sleep differences among residents between neighborhoods, living closer to a neighborhood investment was associated with better sleep outcomes. Findings have relevance for public health and policy efforts focused on investing in historically disinvested neighborhoods.</t>
  </si>
  <si>
    <t>Buman, Matthew/AAJ-4447-2020; Buysse, Daniel/AAJ-1608-2021</t>
  </si>
  <si>
    <t>0161-8105</t>
  </si>
  <si>
    <t>1550-9109</t>
  </si>
  <si>
    <t>zsaa292</t>
  </si>
  <si>
    <t>10.1093/sleep/zsaa292</t>
  </si>
  <si>
    <t>WOS:000671572000019</t>
  </si>
  <si>
    <t>Troxel, WM; Bogart, A; Holliday, SB; Dubowitz, T; Ghosh-Dastidar, B; Baird, MD; Gary-Webb, TL</t>
  </si>
  <si>
    <t>Troxel, Wendy M.; Bogart, Andy; Holliday, Stephanie Brooks; Dubowitz, Tamara; Ghosh-Dastidar, Bonnie; Baird, Matthew D.; Gary-Webb, Tiffany L.</t>
  </si>
  <si>
    <t>Mixed Effects of Neighborhood Revitalization on Residents' Cardiometabolic Health</t>
  </si>
  <si>
    <t>Introduction: Despite the growing recognition of the importance of neighborhood conditions for cardiometabolic health, causal relationships have been difficult to establish owing to a reliance on cross-sectional designs and selection bias. This is the first natural experiment to examine the impact of neighborhood revitalization on cardiometabolic outcomes in residents from 2 predominantly African American neighborhoods, one of which has experienced significant revitalization (intervention), whereas the other has not (comparison). Methods: The sample included 532 adults (95% African American, 80% female, mean age=58.9 years) from 2 sociodemographically similar, low-income neighborhoods in Pittsburgh, PA, with preintervention and postintervention measures (2016 and 2018) of BMI, diastolic and systolic blood pressure, HbA1c, and high-density lipoprotein cholesterol and covariates. Data were collected in 2016 and 2018 and analyzed in 2020. Results: Difference-in-difference analyses showed significant improvement in high-density lipoprotein cholesterol in intervention residents relative to that in the comparison neighborhood (b=3.88, 95% CI=0.47, 7.29). There was also a significant difference-in-difference estimate in diastolic blood pressure (b=3.00, 95% CI=0.57, 5.43), with residents of the intervention neighborhood showing a greater increase in diastolic blood pressure than those in the comparison neighborhood. No statistically significant differences were found for other outcomes. Conclusions: Investing in disadvantaged neighborhoods has been suggested as a strategy to reduce health disparities. Using a natural experiment, findings suggest that improving neighborhood conditions may have a mixed impact on certain aspects of cardiometabolic health. Findings underscore the importance of examining the upstream causes of health disparities using rigorous designs and longer follow-up periods that provide more powerful tests of causality. (C) 2021 American Journal of Preventive Medicine. Published by Elsevier Inc. All rights reserved.</t>
  </si>
  <si>
    <t>Gary-Webb, Tiffany/0000-0001-9843-1084</t>
  </si>
  <si>
    <t>10.1016/j.amepre.2021.04.023</t>
  </si>
  <si>
    <t>WOS:000746438400008</t>
  </si>
  <si>
    <t>Honório, OS; Horta, PM; Pessoa, MC; Jardim, MZ; do Carmo, AS; Mendes, LL</t>
  </si>
  <si>
    <t>Honorio, Olivia Souza; Horta, Paula Martins; Pessoa, Milene Cristine; Jardim, Mariana Zogbi; do Carmo, Ariene Silva; Mendes, Larissa Loures</t>
  </si>
  <si>
    <t>Food deserts and food swamps in a Brazilian metropolis: comparison of methods to evaluate the community food environment in Belo Horizonte</t>
  </si>
  <si>
    <t>The aim of this study was to evaluate the community food environment, food deserts and food swamps using several methods in Belo Horizonte City, Minas Gerais State, Brazil. Information on the community food environment was obtained from a comprehensive dataset collected from two secondary sources in the city. Analysis units comprised census tracts and buffers traced from the centroid of census tracts. Per-capita income was used as an explanatory variable. Five different methods, including one developed in Brazil, were used to identify and evaluate food deserts and food swamps throughout the city. The method from Brazil (which employs density of healthy establishments per 10,000 inhabitants) classified 37.7% of census tracts as food deserts. Food deserts were more frequent in the lowest-income tracts. Other methods gave food deserts lower values, and one method 2 (census tract) was similar to that found by the Brazilian method. The highest percentages of census tracts classified as food swamps were obtained using method 2 (mRFEI- percent healthy establishments, with 800 m buffer), with 66.6%, and using method 5 (density of outlets selling ultra-processed foods), with 58.5%. Food swamps were also found to be more frequent in the lowest-income tracts, especially when method 4 (count of unhealthy establishments) was applied. We conclude that most parts of Belo Horizonte provide easy physical access to retailers selling predominantly ultra-processed foods. Food deserts and food swamps were widely found, often in the same areas. The metric of food deserts and food swamps developed in Brazil was the most appropriate, because it considered specificities of the local food environment. In addition, it is necessary to improve existing food desert and wetland metrics. For example, include the income variable in these calculations.</t>
  </si>
  <si>
    <t>Silva, Sara/AAX-7257-2021; Mendes, Larissa/AAL-6662-2020; Mendes, Larissa/Q-4817-2017; Horta, Paula/I-7859-2015</t>
  </si>
  <si>
    <t>Mendes, Larissa/0000-0003-0776-6845; Horta, Paula/0000-0002-1848-6470; do Carmo, Ariene Silva/0000-0002-3421-9495; , Mariana/0000-0003-3740-4183</t>
  </si>
  <si>
    <t>10.1007/s12571-021-01237-w</t>
  </si>
  <si>
    <t>NOV 2021</t>
  </si>
  <si>
    <t>WOS:000719173800001</t>
  </si>
  <si>
    <t>Francis, L; Perrin, N; Curriero, FC; Black, MM; Allen, JK</t>
  </si>
  <si>
    <t>Francis, Lucine; Perrin, Nancy; Curriero, Frank C.; Black, Maureen M.; Allen, Jerilyn K.</t>
  </si>
  <si>
    <t>Food Desert Status of Family Child Care Homes: Relationship to Young Children's Food Quality</t>
  </si>
  <si>
    <t>Family child care homes (FCCHs) are a favored child care choice for parents of young children in the U.S. Most FCCH providers purchase and prepare foods for the children in their care. Although FCCH providers can receive monetary support from the Child and Adult Care Food Program (CACFP), a federal subsidy program, to purchase nutritious foods, little is known about FCCH providers' access to nutritious foods, especially among FCCH providers serving children from communities that have been historically disinvested and predominantly Black. This study aims to describe the food desert status of FCCHs in Baltimore City, Maryland, and examine the relationship between food desert status and the quality of foods and beverages purchased and provided to children. A proportionate stratified random sample of 91 FCCH providers by CACFP participation status consented. Geographic information system mapping (GIS) was used to determine the food desert status of each participating FCCH. Participants reported on their access to food and beverages through telephone-based surveys. Nearly three-quarters (66/91) of FCCHs were located in a food desert. FCCH providers working and living in a food desert had lower mean sum scores M (SD) for the quality of beverages provided than FCCH providers outside a food desert (2.53 +/- 0.81 vs. 2.92 +/- 0.70, p = 0.036, respectively). Although the significant difference in scores for beverages provided is small, FCCH providers working in food deserts may need support in providing healthy beverages to the children in their care. More research is needed to understand food purchases among FCCH providers working in neighborhoods situated in food deserts.</t>
  </si>
  <si>
    <t>Black, Maureen/0000-0002-6427-4639; Francis, Lucine/0000-0002-0063-9934</t>
  </si>
  <si>
    <t>10.3390/ijerph19116393</t>
  </si>
  <si>
    <t>WOS:000809936700001</t>
  </si>
  <si>
    <t>Smets, V; Cant, J; Vandevijvere, S</t>
  </si>
  <si>
    <t>Smets, Vincent; Cant, Jeroen; Vandevijvere, Stefanie</t>
  </si>
  <si>
    <t>The Changing Landscape of Food Deserts and Swamps over More than a Decade in Flanders, Belgium</t>
  </si>
  <si>
    <t>Food deserts and swamps have previously been mostly studied in Anglo-Saxon countries such as the USA and Great Britain. This research is one of the first studies to map food deserts and swamps in a mainland European, densely populated but heavily fragmented region such as Flanders. The evolution of food deserts and swamps between 2008 and 2020 was assessed. Special focus was given to areas where high numbers of elderly, young people and/or families with low income live. Food deserts were calculated based on supermarket access within 1000 m and bus stop availability, while food swamps were calculated using the Modified Food Environment Retail Index. The main cause behind the formation of food deserts in Flanders is its rapidly aging population. Food deserts with a higher number of older people increased from 2.5% to 3.1% of the residential area between 2008 and 2020, housing 2.2% and 2.8% of the population, respectively. Although the area that could become a food desert in the future due to these sociospatial and demographic evolutions is large, food deserts are currently a relatively small problem in Flanders in comparison to the widespread existence of food swamps. Unhealthy retailers outnumbered healthy retailers in 74% of residential areas in 2020, housing 88.2% of the population. These food swamps create an environment where unhealthy food choices predominate. Residential areas with a higher number of elderly people, young people and families with low incomes had healthier food environments than Flanders as a whole, because these areas are mostly found in dense urban centers where the ratio of healthy food retailers to all retailers is higher. This research showed that food deserts and swamps could be a growing problem in European regions with a high population density that experience the high pressures of competing land uses.</t>
  </si>
  <si>
    <t>Cant, Jeroen/GRR-6801-2022</t>
  </si>
  <si>
    <t>vandevijvere, stefanie/0000-0003-3225-7524; Cant, Jeroen/0000-0003-1154-5412</t>
  </si>
  <si>
    <t>10.3390/ijerph192113854</t>
  </si>
  <si>
    <t>WOS:000881116000001</t>
  </si>
  <si>
    <t>Sigalo, N; St Jean, B; Frias-Martinez, V</t>
  </si>
  <si>
    <t>Sigalo, Nekabari; St Jean, Beth; Frias-Martinez, Vanessa</t>
  </si>
  <si>
    <t>Using Social Media to Predict Food Deserts in the United States: Infodemiology Study of Tweets</t>
  </si>
  <si>
    <t>JMIR PUBLIC HEALTH AND SURVEILLANCE</t>
  </si>
  <si>
    <t>Background: The issue of food insecurity is becoming increasingly important to public health practitioners because of the adverse health outcomes and underlying racial disparities associated with insufficient access to healthy foods. Prior research has used data sources such as surveys, geographic information systems, and food store assessments to identify regions classified as food deserts but perhaps the individuals in these regions unknowingly provide their own accounts of food consumption and food insecurity through social media. Social media data have proved useful in answering questions related to public health; therefore, these data are a rich source for identifying food deserts in the United States. Objective: The aim of this study was to develop, from geotagged Twitter data, a predictive model for the identification of food deserts in the United States using the linguistic constructs found in food-related tweets. Methods: Twitter's streaming application programming interface was used to collect a random 1% sample of public geolocated tweets across 25 major cities from March 2020 to December 2020. A total of 60,174 geolocated food-related tweets were collected across the 25 cities. Each geolocated tweet was mapped to its respective census tract using point-to-polygon mapping, which allowed us to develop census tract-level features derived from the linguistic constructs found in food-related tweets, such as tweet sentiment and average nutritional value of foods mentioned in the tweets. These features were then used to examine the associations between food desert status and the food ingestion language and sentiment of tweets in a census tract and to determine whether food-related tweets can be used to infer census tract-level food desert status. Results: We found associations between a census tract being classified as a food desert and an increase in the number of tweets in a census tract that mentioned unhealthy foods (P=.03), including foods high in cholesterol (P=.02) or low in key nutrients such as potassium (P=.01). We also found an association between a census tract being classified as a food desert and an increase in the proportion of tweets that mentioned healthy foods (P=.03) and fast-food restaurants (P=.01) with positive sentiment. In addition, we found that including food ingestion language derived from tweets in classification models that predict food desert status improves model performance compared with baseline models that only include socioeconomic characteristics. Conclusions: Social media data have been increasingly used to answer questions related to health and well-being. Using Twitter data, we found that food-related tweets can be used to develop models for predicting census tract food desert status with high accuracy and improve over baseline models. Food ingestion language found in tweets, such as census tract-level measures of food sentiment and healthiness, are associated with census tract-level food desert status.</t>
  </si>
  <si>
    <t>Sigalo, Nekabari/0000-0003-2749-4701; Frias-Martinez, Vanessa/0000-0001-5114-7633</t>
  </si>
  <si>
    <t>2369-2960</t>
  </si>
  <si>
    <t>e34285</t>
  </si>
  <si>
    <t>10.2196/34285</t>
  </si>
  <si>
    <t>WOS:000862466000002</t>
  </si>
  <si>
    <t>Leslie, CR</t>
  </si>
  <si>
    <t>Leslie, Christopher R.</t>
  </si>
  <si>
    <t>Food Deserts, Racism, and Antitrust Law</t>
  </si>
  <si>
    <t>CALIFORNIA LAW REVIEW</t>
  </si>
  <si>
    <t>Millions of Americans live in food deserts, a term that describes urban neighborhoods and rural regions where residents do not have access to healthy, affordable food. Food deserts are neither natural nor inevitable. Many food deserts result from the deliberate choices of supermarkets to maximize their profits by shifting resources to suburban consumers while affirmatively blocking other grocery stores from operating in food deserts. This Article examines the history, business logic, and illegality of these corporate decisions. In many ways, food deserts are a tale of two covenants: racial covenants and anticompetitive covenants. During the era of white flight, racial covenants and their lingering effects prevented Black families from moving to the suburbs. Supermarkets followed white families out to the new communities. Not content to simply expand into new locations in the suburbs, many supermarket chains abandoned their inner-city stores. When they sold these locations, many supermarkets imposed scorched-earth covenants in their deeds of sale that forbade any future owner from operating or allowing a supermarket at that location. These anticompetitive covenants prevented any other grocery store from serving the families left behind. This one-two punch of hemming nonwhite families into certain neighborhoods and then preventing supermarkets from existing in these same neighborhoods devastated the physical health of racial minorities and the economic health of their communities. This Article explains why food deserts are an antitrust problem. Many food deserts were caused, in part, by anticompetitive covenants and other market failures. Despite this, courts fail to appreciate the antitrust significance of food deserts because judges define markets too broadly based on the attributes of an average consumer: wealth and mobility. Consequently, the residents of food deserts are effectively denied the protection of antitrust law. Courts should treat food deserts as relevant geographic markets for antitrust purposes. Doing so is consistent with antitrust principles and would enable valid antitrust claims to proceed and to invalidate the anticompetitive covenants that create and perpetuate food deserts. Antitrust officials can also leverage the power that they possess during the merger review process to negotiate enforceable promises by supermarket chains to waive enforcement of their restrictive covenants. Applied correctly, antitrust law is a valuable weapon in a larger arsenal of policy prescriptions to remedy the problem of hunger and poor nutrition in America's food deserts.</t>
  </si>
  <si>
    <t>0008-1221</t>
  </si>
  <si>
    <t>1942-6542</t>
  </si>
  <si>
    <t>10.15779/Z38GM81P9R</t>
  </si>
  <si>
    <t>WOS:000992538400001</t>
  </si>
  <si>
    <t>Chavis, C; Bhuyan, IA</t>
  </si>
  <si>
    <t>Chavis, Celeste; Bhuyan, Istiak A.</t>
  </si>
  <si>
    <t>Data-Driven Food Desert Metric to Understand Access to Grocery Stores Using Chi-Square Automatic Interaction Detector Decision Tree Analysis</t>
  </si>
  <si>
    <t>TRANSPORTATION RESEARCH RECORD</t>
  </si>
  <si>
    <t>A food desert is a geographic area lacking spatial and socioeconomic access to healthy foods. Disparities in food access and availability hinder public health and individual wellbeing. Access to healthy food has been evaluated by many agencies and researches yet they do not comparably demarcate food deserts or identify vulnerable populations in methodical terms. Existing literature suggests a link between food deserts, income level, and vehicle ownership. This study evaluates the existing methods and proposes a novel data-driven method to identify food deserts in Baltimore, Maryland. This study evaluates responses from 573 respondents for an in-depth analysis of individual grocery store choice and travel decisions. Chi-square automatic interaction detector (CHAID) decision trees are used to develop a user-generated food desert metric. Income level is found to be a key indicator for food desert demarcation, more than vehicle ownership. Network distance was applied to develop the prioritization matrix for a food desert. This research provides a replicable method for determining food-insecure areas in a locality by aggregating individual data to identify such areas. Such a metric can aid policymakers to make investment decisions and to direct resources to areas of need.</t>
  </si>
  <si>
    <t>Bhuyan, Istiak/AAS-6828-2021</t>
  </si>
  <si>
    <t>Bhuyan, Istiak/0000-0002-4464-8090; Chavis, Celeste/0000-0002-3737-2364</t>
  </si>
  <si>
    <t>0361-1981</t>
  </si>
  <si>
    <t>2169-4052</t>
  </si>
  <si>
    <t>10.1177/03611981221089308</t>
  </si>
  <si>
    <t>MAY 2022</t>
  </si>
  <si>
    <t>WOS:000796271600001</t>
  </si>
  <si>
    <t>Restrepo Yepes, OC; Duque Chica, GL; Quiceno Sierra, JM; Vinaccia, S; Palacio Mesa, RD; Molina Saldarriaga, CA</t>
  </si>
  <si>
    <t>Restrepo Yepes, Olga Cecilia; Duque Chica, Gloria Liliana; Quiceno Sierra, Japcy Margarita; Vinaccia, Stefano; Palacio Mesa, Ruben Dario; Molina Saldarriaga, Cesar Augusto</t>
  </si>
  <si>
    <t>Surveys of food deserts and adherence to a Mediterranean diet among university students</t>
  </si>
  <si>
    <t>NUTRICION CLINICA Y DIETETICA HOSPITALARIA</t>
  </si>
  <si>
    <t>Objective: The objective of this study was to determine and describe the presence of institutional food deserts based on access to healthy food via a level of adherence to a Mediterranean diet in higher education Metropolitan Area in-stitutions in Valle de Aburra, Colombia. Materials and methods: The Food Deserts Survey -EDA-and the Mediterranean Diet Adherence Test-KIDMED was ad-ministered to 419 university students. Results and Discussion: Results evidenced that partici-pants had an average adherence (58.5%) to a Mediterranean diet, indicating that university students need to improve their dietary pattern to adapt it to a Mediterranean model. Regarding the EDA, most reported that the food they con-sumed was nutritious (69.0%), fresh (77.3%) and healthy (61.3%). They stated they usually ate breakfast (74.7%), lunch (44.2%) and dinner (85.0%) at home during the week, and usually bought and consumed food in supermarkets and traditional stores (73.3%). Conclusion: The study concluded that regardless of gen-der, participants need to improve their dietary pattern to adapt it to a Mediterranean model, which could indicate a hid-den presence of food deserts.</t>
  </si>
  <si>
    <t>Molina-Saldarriaga, César/AFO-8194-2022; Duque-Chica, Gloria/J-5553-2016</t>
  </si>
  <si>
    <t>Molina-Saldarriaga, Cesar Augusto/0000-0003-1940-5289</t>
  </si>
  <si>
    <t>0211-6057</t>
  </si>
  <si>
    <t>1989-208X</t>
  </si>
  <si>
    <t>10.12873/423duque</t>
  </si>
  <si>
    <t>WOS:000848814700001</t>
  </si>
  <si>
    <t>Mogil, S; Hill, E; Quinlan, J</t>
  </si>
  <si>
    <t>Mogil, Samantha; Hill, Evanah; Quinlan, Jennifer</t>
  </si>
  <si>
    <t>Characterization of the shopping preferences and needs of low-income consumers living in food deserts</t>
  </si>
  <si>
    <t>Purpose Lack of access to supermarkets and fresh produce continues to be a problem for low income consumers in many countries. The purpose of this research was to identify the shopping preferences and needs of such consumers in the Eastern U.S. Additionally, the research sought to determine the interest and preferences of low income consumers in a mobile grocery intervention which would provide neighborhoods with a consistent, convenient shopping experience. Design/methodology/approach A mixed methods approach included conducting focus groups in low-income neighborhoods in Philadelphia, Pennsylvania, U.S.A. and a quantitative survey (n = 202) administered via Survey Monkey to low-income consumers. Thematic analysis was conducted on focus group data and surveys were administered and analyzed to assess applicability of themes identified to consumers over a larger geographic area. Findings Results indicated that consumers in food desert neighborhoods reported an interest in purchasing a wide range of food staples, household goods, and personal items from any shopping intervention. Participants indicated a need for a more convenient overall shopping experience for a range of foods and goods in addition to fresh food choices. Findings indicate that mobile interventions to increase food access may benefit from expanding products available through the intervention beyond fresh produce and perishable goods. Originality/value This research explored purchasing preferences with low income consumers living in food deserts. It identifies products and goods they would prefer to see in an intervention to increase food access and is unique in that it explores the wants and preferences of consumers living in food deserts.</t>
  </si>
  <si>
    <t>NOV 1</t>
  </si>
  <si>
    <t>10.1108/BFJ-04-2021-0423</t>
  </si>
  <si>
    <t>WOS:000724144100001</t>
  </si>
  <si>
    <t>Jones, RE; Walton, TN; Duluc-Silva, S; Fly, JM</t>
  </si>
  <si>
    <t>Jones, Robert Emmet; Walton, Tobin N.; Duluc-Silva, Sylvia; Fly, J. Mark</t>
  </si>
  <si>
    <t>Household Food Insecurity in an Urban Food Desert: A Descriptive Analysis of an African American Community</t>
  </si>
  <si>
    <t>This study examined food insecurity in a predominately African American urban food desert via a mail survey designed to identify and describe the conditions, characteristics, and perceptions of residents in this food environment. The results support past research by showing that food insecurity occurs on a regular basis within many of the households but especially among lower income households, those on food-assistance programs, and those without access to a motor vehicle. The study also sheds light on the many barriers that perpetuate food insecurity and the challenges faced by Blacks and other minorities living in urban food-insecure environments.</t>
  </si>
  <si>
    <t>Walton, Tobin/K-4719-2019</t>
  </si>
  <si>
    <t>10.1080/19320248.2021.1926390</t>
  </si>
  <si>
    <t>WOS:000661307000001</t>
  </si>
  <si>
    <t>Zhang, YJ; Smith, JP; Tong, DQ; Ii, BLT</t>
  </si>
  <si>
    <t>Zhang, Yujia; Smith, Jordan P.; Tong, Daoqin; Turner Ii, B. L.</t>
  </si>
  <si>
    <t>Optimizing the co-benefits of food desert and urban heat mitigation through community garden planning</t>
  </si>
  <si>
    <t>Urban community gardens can reduce food insecurity and serve as green spaces alleviating extreme temperatures. Such co-benefit synergy may prove especially significant for arid-land metropolises. Despite these synergistic roles, planning for community gardens is largely undertaken in an ad-hoc manner. To date, few studies have addressed the full potential (co-benefits) of developing urban vacant land into community garden-green spaces. We addressed this in a spatially-optimized way, developing a model seeking to mitigate food desert and urban heat, and applied it to the fast sprawling Phoenix metro-area, Arizona (USA). Examining more than 5,000 vacant parcels for potential garden-green spaces, we found that the optimal number and locations of community gardens needed for different mitigation goals can vary significantly. In the Phoenix metro-area, the gardens required for extreme heat mitigation is about twice the number for food desert mitigation because high temperature areas are more prevalent and expansive in semi-arid desert environment compared to the relatively small number low income, food desert areas. Furthermore, we found that the existing 76 community gardens were mostly clustered around urban cores, leaving two-thirds of the metro-area underserved. If sited in a spatially-optimized way, the co-benefits gained from the 76 gardens could be doubled, and covering more high need neighborhoods. Integrating fine-scale vacant parcel data, our model identified high potential community garden-greening sites in priority neighborhoods with a precision not capable in conventional planning methods. Our findings demonstrate that spatially-optimized planning is of particular importance to avoid clustering of community gardens and ensure more equal access to local food and outdoor cooling benefits.</t>
  </si>
  <si>
    <t>Zhang, Yujia/AAG-3108-2019</t>
  </si>
  <si>
    <t>10.1016/j.landurbplan.2022.104488</t>
  </si>
  <si>
    <t>WOS:000816208500004</t>
  </si>
  <si>
    <t>Cuffey, J; Beatty, TKM</t>
  </si>
  <si>
    <t>Cuffey, Joel; Beatty, Timothy K. M.</t>
  </si>
  <si>
    <t>Effects of competing food desert policies on store format choice among SNAP participants</t>
  </si>
  <si>
    <t>We measure how Supplemental Nutrition Assistance Program (SNAP) participants respond to policies designed to improve access to retail food store formats that stock healthy foods, specifically grocery stores. Supply-side policies seek to increase the supply of grocery stores by subsidizing store openings. Demand-side policies seek to increase the demand for food from grocery stores by, for example, increasing benefits. Unique SNAP administrative data allow us to estimate and compare impacts of grocery store openings and a SNAP benefit increase at a fine geographic scale. We find both policies increase shopping at grocery stores relative to other store formats but observe substantive impacts for grocery store openings only among households in very close proximity to the opening. Furthermore, we find that the impacts are mediated by car ownership and food desert status. In particular, households without cars in food deserts exhibit the largest impact. Grocery store openings decrease SNAP spending shares primarily at ethnic stores, whereas benefit increases decrease SNAP spending shares at convenience stores. Neither policy decreases total SNAP spending at convenience stores. The spillover effects on shopping at other store formats therefore make the potential effect on access to healthy food ambiguous.</t>
  </si>
  <si>
    <t>10.1111/ajae.12275</t>
  </si>
  <si>
    <t>WOS:000715877500001</t>
  </si>
  <si>
    <t>Schooley, TR; Mager, NAD</t>
  </si>
  <si>
    <t>Schooley, Taylor R.; Mager, Natalie A. DiPietro</t>
  </si>
  <si>
    <t>Food for thought: Can community pharmacists help patients living in food deserts?</t>
  </si>
  <si>
    <t>JOURNAL OF THE AMERICAN PHARMACISTS ASSOCIATION</t>
  </si>
  <si>
    <t>Background: Community pharmacists can play an important role in helping patients who live in food deserts through screening, adjusting therapeutic recommendations and counseling practices, and making referrals to community resources. However, literature regarding community pharmacists' knowledge, practices, and attitudes regarding food deserts is scant. Objectives: The primary objective of this study was to assess Ohio community pharmacists' knowledge regarding food deserts. Secondary objectives included determining their attitudes, practices, and perceived barriers related to this topic. Methods: An anonymous 26-question survey was created and distributed to a random sample of 500 licensed community pharmacists in Ohio. Participants were granted 3 weeks to complete the survey and were offered a link to free Accreditation Council for Pharmacy Education-approved continuing pharmacy education as an incentive. The survey was deemed exempt by the Institutional Review Board. Results: The survey was successfully delivered to 491 pharmacists; 72 participated (14.7% response rate). About 43% of respondents were familiar with the term food desert, and less than one-third (31.9%) reported being aware of community resources. Of those who thought that some of their patients lived in food deserts, the majority indicated that they did not consider it in patient interactions (65.1%) and never adjusted their counseling practices (65.1%). Barriers that prevented them from referring patients included lack of knowledge and confidence as well as workflow constraints. About 68% of respondents somewhat or strongly agreed that pharmacists could help patients living in food deserts, and 65.3% were interested in learning more information about food deserts. Conclusion: Deficiencies in knowledge regarding food deserts and available resources were found among Ohio community pharmacists, but they showed interest in learning more information. Efforts should be made to educate community pharmacists about food deserts and to determine how to optimize their ability to assist patients as needed. (C) 2022 American Pharmacists Association (R). Published by Elsevier Inc. All rights reserved.</t>
  </si>
  <si>
    <t>DiPietro Mager, Natalie/0000-0002-3874-5281; Schooley, Taylor/0000-0003-3320-3472</t>
  </si>
  <si>
    <t>1544-3191</t>
  </si>
  <si>
    <t>1544-3450</t>
  </si>
  <si>
    <t>10.1016/j.japh.2021.12.018</t>
  </si>
  <si>
    <t>JUL 2022</t>
  </si>
  <si>
    <t>WOS:000861810700023</t>
  </si>
  <si>
    <t>Di Renzo, GC; Tosto, V</t>
  </si>
  <si>
    <t>Di Renzo, Gian Carlo; Tosto, Valentina</t>
  </si>
  <si>
    <t>Food insecurity, food deserts, reproduction and pregnancy: we should alert from now</t>
  </si>
  <si>
    <t>JOURNAL OF MATERNAL-FETAL &amp; NEONATAL MEDICINE</t>
  </si>
  <si>
    <t>Food insecurity and food deserts are prominent global health problems, now exacerbated by current COVID-19 pandemic. Some evidence points to the importance of food security, particularly for women in their reproductive age. Women's health and their nutrition status, across the continuum of preconception to pregnancy and postpartum are critical aspects for ensuring positive gestation course and short-/long-term outcomes by affecting essential developmental pathways. Several adverse outcomes (both maternal and neonatal) were reported in scientific literature. Screening programs, new economic policies, implementation of assistance since preconception could be a good strategy to mitigate the negative consequences of food insecurity. Potential strategies could include addressing misconceptions about healthy maternal diet and breast milk adequacy, stress management, promote social support networks, and connecting to supplemental nutrition assistance programs.</t>
  </si>
  <si>
    <t>1476-7058</t>
  </si>
  <si>
    <t>1476-4954</t>
  </si>
  <si>
    <t>10.1080/14767058.2021.2016052</t>
  </si>
  <si>
    <t>DEC 2021</t>
  </si>
  <si>
    <t>WOS:000730967500001</t>
  </si>
  <si>
    <t>Ekenga, CC; Tian, RY</t>
  </si>
  <si>
    <t>Ekenga, Christine C.; Tian, Ruiyi</t>
  </si>
  <si>
    <t>Promoting Food Equity in the Context of Residential Segregation</t>
  </si>
  <si>
    <t>Inequitable access to healthy food has been associated with a variety of adverse health outcomes. In the United States, prior studies have suggested that low-income and racial minorities are more likely to reside in neighborhood with unhealthy food environments than their high-income and white counterparts. We examined the relationship between residential segregation, food deserts, and food swamps in the St. Louis Metropolitan Statistical Area. We observed that neighborhoods with high levels of black segregation were approximately four times more likely to be food deserts or swamps than neighborhoods with low levels of segregation, after adjusting for population density. Neighborhoods with high levels of income segregation were approximately three times more likely to be food deserts or swamps than neighborhoods with low levels of income segregation. In this policy brief, we propose mobile food truck programs, community education programs, and healthy food tax breaks and credits, particularly for locally owned and operated food suppliers. Targeted interventions aimed at improving physical, social, and economic environments, particularly for residents of segregated communities, should be the key components of policy response to inequitable food environments.</t>
  </si>
  <si>
    <t>DEC 1</t>
  </si>
  <si>
    <t>10.1089/env.2021.0029</t>
  </si>
  <si>
    <t>WOS:000685557200001</t>
  </si>
  <si>
    <t>Haider, Z; Hu, YJ; Charkhgard, H; Himmelgreen, D; Kwon, C</t>
  </si>
  <si>
    <t>Haider, Zulqarnain; Hu, Yujie; Charkhgard, Hadi; Himmelgreen, David; Kwon, Changhyun</t>
  </si>
  <si>
    <t>Creating grocery delivery hubs for food deserts at local convenience stores via spatial and temporal consolidation</t>
  </si>
  <si>
    <t>For many socioeconomically disadvantaged customers living in food deserts, the high costs and minimum order size requirements make attended grocery deliveries financially non-viable, although it has a potential to provide healthy foods to the food insecure population. This paper proposes consolidating customer orders and delivering to a neighborhood convenience store instead of home delivery. We employ an optimization framework involving the minimum cost set covering and the capacitated vehicle routing problems. Our experimental studies in three counties in the U.S. suggest that by spatial and temporal consolidation of orders, the deliverer can remove minimum order-size requirements and reduce the delivery costs, depending on various factors, compared to attended home-delivery. We find the number and size of time windows for home delivery to be the most important factor in achieving temporal consolidation benefits. Other significant factors in achieving spatial consolidation include the capacity of delivery vehicles, the number of depots, and the number of customer or-ders. We also find that the number of partner convenience stores and the walkable distance parameter of the model have a significant impact on the number of accepted orders, i.e., the service level provided by the deliverer. The findings of this study imply consolidated grocery delivery as a viable solution to improve fresh food access in food deserts. In light of the recent global pandemic and its exacerbating effects on food insecurity, the innovative solution proposed in this paper is even more relevant and timely</t>
  </si>
  <si>
    <t>Himmelgreen, David/ABA-8749-2021; Kwon, Changhyun/AAP-9677-2020; Haider, Zulqarnain/H-4809-2019; Hu, Yujie/O-9860-2018</t>
  </si>
  <si>
    <t>Charkhgard, Hadi/0000-0001-5416-6960; Hu, Yujie/0000-0001-5814-0805</t>
  </si>
  <si>
    <t>1873-6041</t>
  </si>
  <si>
    <t>10.1016/j.seps.2022.101301</t>
  </si>
  <si>
    <t>JUN 2022</t>
  </si>
  <si>
    <t>WOS:000833547400003</t>
  </si>
  <si>
    <t>Abel, KC; Nair, GS; Bhat, C; Faust, KM</t>
  </si>
  <si>
    <t>Abel, Kelsey C.; Nair, Gopindra Sivakumar; Bhat, Chandra; Faust, Kasey M.</t>
  </si>
  <si>
    <t>Breaking Out from Food Desert Boundaries: Using Travel Behavior and Location-Choice Modeling to Measure Food Accessibility</t>
  </si>
  <si>
    <t>JOURNAL OF URBAN PLANNING AND DEVELOPMENT</t>
  </si>
  <si>
    <t>In both rural and urban environments, transportation and access to food are coupled, especially in regions known as food deserts (FDs). However, transportation is not the only factor that may impede food access. This study identifies factors that influence where a household chooses to shop by creating a location-choice model using real travel patterns of low-income households in Dallas. While this analysis shows that travel time to the store remains the most important factor, the results indicate that accessibility also depends on the (1) age of household members (e.g., the presence of seniors or children), (2) access to mobility options, (3) built environment and urban development, (4) household size, and (5) employment. A new metric of food accessibility is formulated, incorporating multiple contributors to inaccess and overcoming limitations of the USDA FD definition. The results show that the proposed metric adapts to any level of aggregation, identifies where targeted interventions could be implemented, and allows for the integration of real travel and shopping behaviors to better coordinate urban planning approaches that increase access to food in the urban environment.</t>
  </si>
  <si>
    <t>Faust, Kasey/AAT-2629-2021; Bhat, Chandra/AAC-6965-2019</t>
  </si>
  <si>
    <t>0733-9488</t>
  </si>
  <si>
    <t>1943-5444</t>
  </si>
  <si>
    <t>10.1061/(ASCE)UP.1943-5444.0000823</t>
  </si>
  <si>
    <t>WOS:000782624000031</t>
  </si>
  <si>
    <t>Aldaz, KJ; Flores, SO; Ortiz, RM; Rios, LKD; Dhillon, J</t>
  </si>
  <si>
    <t>Aldaz, Kaitlyn J.; Flores, Sigry Ortiz; Ortiz, Rudy M.; Rios, L. Karina Diaz; Dhillon, Jaapna</t>
  </si>
  <si>
    <t>A Cross-Sectional Analysis of Food Perceptions, Food Preferences, Diet Quality, and Health in a Food Desert Campus</t>
  </si>
  <si>
    <t>The sensory properties of foods guide food choices and intake, importantly determining nutritional and health status. In communities that have inconsistent access to nutritious foods, such as food deserts, food taste perceptions and preferences have yet to be explored. The purpose of this study was to examine how taster status (supertaster vs. non-taster) and food security status (high or marginal vs. low or very low) influences food taste intensities, food preferences and perceptions, and diet quality in a cohort of students from a food desert campus in the Central Valley of California. Moreover, the complex relationship of socioeconomic status, race/ethnicity, and sex on cardiometabolic and cognitive health warrants further examination. Two hundred fifty participants (aged 18-24 years) living in a food desert campus were recruited in 2018 for this cross-sectional study where participants underwent taste tests on selected fruits, vegetables, and nuts, and clinical tests (anthropometrics, blood glucose, blood pressure, and endothelial function), cognitive function tests (memory and attention), diet quality assessment (Healthy Eating Index (HEI)), and food preference and perception assessments. Food taste intensities were influenced by sex with bitter and umami taste intensities of several foods being perceived more intensely by males. Moreover, food liking was largely influenced by ethnicity with Hispanics having higher liking ratings for several foods compared with non-Hispanics. Both, Hispanics and females, had higher total fruit HEI scores and lower attention scores than non-Hispanics and males, respectively. Females also had lower blood pressure, reactive hyperemia index, and fasting blood glucose. Food-insecure individuals rated cost and convenience as more important factors for overall food consumption and had lower attention scores than those with higher food-security status. Future research should consider the complex interactions of factors such as taste and flavor perception, sex, ethnicity, prior exposure to foods, and other environmental factors when studying food preferences and health in young adults.</t>
  </si>
  <si>
    <t>Dhillon, Jaapna/0000-0003-4798-9111; Ortiz, Rudy/0000-0003-3715-7194</t>
  </si>
  <si>
    <t>10.3390/nu14245215</t>
  </si>
  <si>
    <t>WOS:000902962400001</t>
  </si>
  <si>
    <t>Newing, A; Hood, N; Videira, F; Lewis, J</t>
  </si>
  <si>
    <t>Newing, Andy; Hood, Nick; Videira, Francisco; Lewis, Jack</t>
  </si>
  <si>
    <t>'Sorry we do not deliver to your area': geographical inequalities in online groceries provision</t>
  </si>
  <si>
    <t>INTERNATIONAL REVIEW OF RETAIL DISTRIBUTION AND CONSUMER RESEARCH</t>
  </si>
  <si>
    <t>The British grocery retail sector is experiencing rapid growth in online ordering for home delivery, resulting in considerable supply side investment in delivery and fulfilment infrastructure. For retailers with a physical store network, investments typically utilise larger format stores as delivery and fulfilment hubs. Proximity to the store network and delivery infrastructure capacity thus drive the availability and choice of online groceries provider at the neighbourhood level. We aim to assess the geographical extent of online groceries coverage at a small-area level in Great Britain (GB). We carry out a nationwide assessment of the provision of online groceries, revealing generally excellent coverage within urban and suburban areas, including those neighbourhoods that may have once been considered urban food deserts. However, rural-urban inequalities are evident, with the most remote and rural catchments experiencing comparatively poor online groceries provision. We argue that these inequalities give rise to a new form of food desert: remote and rural neighbourhoods with the compounded effects of poor access to physical retail provision (akin to 'traditional' food deserts) and the additional disadvantage of poor coverage by online groceries providers. Many of these neighbourhoods are already the most remote from physical store provision and may also be faced with withdrawal of physical (retail) services. We make a number of recommendations that could support the provision of online groceries services in these areas and reflect on the tremendous potential for ongoing research into widening inequalities in access to grocery retailing driven by the geography of online groceries.</t>
  </si>
  <si>
    <t>Hood, Nick/0000-0002-2084-2155; Newing, Andy/0000-0002-3222-6640</t>
  </si>
  <si>
    <t>0959-3969</t>
  </si>
  <si>
    <t>1466-4402</t>
  </si>
  <si>
    <t>10.1080/09593969.2021.2017321</t>
  </si>
  <si>
    <t>WOS:000736018600001</t>
  </si>
  <si>
    <t>Needham, C; Strugnell, C; Allender, S; Orellana, L</t>
  </si>
  <si>
    <t>Needham, Cindy; Strugnell, Claudia; Allender, Steven; Orellana, Liliana</t>
  </si>
  <si>
    <t>Beyond food swamps and food deserts: exploring urban Australian food retail environment typologies</t>
  </si>
  <si>
    <t>Objective: 'Food deserts' and 'food swamps' are food retail environment typologies associated with unhealthy diet and obesity. The current study aimed to identify more complex food retail environment typologies and examine temporal trends. Design: Measures of food retail environment accessibility and relative healthy food availability were defined for small areas (SA2s) of Melbourne, Australia, from a census of food outlets operating in 2008, 2012, 2014 and 2016. SA2s were classified into typologies using a two-stage approach: (1) SA2s were sorted into twenty clusters according to accessibility and availability and (2) clusters were grouped using evidence-based thresholds. Setting: The current study was set in Melbourne, the capital city of the state of Victoria, Australia. Subjects: Food retail environments in 301 small areas (Statistical Area 2) located in Melbourne in 2008, 2012, 2014 and 2016. Results: Six typologies were identified based on access (low, moderate and high) and healthy food availability including one where zero food outlets were present. Over the study period, SA2s experienced an overall increase in accessibility and healthiness. Distribution of typologies varied by geographic location and area-level socio-economic position. Conclusion: Multiple typologies with contrasting access and healthiness measures exist within Melbourne and these continue to change over time, and the majority of SA2s were dominated by the presence of unhealthy relative to healthy outlets, with SA2s experiencing growth and disadvantage having the lowest access and to a greater proportion of unhealthy outlets.</t>
  </si>
  <si>
    <t>Allender, Steven/G-9881-2011; Orellana, Liliana/I-5249-2013; Strugnell, Claudia/N-6727-2019</t>
  </si>
  <si>
    <t>Needham, Cindy/0000-0002-4572-6820</t>
  </si>
  <si>
    <t>PII S136898002200009X</t>
  </si>
  <si>
    <t>10.1017/S136898002200009X</t>
  </si>
  <si>
    <t>JAN 2022</t>
  </si>
  <si>
    <t>WOS:000750659500001</t>
  </si>
  <si>
    <t>Cantor, J; Ghosh-Dastidar, B; Hunter, G; Baird, M; Richardson, AS; Siddiqi, S; Dubowitz, T</t>
  </si>
  <si>
    <t>Cantor, Jonathan; Ghosh-Dastidar, Bonnie; Hunter, Gerald; Baird, Matthew; Richardson, Andrea S.; Siddiqi, Sameer; Dubowitz, Tamara</t>
  </si>
  <si>
    <t>What Is Associated with Changes in Food Security among Low-Income Residents of a Former Food Desert?</t>
  </si>
  <si>
    <t>Lack of geographic access to foods has been postulated as a cause for food insecurity, which has been linked to poor nutrition, obesity, and chronic disease. Building on an established cohort of randomly selected households from a low-income, predominantly Black neighborhood, we examined household food security, distance to where study participants reported doing their major food shopping, and prices at stores where they shopped. Data from the Pittsburgh Hill/Homewood Research on Eating, Shopping, and Health study for years 2011, 2014 and 2018 was limited to residents of the neighborhood that began as a food desert (i.e., low access to healthy foods), but acquired a full-service supermarket in 2013. We calculated descriptive statistics and compared study participants in the former food desert neighborhood whose food security improved to those whose food security did not improve across survey waves. We estimated cross sectional linear regressions using all waves of data to assess food security level among study participants. Distance to major food shopping store was positively associated with food security (p &lt; 0.05) while food-store prices were not significantly associated with food security. Findings suggest that for predominantly low-income residents, food secure individuals traveled further for their major food shopping.</t>
  </si>
  <si>
    <t>Richardson, Andrea/0000-0001-6894-8226</t>
  </si>
  <si>
    <t>10.3390/nu14245242</t>
  </si>
  <si>
    <t>WOS:000902972300001</t>
  </si>
  <si>
    <t>Fay, KA; Maeder, ME; Emond, JA; Hasson, RM; Millington, TM; Finley, DJ; Phillips, JD</t>
  </si>
  <si>
    <t>Fay, Kayla A.; Maeder, Matthew E.; Emond, Jennifer A.; Hasson, Rian M.; Millington, Timothy M.; Finley, David J.; Phillips, Joseph D.</t>
  </si>
  <si>
    <t>Residing in a food desert is associated with an increased risk of readmission following esophagectomy for cancer</t>
  </si>
  <si>
    <t>JOURNAL OF THORACIC DISEASE</t>
  </si>
  <si>
    <t>Background: Nutritional status is related to treatment outcomes for esophageal cancer. Residing in a food desert (FD) has been associated with worse outcomes in breast and colon cancer. We assessed the association of residing in a FD on 30-day outcomes of esophageal cancer patients who received tri-modality therapy. Methods: A retrospective review of patients who underwent esophagectomy (1/2015 to 7/2020, in New Hampshire, USA) was performed. Patients were excluded if they did not undergo neo-adjuvant treatment, required treatment outside of standard Chemoradiotherapy for Oesophageal Cancer Followed by Surgery Study (CROSS) protocol, or lacked both pre and post neo-adjuvant treatment computed tomography (CT) scans for review. Demographics, nutrition parameters, treatment characteristics, 30-day complications and 90-day mortality were reviewed. FD status was defined by the United States Department of Agriculture (USDA) Food Access Research Atlas and cross-referenced with patients??? home zip code. Readmission was defined as readmission to any hospital for any reason within 30-day of discharge. Univariable analysis was conducted using Student???s t-test or Wilcoxon rank-sum for continuous variables, and Fisher???s exact test for categorical variables. Multivariable logistic regression was then used to model readmission status on FD status adjusted for measures statistically associated with readmission status at the P&lt;0.10 in univariable analyses. Results: Seventy-eight patients were included in the analysis. Overall pre-treatment prevalence of sarcopenia was 11.5% (9/78) and did not vary by FD status. Univariable analysis, demonstrated few significant differences between those who were readmitted and those who were not. On unadjusted analysis, patients who lived in a FD were 5 times more likely to be readmitted [5.16; 95% confidence interval (CI): (1.70???15.67)] compared to those who did not. Residing in a FD remained a significant risk factor for readmission after adjustment for operative time, discharge to a rehabilitation facility and development of a grade III/IV complication [adjusted odds ratio (OR): 6.38; 95% CI: (1.45???28.08)]. Conclusions: Our data suggest that residing in a FD is a prognostic factor for readmission after trimodality therapy for esophageal cancer. Clinicians need to be aware that previously established nutritional markers may not completely capture nutritional status and living in a FD may significantly increase the risk of readmission in these patients.</t>
  </si>
  <si>
    <t>2072-1439</t>
  </si>
  <si>
    <t>2077-6624</t>
  </si>
  <si>
    <t>10.21037/jtd-21-1637</t>
  </si>
  <si>
    <t>WOS:000809589100001</t>
  </si>
  <si>
    <t>Kang, JY; Lee, S</t>
  </si>
  <si>
    <t>Kang, Jeon-Young; Lee, Seunghwan</t>
  </si>
  <si>
    <t>Exploring Food Deserts in Seoul, South Korea during the COVID-19 Pandemic (from 2019 to 2021)</t>
  </si>
  <si>
    <t>Since the coronavirus disease 2019 (COVID-19) was declared a pandemic by the World Health Organization, our lifestyle (e.g., food culture) has changed. In particular, the food insecurity issue has exacerbated. To address this issue, this study aims to measure spatial accessibility to food outlets and identify food deserts in Seoul, South Korea during the COVID-19 pandemic (i.e., 2019-2021). To assess spatial access to food outlets, we used the enhanced two-step floating catchment area (E2SFCA) method. The results from the E2SFCA methods showed that spatial accessibility to restaurants increased, but access to grocery stores decreased. A noticeable change occurred in Gangnam and Seocho. The Gini coefficients indicated that equality in spatial accessibility to restaurants fluctuated (i.e., worsened from 2019 to 2020 and improved from 2020 to 2021), whereas equality in spatial accessibility to grocery stores improved. The results help to identify prioritized regions where additional food resources can be placed, especially for marginalized people who have limited access to food due to their socio-economic status.</t>
  </si>
  <si>
    <t>Kang, Jeon-Young/HQY-7752-2023</t>
  </si>
  <si>
    <t>Kang, Jeon-Young/0000-0001-8754-2897</t>
  </si>
  <si>
    <t>10.3390/su14095210</t>
  </si>
  <si>
    <t>WOS:000794803100001</t>
  </si>
  <si>
    <t>Crimarco, A; Turner-McGrievy, GM; Adams, S; Macauda, M; Blake, C; Younginer, N</t>
  </si>
  <si>
    <t>Crimarco, Anthony; Turner-McGrievy, Gabrielle M.; Adams, Swann; Macauda, Mark; Blake, Christine; Younginer, Nicholas</t>
  </si>
  <si>
    <t>Examining demographic characteristics and food access indicators from the location of vegan soul food restaurants in the south</t>
  </si>
  <si>
    <t>Objective: There have been a number of soul food restaurants serving exclusively vegan meals opening up across the country to appeal to African Americans and others interested in eating healthier soul foods. This study determined the number of restaurants serving vegan soul foods in the South and identified the locations of these restaurants in order to understand the characteristics of the surrounding communities that they serve. Design: Two reviewers identified restaurants using standardized search criteria for menu items in the 16 states (and the District of Columbia) that are categorized as being in the South from the Census Bureau. Mean percentage of African Americans, poverty rates, and obesity rates by county where restaurants were located were collected via census data. Restaurants were classified as being in or out of a food desert zone using the United States Department of Agriculture's (USDA) food atlas map (0.5- and 1.0-mile radius). T-tests were conducted to test for differences in the census data between the restaurants that were considered to be in and out of a food desert zone. Results: Overall, 45 restaurants met the inclusion criteria. Counties where restaurants were located had a mean African American population of 36.5???18.5%, mean poverty rate of 15.5???3.85% and mean obesity rate of 26.8???4.8%. More than one third (n?=?18, 40.0%) of the restaurants were considered to be in a food desert zone. There were no significant differences in the mean population, obesity, and poverty rates between restaurants classified in a food desert zone and restaurants not located in a food desert zone. Conclusion: A significant number of restaurants were classified in food desert zones, implying their potential to provide healthier meals by serving vegan soul foods to residents in the surrounding neighborhoods. Future work should assess how these restaurants might influence healthier eating habits in their communities.</t>
  </si>
  <si>
    <t>Macauda, Mark/IUP-8961-2023; Turner-McGrievy, Gabrielle/I-7319-2019; Blake, Christine/F-2277-2013</t>
  </si>
  <si>
    <t>Crimarco, Anthony/0000-0002-4553-4589; Macauda, Mark/0000-0002-9872-8774; Blake, Christine/0000-0002-0121-6837</t>
  </si>
  <si>
    <t>FEB 17</t>
  </si>
  <si>
    <t>10.1080/13557858.2019.1682525</t>
  </si>
  <si>
    <t>WOS:000491719900001</t>
  </si>
  <si>
    <t>Yang, M; Qiu, F; Tu, J</t>
  </si>
  <si>
    <t>Yang, Meng; Qiu, Feng; Tu, Juan</t>
  </si>
  <si>
    <t>Premiums for Residing in Unfavorable Food Environments: Are People Rational?</t>
  </si>
  <si>
    <t>The most extensive research areas in the food environment literature include identifying vulnerable dietary environments and studying how these environments affect eating behaviors and health. So far, research on people's willingness to pay (WTP) for residing in different types of food environments is limited. Therefore, this study aims to estimate WTP for different types of food environments by using spatial hedonic pricing models. The empirical application applies to the Canadian city of Edmonton. The results show that people are willing to pay a premium to live in neighborhoods with poor access to supermarkets and grocery stores (food-desert type) and neighborhoods with excessive access to fast-food restaurants and convenience stores (food-swamp type). Why do rational people prefer to live in disadvantaged food environments? The seemingly counter-intuitive result has its rationality. The premium paid to live in food-desert type environment may reflect people's dislike of noise, traffic jams, and potential safety issues brought by supermarkets and grocery stores. The WTP for living in food-swamp type environment may reflect people's preference for convenience and time-saving brought by fast-food consumption in modern urban society. Additionally, the inability of low-income families to afford healthy food may be a deeper reason for choosing to live in neighborhoods with excess access to fast food. To improve the eating environment and encourage healthy lifestyles, the government can encourage healthier fast-food restaurants, provide grocery shopping vouchers, and promote community garden projects.</t>
  </si>
  <si>
    <t>10.3390/ijerph19126956</t>
  </si>
  <si>
    <t>WOS:000819052100001</t>
  </si>
  <si>
    <t>Delk, JA; Singleton, BA; Al-Dahir, S; Kirchain, W; Bailey-Wheeler, J</t>
  </si>
  <si>
    <t>Delk, Jasmine A.; Singleton, Brittany A.; Al-Dahir, Sara; Kirchain, William; Bailey-Wheeler, Janel</t>
  </si>
  <si>
    <t>The effect of food access on type 2 diabetes control in patients of a New Orleans, Louisiana, clinic</t>
  </si>
  <si>
    <t>Background: The U.S. Department of Agriculture (USDA) classifies numerous neighborhoods in New Orleans, Louisiana, as food deserts or areas with inadequate access to good quality foods. With approximately 35% of all patients with type 2 diabetes (T2DM) establishing disease control, we hypothesize those living in food deserts will have increased difficulty in controlling T2DM. The purpose of this study is to evaluate the effect of food deserts on glycemic control in patients with T2DM. Objective: The purpose of this study is to analyze the effect of food access on T2DM control in patients at a diabetes management clinic compared with the national average of T2DM control. Methods: Eligible records for review included patients residing in a USDA-determined food desert with a T2DM diagnosis. The primary end point was the proportion of patients with controlled T2DM. T2DM control was defined as glycosylated hemoglobin values less than 7% and less than 7.5% in patients older than 65 years. Records were retrieved for review between the dates of February 2017 and February 2020. Results: A total of 109 patient records were reviewed. Of these, 23 patients (21%) achieved glycemic control. There was a 14% difference (35%-21%) between the food desert patients with T2DM and the general United States population of patients with T2DM (P 1/4 0.030). Conclusion: This study underscores the potential implications of limited food access on patients' abilities to manage chronic conditions like T2DM. Clinicians who work in resource-limited settings or with marginalized patient populations have a responsibility to consider food access and other health disparities when creating realistic and feasible treatment goals. (C) 2022 American Pharmacists Association (R). Published by Elsevier Inc. All rights reserved.</t>
  </si>
  <si>
    <t>Singleton, Brittany/0000-0001-5544-1477; Al-Dahir, Sara/0000-0003-3365-6113</t>
  </si>
  <si>
    <t>10.1016/j.japh.2022.05.001</t>
  </si>
  <si>
    <t>SEP 2022</t>
  </si>
  <si>
    <t>WOS:000863178400013</t>
  </si>
  <si>
    <t>Reyes-Puente, AL; Peña-Portilla, DG; Alcalá-Reyes, S; Rodríguez-Bustos, L; Núñez, JM</t>
  </si>
  <si>
    <t>Luisa Reyes-Puente, Ana; Guadalupe Pena-Portilla, Dalia; Alcala-Reyes, Sofia; Rodriguez-Bustos, Laura; Manuel Nunez, Juan</t>
  </si>
  <si>
    <t>Changes in Food Environment Patterns in the Metropolitan Area of the Valley of Mexico, 2010-2020</t>
  </si>
  <si>
    <t>The concept of food environment refers to the opportunities; environments; and physical, economic, political, and socio-cultural conditions that frame the interaction of people with the food system and shape decisions about food acquisition and consumption. This study analyzes the relationships between the characteristics of urban environments and the availability of retail food through the evaluation of physical and financial access to food in the Metropolitan Area of the Valley of Mexico (MAVM) between 2010 and 2020. Using Geographic Information Systems (GISs), both physical access through network distance to economic food retail units and financial access through socioeconomic status at the block scale were evaluated. The network distance and socioeconomic status results were used as criteria for the spatially explicit classification of the MAVM into food deserts, oases, and swamps. Food deserts are the most abundant food environments but only increased in the third and fourth metropolitan contours. Swamps have increased throughout the city, related to the proliferation of convenience stores that have replaced grocery stores. This study contributes evidence at a local and regional scale required for the future urban planning of the MAVM and for public health and sustainability programs focusing on treating food-related diseases.</t>
  </si>
  <si>
    <t>Rodriguez-Bustos, Laura Alicia/0000-0002-3839-9788</t>
  </si>
  <si>
    <t>10.3390/ijerph19158960</t>
  </si>
  <si>
    <t>WOS:000840212200001</t>
  </si>
  <si>
    <t>Ferrant, C</t>
  </si>
  <si>
    <t>Ferrant, Coline</t>
  </si>
  <si>
    <t>An Agentic Approach to Food Access and Acquisition: The Case of Mixed Neighborhoods in the Paris Metropolis</t>
  </si>
  <si>
    <t>How do urban residents access and acquire food? Building on the food desert scholarship, I propose an agentic framework and fieldwork in two mixed neighborhoods (one gentrifying, one working-class suburban) in the Paris metropolis. First- and second-generation immigrants perceive the metropolis as a rich and diverse food environment, whereas natives perceive their neighborhood of residence as a food-deficient environment. First- and second-generation immigrants endow mobility with self-efficacy, whereas natives construct proximity as a moral value. First- and second-generation immigrants' acquisition practices consider price and types of foods and span the metropolis. Those of natives consider types of foods and center on their neighborhood of residence. These findings complicate neighborhood-centric, spatially deterministic approaches to food access and acquisition, by highlighting structural (access to transportation and disposable time and income) and cultural dimensions (judgments and practices). Theoretically, they suggest two distinct ways in which urban residents find meaning in performing mundane activities: believing in self-efficacy and constructing moral values. Additional implications regard social life in gentrifying neighborhoods, space and place in European urban societies, and everyday life and public transportation in the Paris metropolis.</t>
  </si>
  <si>
    <t>10.1177/15356841211007758</t>
  </si>
  <si>
    <t>WOS:000649345100001</t>
  </si>
  <si>
    <t>Delanois, RE; Sax, OC; Wilkie, WA; Douglas, SJ; Mohamed, NS; Mont, MA</t>
  </si>
  <si>
    <t>Delanois, Ronald E.; Sax, Oliver C.; Wilkie, Wayne A.; Douglas, Scott J.; Mohamed, Nequesha S.; Mont, Michael A.</t>
  </si>
  <si>
    <t>Social Determinants of Health in Total Hip Arthroplasty: Are They Associated With Costs, Lengths of Stay, and Patient Reported Outcomes?</t>
  </si>
  <si>
    <t>JOURNAL OF ARTHROPLASTY</t>
  </si>
  <si>
    <t>OCT, 2021</t>
  </si>
  <si>
    <t>Hip Soc</t>
  </si>
  <si>
    <t>Background: Social determinants of health (SDOH) may play a larger role in predicting patient outcomes as outpatient total hip arthroplasty (THA) expands. We specifically examined the association between SDOH and patient metrics (demographics and comorbidities) for: (1) 30-day post-discharge costs of care; (2) lengths of stay (LOS); and (3) patient-reported outcomes (Hip Disability and Osteoarthritis Outcomes Score for Joints Replacement (HOOS JR)). Methods: Medicare patients who underwent primary THA between 2018 and 2019 were identified. Those who had complete social determinant data were included (n = 136). Data elements were drawn from institutional, regional, and government databases, as well as the Social Vulnerability Index (SVI). Multiple regression analyses were performed to determine SDOH and baseline comorbidities associations with costs, LOS, and HOOS JR scores. Results: Various SDOH factors were associated with higher 30-day costs, including residing in a food desert ($53,695 +/- 15,485; P &lt;.001) and the following SVI themes: 'Minority Status and Language' ($24,075 +/- 9845; P = .01) and 'Housing and Transportation' ($16,190 +/- 8501; P = .06), although the latter did not meet statistical significance. Baseline depression was associated with longer LOS (P = .02), while none of the other SDOH or patient metrics affected LOS. No relationships were observed between SDOH and HOOS JR changes from baseline. Conclusion: Patients who live in food deserts and have minority status had higher costs of care after primary THA. Poor housing and transportation may also increase costs, albeit insignificantly. These results highlight the utility of assessing SDOH-related risk factors to optimize post-operative outcomes, with potential implications for bundled care. (C) 2022 Elsevier Inc. All rights reserved.</t>
  </si>
  <si>
    <t>0883-5403</t>
  </si>
  <si>
    <t>1532-8406</t>
  </si>
  <si>
    <t>S422</t>
  </si>
  <si>
    <t>S427</t>
  </si>
  <si>
    <t>10.1016/j.arth.2022.02.043</t>
  </si>
  <si>
    <t>WOS:000807548000009</t>
  </si>
  <si>
    <t>Lane, JM; Davis, BA</t>
  </si>
  <si>
    <t>Lane, Jesse M.; Davis, Brett A.</t>
  </si>
  <si>
    <t>Food, physical activity, and health deserts in Alabama: the spatial link between healthy eating, exercise, and socioeconomic factors</t>
  </si>
  <si>
    <t>Regions with limited access to fresh foods have been associated with socioeconomic factors such as minority ethnic populations, lower incomes, higher poverty levels, elderly populations, and lower educational attainment. However, much of the previous research on food deserts has overlooked the spatial connection between these factors and limited access to fresh foods, physical activity, and areas where these regions overlap. This paper explores the relationship between these factors, with a special focus on the state of Alabama, and defines areas with poor access to physical activity facilities as physical activity deserts, and areas where food and physical activity deserts overlap as health deserts. Food and physical activity deserts were determined by placing a 10-mile driving distance buffer in rural areas and a 1-mile driving distance buffer in urban areas around fresh grocers, fitness facilities, and public parks. Regions not located within these buffers were mapped and their spatial relationship with a series of socioeconomic factors was analyzed using multiple regression and geographically weighted regression. Multiple regression results indicate a significant relationship between educational attainment, poverty levels, and the percentage of Black residents and limited access to fresh foods, physical activity facilities, and regions where access to both are limited. Geographically weighted regression results reveal significant spatial variation within the strength and direction of these relationships. These findings suggest that socioeconomic status may play a role in improving or diminishing access to healthy foods and physical activity in Alabama; however, the nature of these relationships is highly dependent on location.</t>
  </si>
  <si>
    <t>Lane, Jesse/0000-0002-2780-1858</t>
  </si>
  <si>
    <t>10.1007/s10708-021-10568-2</t>
  </si>
  <si>
    <t>WOS:000745776400001</t>
  </si>
  <si>
    <t>Rochminska, A</t>
  </si>
  <si>
    <t>Rochminska, Agnieszka</t>
  </si>
  <si>
    <t>SUPERMARKET DESERTS IN THE POLISH RETAIL LANDSCAPE IN COMPARISON WITH THE GLOBAL DEVELOPMENT TRENDS IN THIS SECTOR</t>
  </si>
  <si>
    <t>EUROPEAN SPATIAL RESEARCH AND POLICY</t>
  </si>
  <si>
    <t>The article presents the development of food retail in Poland in comparison with glob-al trends, characterised by the tendency to replace small traditional food stores with large-format stores, such as supermarkets and hypermarkets. This tendency has led to the emergence of retail and food deserts in numerous countries. This is a major problem from the perspective of both practition-ers and researchers. In Poland, like in many other countries in the world, similar processes in retail development occur, therefore, researchers should pay attention to the emergence of retail deserts, the so-called 'supermarket deserts,' as well as some limitations in terms of access to supermarkets. Many territorial units in Poland, especially in eastern Poland, have no large-format stores. These areas constitute retail deserts and require further micro-scale research.</t>
  </si>
  <si>
    <t>Rochminska, Agnieszka/0000-0003-0233-5798</t>
  </si>
  <si>
    <t>1231-1952</t>
  </si>
  <si>
    <t>1896-1525</t>
  </si>
  <si>
    <t>10.18778/1231-1952.29.2.15</t>
  </si>
  <si>
    <t>WOS:000948126800001</t>
  </si>
  <si>
    <t>Gebrehiwot, AA; Hashemi-Beni, L; Kurkalova, LA; Liang, Y; Jha, MK</t>
  </si>
  <si>
    <t>Gebrehiwot, Asmamaw A.; Hashemi-Beni, Leila; Kurkalova, Lyubov A.; Liang, Chyi L.; Jha, Manoj K.</t>
  </si>
  <si>
    <t>Using ABM to Study the Potential of Land Use Change for Mitigation of Food Deserts</t>
  </si>
  <si>
    <t>Land-use transition is one of the most profound human-induced alterations of the Earth's system. It can support better land management and decision-making for increasing the yield of food production to fulfill the food needs in a specific area. However, modeling land-use change involves the complexity of human drivers and natural or environmental constraints. This study develops an agent-based model (ABM) for land use transitions using critical indicators that contribute to food deserts. The model's performance was evaluated using Guilford County, North Carolina, as a case study. The modeling inputs include land covers, climate variability (rainfall and temperature), soil quality, land-use-related policies, and population growth. Studying the interrelationships between these factors can improve the development of effective land-use policies and help responsible agencies and policymakers plan accordingly to improve food security. The agent-based model illustrates how and when individuals or communities could make specific land-cover transitions to fulfill the community's food needs. The results indicate that the agent-based model could effectively monitor land use and environmental changes to visualize potential risks over time and help the affected communities plan accordingly.</t>
  </si>
  <si>
    <t>Kurkalova, Lyubov/0000-0002-8873-3908; Jha, Manoj/0000-0003-1156-2992; hashemi beni, leila/0000-0003-1026-4555</t>
  </si>
  <si>
    <t>10.3390/su14159715</t>
  </si>
  <si>
    <t>WOS:000838907800001</t>
  </si>
  <si>
    <t>Koball, AM; Rooney, BL; Kallies, KJ; Wissink, DM</t>
  </si>
  <si>
    <t>Koball, Afton M.; Rooney, Brenda L.; Kallies, Kara J.; Wissink, Danielle M.</t>
  </si>
  <si>
    <t>The role of food and activity environment in a bariatric surgery population: impact on postoperative weight loss</t>
  </si>
  <si>
    <t>SURGERY FOR OBESITY AND RELATED DISEASES</t>
  </si>
  <si>
    <t>Background: Food and activity factors may have an impact on weight in the general population, but little is known about how this affects postbariatric surgery weight loss. Objectives: To understand the impact of environmental food and activity factors on weight loss after bariatric surgery. Setting: A multidisciplinary integrated health system with an accredited bariatric surgery program. Methods: An institutional review board-approved retrospective review of patients who underwent bariatric surgery from 2001-2018 was completed. Food security, food retailers, and activity factors associated with postoperative percentage of total body weight loss (TBWL) at short-term (1-2 yr), medium-term (3-5 yr), and long-term (&gt;= 6 yr) follow-up were evaluated. Results: Overall, 1673 patients were included; 90% experienced &gt;= 20% TBWL in the short term and 65% in the long term. No differences in mean TBWL were observed for food deserts or areas with high versus low food insecurity. Mean TBWL was significantly different for low versus high healthy food density (32.5% versus 33.4%, P = .024) and low versus high fitness facility density (32.6% versus 33.4%, P = .048) at short-term follow-up. Increased mean TBWL was observed for counties with more versus less exercise opportunities at short and medium-term follow-up (33.4% versus 32.5%, P = .025; 31.2% versus 29.7%, P = .019). Conclusion: Patients experienced significant TBWL after bariatric surgery. Living in a food desert or area with high food insecurity did not significantly impact mean TBWL. Healthy food density, fitness facility density, and exercise opportunities had a short-to medium-term impact on TBWL. These data can be used to support patients to maximize the benefits of bariatric surgery. (C) 2021 American Society for Bariatric Surgery. Published by Elsevier Inc. All rights reserved.</t>
  </si>
  <si>
    <t>1550-7289</t>
  </si>
  <si>
    <t>1878-7533</t>
  </si>
  <si>
    <t>10.1016/j.soard.2021.12.007</t>
  </si>
  <si>
    <t>FEB 2022</t>
  </si>
  <si>
    <t>WOS:000767316500014</t>
  </si>
  <si>
    <t>Coleman, AT; Sharma, H; Robinson, A; Pappalardo, AA; Vincent, E; Fierstein, JL; Frazier, M; Bilaver, L; Jiang, JL; Choi, JJ; Kulkarni, A; Fox, S; Warren, C; Mahdavinia, M; Tobin, M; Assa'ad, A; Gupta, R</t>
  </si>
  <si>
    <t>Coleman, Amaziah T.; Sharma, Hemant; Robinson, Adam; Pappalardo, Andrea A.; Vincent, Eileen; Fierstein, Jamie L.; Frazier, Mech; Bilaver, Lucy; Jiang, Jialing; Choi, Johnathan J.; Kulkarni, Ashwin; Fox, Susan; Warren, Christopher; Mahdavinia, Mahboobeh; Tobin, Mary; Assa'ad, Amal; Gupta, Ruchi</t>
  </si>
  <si>
    <t>Access to Allergen-Free Food Among Black and White Children with Food Allergy in the FORWARD Study</t>
  </si>
  <si>
    <t>JOURNAL OF ALLERGY AND CLINICAL IMMUNOLOGY-IN PRACTICE</t>
  </si>
  <si>
    <t>BACKGROUND: Racial differences in access to allergen-free food have not been fully described among children with food allergy (FA). OBJECTIVE: To examine access to allergen-free foods among Black and White children with FA. METHODS: Black and White children with FA were enrolled in Food Allergy Outcomes Related to White and African American Racial Differences (FORWARD), a multisite prospective cohort study at 4 urban US centers. Caregivers completed questionnaires regarding access to allergen-free foods. Univariable statistics described demographics. Bivariable statistics evaluated crude associations with access to allergen-free foods. Multivariable logistic regression evaluated the adjusted effect of race on access to allergen-free foods. Geospatial analyses examined the distribution of race, socioeconomic status, and food desert residence. RESULTS: Among participants (n = 336), White caregivers (88.1%) were more likely to report access to allergen-free foods than Black caregivers (59%) (P &lt; .001). White caregivers were more likely to purchase allergen-free foods online (35.2%) than Black caregivers (12%) (P &lt; .001). Although Black children were more likely to live in a food desert, access to allergen-free food was not related to food desert residence. In the unadjusted analysis, White children were 5.2 times as likely to have access than Black children (P &lt; .001); after adjusting for demographics, this increase in access was no longer significant (P = .08). Other predictors of access to allergen-free foods included online food purchasing, annual household income, respondent education level, milk allergy, and child age &gt;5 years. CONCLUSION: In the FORWARD cohort, Black children have less access to allergen-free foods than White children, but much of the difference is accounted for by socioeconomic status and other participant characteristics. (C) 2021 American Academy of Allergy, Asthma &amp; Immunology</t>
  </si>
  <si>
    <t>Kulkarni, Ashwin/KCL-0470-2024</t>
  </si>
  <si>
    <t>Sharma, Hemant/0000-0002-8768-3590; Jiang, Jialing/0000-0001-7412-029X; Kulkarni, Ashwin/0009-0006-5010-9735; Warren, Christopher/0000-0002-8924-3329</t>
  </si>
  <si>
    <t>2213-2198</t>
  </si>
  <si>
    <t>2213-2201</t>
  </si>
  <si>
    <t>10.1016/j.jaip.2021.08.005</t>
  </si>
  <si>
    <t>WOS:000779016600024</t>
  </si>
  <si>
    <t>Retail Inequality: Reframing the Food Desert Debate</t>
  </si>
  <si>
    <t>OCT 14</t>
  </si>
  <si>
    <t>10.1093/sf/soac091</t>
  </si>
  <si>
    <t>WOS:000850217400001</t>
  </si>
  <si>
    <t>Modeling urban systems: Comparing the efficacy of simulated interventions on the urban food environment</t>
  </si>
  <si>
    <t>Inequitable access to food has negative effects on the health and quality of life of urban residents, especially in regions known as Food Deserts (FDs). Interventions to increase food access are inconsistently effective when applied to different regions in the U.S. This work seeks to answer two research questions: (1) can differences in interventions efficacy be explained by local demographic factors and geographies?; and (2) can multidimensional metrics be used to isolate what demographic factors drive food inaccessibility? Results indicate that the efficacy of interventions does depend on local demographic factors and infrastructure, especially bus service. Additionally, demographic factors can act either to increase or impede food access. After distance to the store, the presence of a child under 5 in the household was the most significant limiting factor to accessing healthy food. Conversely, a household size exceeding 4 members had the greatest positive impact on food access. These results show how the combination of simulation modeling and multi-dimensional metrics can inform decision makers about what demographic factors drive inaccessibility, and the interventions that would be most effective and sustainable.</t>
  </si>
  <si>
    <t>10.1016/j.scs.2021.103627</t>
  </si>
  <si>
    <t>WOS:000777737700003</t>
  </si>
  <si>
    <t>Saari, S; Li, Y; Avila, S; Knight, E</t>
  </si>
  <si>
    <t>Saari, Sanni; Li, Ying; Avila, Shannon; Knight, Ebony</t>
  </si>
  <si>
    <t>Identifying future partner agencies: helping Brazos Valley Food Bank in the fight against food insecurity</t>
  </si>
  <si>
    <t>COMPUTATIONAL URBAN SCIENCE</t>
  </si>
  <si>
    <t>Brazos Valley Food Bank (BVFB) is a non-profit organization in the Bryan-College Station area of Texas. It distributes food supplies through partner agencies and special programs to eradicate hunger in Brazos Valley. However, a big gap exists between the meals distributed by BVFB and the size of the food-insecure population. This research is motivated by BVFB's desire to reach more people by recruiting more sustainable partner agencies. We used Geographic Information Systems (GIS) to map food desert areas lacking access to nutritious food. We combined expert knowledge with multi-criteria decision-making (MCDM) to address the challenges and time consumption of manually identifying sustainable partner agencies for local food delivery. We identified evaluation criteria for all agencies based on BVFB managers' preferences using a qualitative approach, and then applied three quantitative decision-making models: the Weighted Sum Model (WSM), the Technique for Order Preference by Similarity to Ideal Solution (TOPSIS), and the Multi-criteria Optimization and Compromise Solution (VIKOR) models to obtain ranking results. We compared the quantitative models' rankings to BVFB managers' manual choices and discussed the impacts of our research. The key innovation of the research is to develop a mixed method by combining expert knowledge with mathematical decision models and GIS to support spatial decision making in food distribution. Although our results were specific to BVFB, these procedures can be applied to food banks in general. Future studies include finetuning our models to measure and address human biases, wider applications and more data collections.</t>
  </si>
  <si>
    <t>2730-6852</t>
  </si>
  <si>
    <t>OCT 9</t>
  </si>
  <si>
    <t>10.1007/s43762-022-00064-9</t>
  </si>
  <si>
    <t>WOS:001097191700001</t>
  </si>
  <si>
    <t>Sabesan, VJ; Rankin, KA; Nelson, C</t>
  </si>
  <si>
    <t>Sabesan, Vani J.; Rankin, Kelsey A.; Nelson, Charles</t>
  </si>
  <si>
    <t>Movement Is Life-Optimizing Patient Access to Total Joint Arthroplasty: Obesity Disparities</t>
  </si>
  <si>
    <t>JOURNAL OF THE AMERICAN ACADEMY OF ORTHOPAEDIC SURGEONS</t>
  </si>
  <si>
    <t>Thirty five percent of the American population is considered obese (body mass index [BMI] &gt; 30). Obesity disproportionately affects African Americans, Hispanics, and women. Obesity is associated with postoperative complications, including wound complications, infections, and revision total joint arthroplasty (including total hip arthroplasty and total knee arthroplasty). Current BMI benchmarks (many institutions rely on a BMI of 40) selectively preclude patients from having surgery. Patients in these underserved populations can be optimized through the lens of shared decision making through the assessment of food security (eg, food deserts and food swamps), ability to afford healthy food, knowledge of social safety net and community resources to access healthy food, nutrition and weight loss referrals to programs that accept all forms of insurance, weight loss measurements as a percentage of body weight lost instead of BMI cutoffs, pharmacologic modalities, and bariatric surgery.</t>
  </si>
  <si>
    <t>Rankin, Kelsey/0000-0001-9251-0857</t>
  </si>
  <si>
    <t>1067-151X</t>
  </si>
  <si>
    <t>1940-5480</t>
  </si>
  <si>
    <t>10.5435/JAAOS-D-21-00424</t>
  </si>
  <si>
    <t>WOS:000870404300006</t>
  </si>
  <si>
    <t>Robitaille, É; Paquette, MC; Durette, G; Bergeron, A; Dubé, M; Doyon, M; Mercille, G; Lemire, M; Lo, E</t>
  </si>
  <si>
    <t>Robitaille, Eric; Paquette, Marie-Claude; Durette, Gabrielle; Bergeron, Amelie; Dube, Marianne; Doyon, Melanie; Mercille, Genevieve; Lemire, Marc; Lo, Ernest</t>
  </si>
  <si>
    <t>Implementing a Rural Natural Experiment: A Protocol for Evaluating the Impacts of Food Coops on Food Consumption, Resident's Health and Community Vitality</t>
  </si>
  <si>
    <t>METHODS AND PROTOCOLS</t>
  </si>
  <si>
    <t>Background: Local food environments are recognized by experts as a determinant of healthy eating. Food cooperatives (coop) can promote the accessibility to healthier foods and thus improve the health of the population, particularly in remote rural communities. Objective: To measure the effects of implementing a food coop in a disadvantaged community with poor access to food. We have two main research questions: (1). Does the establishment of a food coop in rural areas described as food deserts have an impact on accessibility, frequency of use, food consumption, food quality, and ultimately the health of individuals? (2). Does the establishment of a food coop in rural areas described as food deserts have an impact on food security and community vitality? Design: A natural experiment with a mixed pre/post method will be used. The sample is composed of households that came from geographically isolated communities (population: 215 to 885 inhabitants) which qualified as food deserts and located in rural areas of Quebec (Canada). All communities plan to open a food coop (in the years 2022-2023), and as their opening will be staggered over time, participants from communities with a new food coop (intervention) will be compared to communities awaiting the opening of their food coop (control). Data collection was carried out at three time points: (1) before; (2) 1 to 5 months after; and (3) 13 to 17 months after the opening of the coop. Questionnaires were used to measure sociodemographic variables, dietary intake, residents' health, and community vitality. Semi-structured interviews were conducted with community stakeholders. Results: Few natural experiments have been conducted regarding the impact of implementing food coops. Gathering concrete data on the effectiveness and processes surrounding these interventions through natural experiments will help to quantify their impact and guide knowledge users and policymakers to make more informed decisions.</t>
  </si>
  <si>
    <t>Mercille, Genevieve/0000-0001-5613-2350; , Marie-Claude/0000-0002-1074-1051</t>
  </si>
  <si>
    <t>2409-9279</t>
  </si>
  <si>
    <t>10.3390/mps5020033</t>
  </si>
  <si>
    <t>WOS:000787960900001</t>
  </si>
  <si>
    <t>McGuirt, JT; Lane, H; Cooper, MC; Sessoms-Parks, L; Kuhn, AP; Hager, ER</t>
  </si>
  <si>
    <t>McGuirt, Jared T.; Lane, Hannah; Cooper, M. Chela; Sessoms-Parks, Leslie; Kuhn, Ann Pulling; Hager, Erin R.</t>
  </si>
  <si>
    <t>Geospatial Reach of the Maryland COVID-19 School Meals Response: Spring 2020</t>
  </si>
  <si>
    <t>Objective: Examine characteristics of pandemic meal site (n = 602) location and meals served per site in Maryland, Spring 2020, following federal/state waivers for local meal site placement decision-making. Methods: Using geographic information systems, we connected meal sites to census tract-level data and generated service areas from sites and distances from population-weighted census tract centroids to the closest pandemic meal site. Regression analysis determined associations of census tract pandemic meal site count and meals served per site with socioeconomic and demographic variables. Results: Census tracts with more meal sites were urban (P &lt; 0.001), food deserts (P &lt; 0.001), and had higher percentages of children in poverty (P &lt; 0.001). Sites serving fewer meals were in food deserts (P &lt; 0.001) and areas with more children in poverty (P &lt; 0.001). Conclusions and Implications: Waivers allowing local meal site placement decision-making supported meal sites in high-need areas. Geospatial approaches could optimize site locations to ensure maximum reach to populations in need. Additional supports may be needed to ensure children in poverty areas receive meals distributed at these sites.</t>
  </si>
  <si>
    <t>McGuirt, Jared/0000-0002-1210-825X; Pulling Kuhn, Ann/0000-0003-2638-1203</t>
  </si>
  <si>
    <t>10.1016/j.jneb.2022.05.008</t>
  </si>
  <si>
    <t>OCT 2022</t>
  </si>
  <si>
    <t>WOS:000929027400010</t>
  </si>
  <si>
    <t>Cattivelli, V</t>
  </si>
  <si>
    <t>Cattivelli, Valentina</t>
  </si>
  <si>
    <t>The contribution of urban garden cultivation to food self-sufficiency in areas at risk of food desertification during the Covid-19 pandemic</t>
  </si>
  <si>
    <t>LAND USE POLICY</t>
  </si>
  <si>
    <t>This paper assesses the contribution made by the cultivation of urban gardens to the food self-sufficiency of mountain municipalities at risk of food desertification during 2020 in South Tyrol (Italy). The pandemic-induced economic downturn and mobility restrictions have left more territories severely exposed to the adverse risk of food desertification. A food desert is a territory where people are food-insecure because of job/income loss or through the absence of food retail facilities. During lockdown, many non-essential firms were forced to close. This meant that many workers, especially those in more precarious positions, lost their jobs, while entrepreneurs had consistent financial shortcomings. Local population mobility was restricted to the municipality of residence, with reduced access to grocery stores outside that area. Disrupted food supply chains and panic buying stimulated short-term food shortages, emptied municipal food stores and meant that supplies often failed to meet local needs. This insecurity left mountain municipalities increasingly vulnerable to desertification. The most food-insecure areas are those that depend heavily on the tourism sector and those with limited access to food retail facilities or other organized forms of food supply in proximity. Their challenges through the period of Covid-19 have heightened questions about their access to food and possible initiatives to increase their food self-sufficiency. Among the initiatives most frequently debated in that period, gardening has been highly valued. This paper contributes to the debate by presenting a Decision Support System (DSS) that calculates the land required for food self-sufficiency in South Tyrolean municipalities and the percentage covered by the production of local urban gardens. The results demonstrate that urban gardens' contribution to local food self-sufficiency is almost insignificant in these municipalities, representing less than 1 % of the municipal needs. Restricting the analysis to self-sufficiency in fruit and vegetable production only, findings derived from the DSS application confirm the insignificance of urban gardens' production levels, which remains below 1 % of the municipal needs.</t>
  </si>
  <si>
    <t>Cattivelli, Valentina/ABD-8946-2020</t>
  </si>
  <si>
    <t>Cattivelli, Valentina/0000-0001-6286-5980</t>
  </si>
  <si>
    <t>0264-8377</t>
  </si>
  <si>
    <t>1873-5754</t>
  </si>
  <si>
    <t>10.1016/j.landusepol.2022.106215</t>
  </si>
  <si>
    <t>WOS:000833001300001</t>
  </si>
  <si>
    <t>Joyner, L; Yagüe, B; Cachelin, A; Rose, J</t>
  </si>
  <si>
    <t>Joyner, Leah; Yague, Blanca; Cachelin, Adrienne; Rose, Jeffrey</t>
  </si>
  <si>
    <t>Farms and gardens everywhere but not a bite to eat? A critical geographic approach to food apartheid in Salt Lake City</t>
  </si>
  <si>
    <t>Through community-engaged research, we investigate how political and economic practices have created food apartheid and the ways in which this legacy complicates efforts toward equitable urban agriculture in Salt Lake City (SLC). The study takes place in SLC's Westside, where an ample number of farms and gardens exist, yet food insecurity is a persistent issue. We partner with a small urban CSA farm operating in a USDA-designated food desert in SLC's Westside to explore the farmers' own questions about whom their farm is serving and the farms' potential to contribute to food justice in their community. Specifically, we examine (1) the member distribution of this urban CSA farm and (2) the underlying socio-political, economic, and geographic factors, such as inequitable access to land, housing, urban agriculture, food, and transportation, that contribute to this distribution. GIS analyses, developed with community partners, reveal spatial patterns between contemporary food insecurity and ongoing socioeconomic disparities matching 1930s residential redlining maps. These data resonate with a critical geo graphic approach to food apartheid and inform a need for deeper and more holistic strategies for food sovereignty through urban agriculture in SLC. While resource constraints may prevent some small farmers from attending to these issues, partnerships in praxis can build capacity and engender opportunities to investigate and disrupt the racial hierarchies enmeshed in federal agricultural policy, municipal zoning, and residential homeownership programs that perpetuate food apartheid.</t>
  </si>
  <si>
    <t>Rose, Jeff/GRN-7868-2022</t>
  </si>
  <si>
    <t>Joyner, Leah/0000-0001-8945-177X; Rose, Jeff/0000-0003-3171-7242</t>
  </si>
  <si>
    <t>10.5304/jafscd.2022.112.013</t>
  </si>
  <si>
    <t>WOS:000779290200001</t>
  </si>
  <si>
    <t>Jacques, AL; Tanner, JP; Smith, MA; Campos, A; Salemi, JL; Sawangkum, P; Fryer, K; Wilson, RE</t>
  </si>
  <si>
    <t>Jacques, Adetola Louis; Tanner, John Paul; Smith, Mary Ann; Campos, Adrianna; Salemi, Jason L.; Sawangkum, Peeraya; Fryer, Kimberly; Wilson, Ronee E.</t>
  </si>
  <si>
    <t>Food Desert Residence Does Not Influence Meeting Maternal Weight Gain Recommendations.</t>
  </si>
  <si>
    <t>Salemi, Jason/IUO-0313-2023; Wilson, Ronee/HJH-7204-2023; Fryer, Kimberly/AAR-5962-2021; Salemi, Jason/N-9492-2013</t>
  </si>
  <si>
    <t>F-209</t>
  </si>
  <si>
    <t>WOS:000762765300585</t>
  </si>
  <si>
    <t>Wolff, G; Slaven, J; Colbert, J; Andres, U; Cook-Mills, J; Kloepfer, K</t>
  </si>
  <si>
    <t>Wolff, Garen; Slaven, James; Colbert, Jay; Andres, Unai; Cook-Mills, Joan; Kloepfer, Kirsten</t>
  </si>
  <si>
    <t>Food Deserts and Lung Function During Early Life</t>
  </si>
  <si>
    <t>AB84</t>
  </si>
  <si>
    <t>WOS:000778999300254</t>
  </si>
  <si>
    <t>Smith, MA; Tanner, JP; Campos, A; Wilson, R; Fryer, K; Jacques, AL</t>
  </si>
  <si>
    <t>Smith, Mary Ann; Tanner, Jean Paul; Campos, Adriana; Wilson, Ronee; Fryer, Kimberly; Jacques, Adetola Louis</t>
  </si>
  <si>
    <t>Food Desert Residence and the Effect on Breastfeeding Initiation</t>
  </si>
  <si>
    <t>CAMPOS, ELBA/HGB-3090-2022; Fryer, Kimberly/AAR-5962-2021; Wilson, Ronee/HJH-7204-2023</t>
  </si>
  <si>
    <t>A199</t>
  </si>
  <si>
    <t>58S</t>
  </si>
  <si>
    <t>WOS:000811070700196</t>
  </si>
  <si>
    <t>Hannallah, A; Naser-Tavakolian, A; Baker, Z; Saker, S; Bajakian, T; Khouzam, N; Freedman, A; Sparks, SS</t>
  </si>
  <si>
    <t>Hannallah, Arthi; Naser-Tavakolian, Aurash; Baker, Zoe; Saker, Shirley; Bajakian, Thalia; Khouzam, Nadine; Freedman, Andrew; Sparks, S. Scott</t>
  </si>
  <si>
    <t>PROXIMITY TO FOOD DESERTS INCREASES RISK OF PEDIATRIC NEPHROLITHIASIS</t>
  </si>
  <si>
    <t>JOURNAL OF UROLOGY</t>
  </si>
  <si>
    <t>MAY 13-16, 2022</t>
  </si>
  <si>
    <t>Amer Urol Assoc</t>
  </si>
  <si>
    <t>0022-5347</t>
  </si>
  <si>
    <t>1527-3792</t>
  </si>
  <si>
    <t>MP17-12</t>
  </si>
  <si>
    <t>E289</t>
  </si>
  <si>
    <t>E290</t>
  </si>
  <si>
    <t>WOS:000836935502156</t>
  </si>
  <si>
    <t>Smith, MA; Jean, TP; Campos, A; Wilson, RE; Jason, SL; Sawangkum, P; Fryer, K; Jacques, AL</t>
  </si>
  <si>
    <t>Smith, Mary Ann; Jean, Tanner Paul; Campos, Adrianna; Wilson, Ronee E.; Jason, Salemi L.; Sawangkum, Peeraya; Fryer, Kimberly; Jacques, Adetola Louis</t>
  </si>
  <si>
    <t>Impact of Food Desert Residence on Peripartum Blood Transfusion Rates.</t>
  </si>
  <si>
    <t>MAR 15-19, 2022</t>
  </si>
  <si>
    <t>Soc Reprod Investigat</t>
  </si>
  <si>
    <t>Wilson, Ronee/HJH-7204-2023; Fryer, Kimberly/AAR-5962-2021</t>
  </si>
  <si>
    <t>F-210</t>
  </si>
  <si>
    <t>WOS:000762765300586</t>
  </si>
  <si>
    <t>Liddell, JL; Kington, SG; Mckinley, CE</t>
  </si>
  <si>
    <t>Liddell, Jessica L.; Kington, Sarah G.; Mckinley, Catherine E.</t>
  </si>
  <si>
    <t>We Live in a Very Toxic World: Changing Environmental Landscapes and Indigenous Food Sovereignty</t>
  </si>
  <si>
    <t>The purpose of this article is to understand how historical oppression has undermined health through environmental injustices that have given rise to food insecurity. Specifically, the article examines ways in which settler colonialism has transformed and contaminated the land itself, impacting the availability and quality of food and the overall health of Indigenous peoples. Food security and environmental justice for Gulf Coast, state-recognized tribes has been infrequently explored. These tribes lack federal recognition and have limited access to recourse and supplemental resources as a result. This research fills an important gap in the literature through exploring the intersection of environmental justice and food insecurity issues for this population. Partnering with a community-advisory board and using a qualitative descriptive methodology, 31 Gulf Coast Indigenous women participated in semi-structured interviews about their healthcare experiences and concerns. Through these interviews, participants expressed concerns about (a) the environmental impacts of pollution on the contamination of food and on the health of tribal members; and (b) the impact of these changes on the land, such as negatively impacting gardening practices. The authors of this study document how environmental changes have compounded these concerns and contribute to the overall pollution of food and water sources and unviability of subsistence practices, severely effecting tribal members' health. In conclusion, we show how social and environmental justice issues such as pollution, industry exploitation, and climate change perpetuate the goals of settler colonialism through undermining cultural practices and the overall health of Indigenous peoples.</t>
  </si>
  <si>
    <t>WOS:001135723800001</t>
  </si>
  <si>
    <t>Metz, JJ; Scherer, SM</t>
  </si>
  <si>
    <t>Metz, John J.; Scherer, Sarah M.</t>
  </si>
  <si>
    <t>The rise and decline of farmers markets in greater Cincinnati</t>
  </si>
  <si>
    <t>Farmers markets can offer solutions to several of the biggest problems besetting the US food system: fair prices to farmers; healthy, fresh food for consumers; direct contacts between consumers and farmers; food for food deserts; support for local economies. Awareness of these benefits led us to study the farmers markets of Greater Cincinnati. Markets grew rapidly in the early 1980s, peaked in 2012, and declined 17% by 2018. Sixty-one percent of the markets that started since 1970 have closed. Two types of markets exist: farmer-focused markets, with farmer vendors, and consumer-focused markets, with farmers and specialist vendors. Detailed information about market management shows that managers, the majority of whom are volunteers or underpaid, have insufficient resources to be sustainable. Market decline is often blamed on an oversupply of markets, but other factors are involved: the inability of market personnel and customers to cross class and racial boundaries; the encroachment of online retailers; a scarcity of farmers; market manager failures. Individual markets need to form coalitions and gain sufficient resources from governments or private funders to employ specialists who can assist managers, expand the consumer base, and design promotion campaigns that effectively promote farmers markets in the changing retail food landscape.</t>
  </si>
  <si>
    <t>Metz, John/0000-0001-6088-0802</t>
  </si>
  <si>
    <t>10.1007/s10460-021-10228-8</t>
  </si>
  <si>
    <t>WOS:000661781900001</t>
  </si>
  <si>
    <t>Titis, E; Procter, R; Walasek, L</t>
  </si>
  <si>
    <t>Titis, Elzbieta; Procter, Rob; Walasek, Lukasz</t>
  </si>
  <si>
    <t>Assessing physical access to healthy food across United Kingdom: A systematic review of measures and findings</t>
  </si>
  <si>
    <t>Background: Existing research suggests that physical access to food can affect diet quality and thus obesity rates. When defining retail food environment (RFE) quantitatively, there is a little agreement on how to measure lack of healthy food and what parameters to use, resulting in a heterogeneity of study designs and outcome measures. In turn, this leads to a conflicting evidence base being one of the many barriers to using evidence in policy-making. Aims: This systematic review aimed to identify and describe methods used to assess food accessibility in the United Kingdom (UK) to overcome heterogeneity by providing a classification of measures. Materials &amp; Methods: The literature search included electronic and manual searches of peer-reviewed literature and was restricted to studies published in English between January 2010 and March 2021. A total of 9365 articles were assessed for eligibility, of which 44 articles were included in the review. All included studies were analysed with regards to their main characteristics (e.g., associations between variables of interest, setting, sample, design, etc.) and definition of RFE and its metrics. When defining these metrics, the present review distinguishes between a point of origin (centroid, address) from which distance was calculated, summary statistic of accessibility (proximity, buffer, Kernel), and definition of distance (Euclidean, network distance). Trends, gaps and limitations are identified and recommendations made for food accessibility research in UK. Results: Multiple theoretical and methodological constructs are currently used, mostly quantifying distance by means of Euclidean and ring-buffer distance, using both proximity- and density-based approaches, and ranging from absolute to relative measures. The association between RFE and diet and health in rural areas, as well as a spatiotemporal domain of food access, remains largely unaccounted. Discussion: Evidence suggests that the duration of exposure may bear a greater importance than the level of exposure and that density-based measures may better capture RFE when compared with proximity-based measures, however, using more complex measures not necessarily produce better results. To move the field forward, studies have called for a greater focus on causality, individual access and the use of various measures, neighbourhood definitions and potential confounders to capture different aspects and dimensions of the RFE, which requires using univariate measures of accessibility and considering the overall context in terms of varying types of neighbourhoods. Conclusion: In order to render ongoing heterogeneity in measuring RFE, researchers should prioritise measures that may provide a more accurate and realistic account of people's lives and follow an intuitive approach based on convergence of results until consensus could be reached on using some useful standards.</t>
  </si>
  <si>
    <t>Walasek, Lukasz/AEO-4445-2022</t>
  </si>
  <si>
    <t>Walasek, Lukasz/0000-0002-7360-0037; Procter, Rob/0000-0001-8059-5224; , Elisabeth/0000-0003-0389-4137</t>
  </si>
  <si>
    <t>10.1002/osp4.563</t>
  </si>
  <si>
    <t>SEP 2021</t>
  </si>
  <si>
    <t>WOS:000696103900001</t>
  </si>
  <si>
    <t>Malone, M</t>
  </si>
  <si>
    <t>Malone, Melanie</t>
  </si>
  <si>
    <t>Seeking justice, eating toxics: overlooked contaminants in urban community gardens</t>
  </si>
  <si>
    <t>Over the past several decades, urban community gardens have arisen in diverse and economically compromised neighborhoods across the U.S. as part of multiple environmental justice efforts. Urban community gardens have enabled users to mitigate the effects of many environmental injustices such as the impact of food deserts, nutrient poor food found at convenience stores, and pesticide laden grocery items. While these benefits have promulgated across the U.S., community gardens are also well known to be located in historically contaminated locations in urban landscapes. These landscapes include former brownfield sites, superfund sites, and other abandoned spaces of contamination. Although environmental justice efforts to reclaim healthy food in urban community gardens are commendable, the presence and effects of potentially harmful contaminants is often overlooked as gardens are established. Further, governmental organizations tasked with protecting human health, such as the Environmental Protection Agency, have not established any health standards for urban community gardens. This creates many challenges in determining what is safe in community gardens, and garden mangers and users are often unaware of how severe the impacts of contamination may be or how to mitigate its effects. In this study, I highlight the prevalence of harmful concentrations of contaminants in urban community gardens in and near Seattle, Washington that are managed with organic practices. I then present the challenges and barriers to gardening in contaminated spaces. Finally, I make recommendations to address contamination in gardens spaces, and call for better regulatory standards and other forms of support to mitigate risk to users.</t>
  </si>
  <si>
    <t>Malone, Melanie/0000-0001-7054-0924</t>
  </si>
  <si>
    <t>10.1007/s10460-021-10236-8</t>
  </si>
  <si>
    <t>WOS:000667907400001</t>
  </si>
  <si>
    <t>McCullough, ML; Chantaprasopsuk, S; Islami, F; Rees-Punia, E; Um, CY; Wang, Y; Leach, CR; Sullivan, KR; Patel, AV</t>
  </si>
  <si>
    <t>McCullough, Marjorie L.; Chantaprasopsuk, Sicha; Islami, Farhad; Rees-Punia, Erika; Um, Caroline Y.; Wang, Ying; Leach, Corinne R.; Sullivan, Kristen R.; Patel, Alpa, V</t>
  </si>
  <si>
    <t>Association of Socioeconomic and Geographic Factors With Diet Quality in US Adults</t>
  </si>
  <si>
    <t>IMPORTANCE Poor diet quality is a key factor associated with obesity and chronic disease. Understanding associations of socioeconomic and geographic factors with diet quality can inform public health and policy efforts for advancing health equity. OBJECTIVE To identify socioeconomic and geographic factors associated with diet quality in a large US cohort study. DESIGN, SETTING. AND PARTICIPANTS This cross-sectional study included adult men and women who enrolled in the Cancer Prevention Study-3 at American Cancer Society community events in 35 US states, the District of Columbia, and Puerto Rico between 2006 and 2013. Participants completed a validated food frequency questionnaire between 2015 and 2017. Data were analyzed from February to November 2021. EXPOSURES The main exposures included self-reported race and ethnicity, education, and household income. Geocoded addresses were used to classify urbanization level using Rural-Urban Commuting Area codes; US Department of Agriculture's Food Access Research Atlas database classified residence in food desert. MAIN OUTCOMES AND MEASURES Poor diet quality was defined as lowest quartile of dietary concordance with the 2020 American Cancer Society recommendations for cancer prevention score, based on sex-specific intake categories of vegetables and legumes, whole fruits, whole grains, red and processed meat, highly processed foods and refined grains, and sugar-sweetened beverages. RESULTS Among 155 331 adults, 123 115 were women (79.3%). and the mean (SD) age was 52 (9.7) years), and there were 1408 American Indian or Alaskan Native individuals (0.9%); 2721 Asian, Native Hawaiian. or Pacific Islander individuals (1.8%); 3829 Black individuals (2.5%); 7967 Hispanic individuals (5.1%); and 138 166 White individuals (88.9%). All key exposures assessed were statistically significantly and independently associated with poor diet quality. Compared with White participants, Black participants had a 16% (95% CI, 8%-25%) higher risk of poor diet quality, while Hispanic/Latino had 16% (95% CI, 12%-21%) lower risk and Asian. Native Hawaiian. and Pacific Islander participants had 33% (95% CI, 26%-40%) lower risk of poor diet quality. After controlling for other characteristics, rural residence was associated with a 61% (95% CI. 48%-75%) higher risk of poor diet quality, and living in a food desert was associated with a 17% (95% CI, 12%-22%) higher risk. Associations of income with diet quality and education with diet quality varied by race and ethnicity (income: P for interaction = .01; education: P for interaction &lt; .001). All diet score components were associated with disparities observed. CONCLUSIONS AND RELEVANCE This cross-sectional study found that multiple individual-level socioeconomic and geographic variables were independently associated with poor diet quality among a large, racially and ethnically and geographically diverse US cohort. These findings could help to identify groups at highest risk of outcomes associated with poor diet to inform future approaches for advancing health equity.</t>
  </si>
  <si>
    <t>Islami, Farhad/AGT-2221-2022; Wang, Ying/K-4705-2014; Rees-Punia, Erika/GRO-3693-2022</t>
  </si>
  <si>
    <t>Rees-Punia, Erika/0000-0003-1121-1578</t>
  </si>
  <si>
    <t>JUN 9</t>
  </si>
  <si>
    <t>e2216406</t>
  </si>
  <si>
    <t>10.1001/jamanetworkopen.2022.16406</t>
  </si>
  <si>
    <t>WOS:000809213500011</t>
  </si>
  <si>
    <t>Bennion, N; Redelfs, AH; Spruance, L; Benally, S; Sloan-Aagard, C</t>
  </si>
  <si>
    <t>Bennion, Natalie; Redelfs, Alisha H.; Spruance, Lori; Benally, Shelby; Sloan-Aagard, Chantel</t>
  </si>
  <si>
    <t>Driving Distance and Food Accessibility: A Geospatial Analysis of the Food Environment in the Navajo Nation and Border Towns</t>
  </si>
  <si>
    <t>FRONTIERS IN NUTRITION</t>
  </si>
  <si>
    <t>The Navajo Nation, an area home to approximately 173,000 people in the southwest United States, experiences the highest rates of food insecurity in the United States and is classified as a food desert. The present study assessed the accessibility to food outlets (grocery stores, convenience stores, and restaurants) as measured by driving time on the Navajo Nation and in selected surrounding border towns. Food outlets located in neighboring border towns were examined using network analysis tools in ArcGIS Pro to calculate driving distance and examine the potential impact of driving time within the Navajo Nation on accessibility to nutritious foods. There were 14 grocery stores, 21 convenience stores, and 65 restaurants identified in the Navajo Nation using Mergent Intellect, a proprietary database, as compared to border towns which had a total of 542 grocery stores, 762 convenience stores, and 3,329 restaurants equaling a ratio of about 50:1 (grocery, 39:1; convenience, 36:1; restaurants, 51:1) when comparing food outlets nearby versus on the Navajo Nation. This ecological study presents a visual representation of driving time and food accessibility, revealing geographic areas within the Navajo Nation where access to border town food stores is sparse, and food insecurity may be elevated.</t>
  </si>
  <si>
    <t>Redelfs, Alisha/J-4903-2019; Sloan-Aagard, Chantel/GWC-7572-2022</t>
  </si>
  <si>
    <t>Redelfs, Alisha H/0000-0002-3533-6044</t>
  </si>
  <si>
    <t>2296-861X</t>
  </si>
  <si>
    <t>JUL 7</t>
  </si>
  <si>
    <t>10.3389/fnut.2022.904119</t>
  </si>
  <si>
    <t>WOS:000829785400001</t>
  </si>
  <si>
    <t>Liddell, JL; Kington, SG; McKinley, CE</t>
  </si>
  <si>
    <t>Liddell, Jessica L.; Kington, Sarah G.; McKinley, Catherine E.</t>
  </si>
  <si>
    <t>Liddell, Jessica/S-1381-2018</t>
  </si>
  <si>
    <t>WOS:000884465000001</t>
  </si>
  <si>
    <t>El-Zein, RS; Fu, ZX; Gosch, K; Bunte, MC</t>
  </si>
  <si>
    <t>El-Zein, Rayan S.; Fu, Zhuxuan; Gosch, Kensey; Bunte, Matthew C.</t>
  </si>
  <si>
    <t>Living in food deserts and major adverse limb events in patients with peripheral artery disease</t>
  </si>
  <si>
    <t>VASCULAR MEDICINE</t>
  </si>
  <si>
    <t>fu, zhuxuan/ABB-2107-2021</t>
  </si>
  <si>
    <t>1358-863X</t>
  </si>
  <si>
    <t>1477-0377</t>
  </si>
  <si>
    <t>WOS:000923957000067</t>
  </si>
  <si>
    <t>Freeman, C; Stanhope, KK; Wichmann, H; Jamieson, DJ; Boulet, SL</t>
  </si>
  <si>
    <t>Freeman, Christian; Stanhope, Kaitlyn K.; Wichmann, Hannah; Jamieson, Denise J.; Boulet, Sheree L.</t>
  </si>
  <si>
    <t>Neighborhood deprivation and severe maternal morbidity in a medicaid-Insured population in Georgia</t>
  </si>
  <si>
    <t>Background Despite growing acceptance of the role of context in shaping perinatal risk, data on how neighborhood factors may identify high-risk obstetric patients is limited. In this study, we evaluated the effect of neighborhood deprivation and neighborhood racial composition on severe maternal morbidity (SMM) among persons delivered in a large public health system in Atlanta, Georgia. Methods We conducted a population cohort study using electronic medical record data on all deliveries at Grady Memorial Hospital during 2011-2020. Using residential zip codes, we calculated neighborhood deprivation index based on data from the US Census. We used log-binomial regression with generalized estimating equations to estimate crude and adjusted relative risks (aRR) and 95% confidence intervals (CI) for the association between tertile of neighborhood deprivation and SMM, adjusting for demographic, clinical, and neighborhood-level (racial composition, food desert, and transit access) covariates. Results Among 25,257 deliveries, 6.2% (1566) experienced SMM. Approximately 24.0%, 32.0%, and 44.0% of women lived in the lowest, middle, and highest tertile of neighborhood deprivation, respectively and 64.9% lived in a neighborhood with majority non-Hispanic Black residents. After adjustment, there was no association between neighborhood deprivation and SMM (aRR: 1.0 (0.8, 1.1)) or residence in a majority Black neighborhood and SMM (aRR:1.0 (0.9, 1.2)). Conclusion In this safety-net hospital, residence in a high deprivation or majority Black neighborhood did not predict SMM at or following delivery. Individual-level social determinants may better explain variation in risk, particularly in high-burden populations.</t>
  </si>
  <si>
    <t>Boulet, Sheree/IWU-4605-2023; Kerisey, Kaitlyn/ABE-5436-2021</t>
  </si>
  <si>
    <t>Stanhope, Kaitlyn/0000-0003-1540-3059</t>
  </si>
  <si>
    <t>10.1080/14767058.2022.2118045</t>
  </si>
  <si>
    <t>AUG 2022</t>
  </si>
  <si>
    <t>WOS:000847304800001</t>
  </si>
  <si>
    <t>Esmalian, A; Coleman, N; Yuan, FX; Xiao, X; Mostafavi, A</t>
  </si>
  <si>
    <t>Esmalian, Amir; Coleman, Natalie; Yuan, Faxi; Xiao, Xin; Mostafavi, Ali</t>
  </si>
  <si>
    <t>Characterizing equitable access to grocery stores during disasters using location-based data</t>
  </si>
  <si>
    <t>SCIENTIFIC REPORTS</t>
  </si>
  <si>
    <t>Natural hazards cause disruptions in access to critical facilities, such as grocery stores, impeding residents' ability to prepare for and cope with hardships during the disaster and recovery; however, disrupted access to critical facilities is not equal for all residents of a community. In this study, we examine disparate access to grocery stores in the context of the 2017 Hurricane Harvey in Harris County, Texas. We utilized high-resolution location-based datasets in implementing spatial network analysis and dynamic clustering techniques to uncover the overall disparate access to grocery stores for socially vulnerable populations during different phases of the disaster. Three access indicators are examined using network-centric measures: number of unique stores visited, average trip time to stores, and average distance to stores. These access indicators help us capture three dimensions of access: redundancy, rapidity, and proximity. The findings show the insufficiency of focusing merely on the distributional factors, such as location in a food desert and number of facilities, to capture the disparities in access, especially during the preparation and impact/short-term recovery periods. Furthermore, the characterization of access by considering combinations of access indicators reveals that flooding disproportionally affects socially vulnerable populations. High-income areas have better access during the preparation period as they are able to visit a greater number of stores and commute farther distances to obtain supplies. The conclusions of this study have important implications for urban development (facility distribution), emergency management, and resource allocation by identifying areas most vulnerable to disproportionate access impacts using more equity-focused and data-driven approaches.</t>
  </si>
  <si>
    <t>Mostafavi, Ali/R-2133-2018; Fan, Chao/AAM-2182-2020; Yuan, Faxi/J-3343-2019; Coleman, Natalie/HSI-4129-2023</t>
  </si>
  <si>
    <t>Coleman, Natalie/0000-0001-6779-5440</t>
  </si>
  <si>
    <t>2045-2322</t>
  </si>
  <si>
    <t>NOV 23</t>
  </si>
  <si>
    <t>10.1038/s41598-022-23532-y</t>
  </si>
  <si>
    <t>WOS:000888059000009</t>
  </si>
  <si>
    <t>Trude, ACB; Lowery, CM; Ali, SH; Vedovato, GM</t>
  </si>
  <si>
    <t>Trude, Angela C. B.; Lowery, Caitlin M.; Ali, Shahmir H.; Vedovato, Gabriela M.</t>
  </si>
  <si>
    <t>An equity-oriented systematic review of online grocery shopping among low-income populations: implications for policy and research</t>
  </si>
  <si>
    <t>Context Online grocery services are an emerging component of the food system with the potential to address disparities in access to healthy food. Objective We assessed the barriers and facilitators of equitable access to healthy foods in the online grocery environment, and the psychosocial, purchasing, and dietary behaviors related to its use among low-income, diverse populations. Data Sources Four electronic databases were searched to identify relevant literature; 16 studies were identified. Results Barriers to equitable access to healthy food included cost and limited availability of online grocery services in food deserts and rural areas. The expansion of online grocery services and the ability to use nutrition assistance benefits online were equity-promoting factors. Perceived low control over food selection was a psychosocial factor that discouraged online grocery use, whereas convenience and lower perceived stress were facilitators. Findings were mixed regarding healthfulness of foods purchased online. Although few studies assessed diet, healthy food consumption was associated with online grocery use. Conclusion Researchers should assess the impact of online grocery shopping on low-income families' food purchases and diet. Systematic Review Registration PROSPERO registration no. CRD: 42021240277</t>
  </si>
  <si>
    <t>Lowery, Caitlin/AHE-3317-2022; Ali, Shahmir/G-4495-2018; Milhassi Vedovato, Gabriela/J-4221-2017</t>
  </si>
  <si>
    <t>Milhassi Vedovato, Gabriela/0000-0003-1640-0888; TRUDE, ANGELA/0000-0002-2881-1089; Lowery, Caitlin/0000-0001-7450-6248</t>
  </si>
  <si>
    <t>10.1093/nutrit/nuab122</t>
  </si>
  <si>
    <t>WOS:000812840000020</t>
  </si>
  <si>
    <t>Sahinyazan, FG; Araz, OM</t>
  </si>
  <si>
    <t>Sahinyazan, Feyza G.; Araz, Ozgur M.</t>
  </si>
  <si>
    <t>An alternative vaccine prioritization approach in response to COVID-19 pandemic</t>
  </si>
  <si>
    <t>JOURNAL OF HUMANITARIAN LOGISTICS AND SUPPLY CHAIN MANAGEMENT</t>
  </si>
  <si>
    <t>Purpose The purpose of this study is to evaluate the impact of food access and other vulnerability measures on the COVID-19 progression to inform the public health decision-makers while setting priority rules for vaccine schedules. Design/methodology/approach In this paper, the authors used the Supplemental Nutrition Assistance Program (SNAP) data combined with the Centers for Disease Control and Prevention (CDC)'s social vulnerability score variables and diabetes and obesity prevalence in a set of models to assess the associations with the COVID-19 prevalence and case-fatality rates in the United States (US) counties. Using the case prevalence estimates provided by these models, the authors developed a COVID-19 vulnerability score. The COVID-19 vulnerability score prioritization is then compared with the pro-rata approach commonly used for vaccine distribution. Findings The study found that the population proportion residing in a food desert is positively correlated with the COVID-19 prevalence. Similarly, the population proportion registered to SNAP is positively correlated with the COVID-19 prevalence. The findings demonstrate that commonly used pro-rata vaccine allocation can overlook vulnerable communities, which can eventually create disease hot-spots. Practical implications The proposed methodology provides a rapid and effective vaccine prioritization scoring. However, this scoring can also be considered for other humanitarian programs such as food aid and rapid test distribution in response to the current and future pandemics. Originality/value Humanitarian logistics domain predominantly relies on equity measures, where each jurisdiction receives resources proportional to their population. This study provides a tool to rapidly identify and prioritize vulnerable communities while determining vaccination schedules.</t>
  </si>
  <si>
    <t>Sahinyazan, Feyza G./ACU-0302-2022</t>
  </si>
  <si>
    <t>Sahinyazan, Feyza Guliz/0000-0002-2124-646X</t>
  </si>
  <si>
    <t>2042-6747</t>
  </si>
  <si>
    <t>2042-6755</t>
  </si>
  <si>
    <t>NOV 21</t>
  </si>
  <si>
    <t>10.1108/JHLSCM-02-2022-0029</t>
  </si>
  <si>
    <t>WOS:000817859400001</t>
  </si>
  <si>
    <t>Belgium</t>
  </si>
  <si>
    <t>Smets, V; Vandevijvere, S</t>
  </si>
  <si>
    <t>Smets, V.; Vandevijvere, S.</t>
  </si>
  <si>
    <t>The changing landscape of food deserts and swamps in Flanders, Belgium</t>
  </si>
  <si>
    <t>1464-360X</t>
  </si>
  <si>
    <t>ckac129.7</t>
  </si>
  <si>
    <t>WOS:000895463400759</t>
  </si>
  <si>
    <t>Gustafson, A; Gillespie, R; DeWitt, E; Cox, B; Dunaway, B; Haynes-Maslow, L; Steeves, EA; Trude, ACB</t>
  </si>
  <si>
    <t>Gustafson, Alison; Gillespie, Rachel; DeWitt, Emily; Cox, Brittany; Dunaway, Brynnan; Haynes-Maslow, Lindsey; Steeves, Elizabeth Anderson; Trude, Angela C. B.</t>
  </si>
  <si>
    <t>Online Pilot Grocery Intervention among Rural and Urban Residents Aimed to Improve Purchasing Habits</t>
  </si>
  <si>
    <t>Online grocery shopping has the potential to improve access to food, particularly among low-income households located in urban food deserts and rural communities. The primary aim of this pilot intervention was to test whether a three-armed online grocery trial improved fruit and vegetable (F&amp;V) purchases. Rural and urban adults across seven counties in Kentucky, Maryland, and North Carolina were recruited to participate in an 8-week intervention in fall 2021. A total of 184 adults were enrolled into the following groups: (1) brick-and-mortar BM (control participants only received reminders to submit weekly grocery shopping receipts); (2) online-only with no support O (participants received weekly reminders to grocery shop online and to submit itemized receipts); and (3) online shopping with intervention nudges O+I (participants received nudges three times per week to grocery shop online, meal ideas, recipes, Facebook group support, and weekly reminders to shop online and to submit itemized receipts). On average, reported food spending on F/V by the O+I participants was USD 6.84 more compared to the BM arm. Online shopping with behavioral nudges and nutrition information shows great promise for helping customers in diverse locations to navigate the increasing presence of online grocery shopping platforms and to improve F&amp;V purchases.</t>
  </si>
  <si>
    <t>TRUDE, ANGELA/0000-0002-2881-1089; Gustafson, Alison/0000-0003-1704-8695; DeWitt, Emily/0000-0003-2018-5922; Haynes-Maslow, Lindsey/0000-0001-9571-1478; Gillespie, Rachel/0000-0003-1860-6652</t>
  </si>
  <si>
    <t>10.3390/ijerph19020871</t>
  </si>
  <si>
    <t>WOS:000747108700001</t>
  </si>
  <si>
    <t>Agarwal, S; Fertig, AR; Trofholz, AC; Tate, AD; Robinson, J; Berge, JM</t>
  </si>
  <si>
    <t>Agarwal, Sarthak; Fertig, Angela R.; Trofholz, Amanda C.; Tate, Allan D.; Robinson, Jenna; Berge, Jerica M.</t>
  </si>
  <si>
    <t>Exploring the associations between neighbourhood food environment, household food insecurity and child weight-related outcomes in socio-economically and racially/ethnically diverse families</t>
  </si>
  <si>
    <t>Objective: To examine associations among neighbourhood food environments (NFE), household food insecurity (HFI) and child's weight-related outcomes in a racially/ethnically diverse sample of US-born and immigrant/refugee families. Design: This cross-sectional, observational study involving individual and geographic-level data used multilevel models to estimate associations between neighbourhood food environment and child outcomes. Interactions between HFI and NFE were employed to determine whether HFI moderated the association between NFE and child outcomes and whether the associations differed for US-born v. immigrant/refugee groups. Setting: The sample resided in 367 census tracts in the Minneapolis/St. Paul, MN metropolitan area, and the data were collected in 2016-2019. Participants: The sample was from the Family Matters study of families (n 1296) with children from six racial/ethnic and immigrant/refugee groups (African American, Latino, Hmong, Native American, Somali/Ethiopian and White). Results: Living in a neighbourhood with low perceived access to affordable fresh fruits and vegetables was found to be associated with lower food security (P &lt; 0 center dot 01), poorer child diet quality (P &lt; 0 center dot 01) and reduced availability of a variety of fruits (P &lt; 0 center dot 01), vegetables (P &lt; 0 center dot 05) and whole grains in the home (P &lt; 0 center dot 01). Moreover, residing in a food desert was found to be associated with a higher child BMI percentile if the child's household was food insecure (P &lt; 0 center dot 05). No differences in associations were found for immigrant/refugee groups. Conclusions: Poor NFE were associated with worse weight-related outcomes for children; the association with weight was more pronounced among children with HFI. Interventions aiming to improve child weight-related outcomes should consider both NFE and HFI.</t>
  </si>
  <si>
    <t>Fertig, Angela/U-1569-2019</t>
  </si>
  <si>
    <t>Fertig, Angela/0000-0002-5240-3800; Berge, Jerica/0000-0003-3371-351X; Tate, Allan/0000-0001-6039-2868</t>
  </si>
  <si>
    <t>PII S1368980022002130</t>
  </si>
  <si>
    <t>10.1017/S1368980022002130</t>
  </si>
  <si>
    <t>WOS:000871763700001</t>
  </si>
  <si>
    <t>Rockwell, CA; Crow, A; Guimaraes, ER; Recinos, E; La Belle, D</t>
  </si>
  <si>
    <t>Rockwell, Cara A.; Crow, Alex; Guimaraes, Erika R.; Recinos, Eduardo; La Belle, Deborah</t>
  </si>
  <si>
    <t>Species Richness, Stem Density, and Canopy in Food Forests: Contributions to Ecosystem Services in an Urban Environment</t>
  </si>
  <si>
    <t>URBAN PLANNING</t>
  </si>
  <si>
    <t>Food forests expand the traditional concepts of urban forestry and agriculture, providing a broad diversity of tree-related ecosystem services and goods. Even though food forest systems bridge an obvious gap between agriculture and forestry, their potential value in the urban landscape is often undervalued. The inclusion of edible species in urban forest stands can enhance nutrition and well-being in the urban landscape, where food deserts are common. The potential for ecosystem services is especially pronounced in subtropical and tropical regions, where there is a heightened need for shade due to climate change-related heat waves. For this study, we investigated the tree species richness, stem density, and canopy cover provided by food forest gardens in 10 Miami-Dade County, Florida public schools located in the urban landscape. We compared results with neighboring properties around the schools and discovered that the food forest canopy was comparable with neighborhood urban tree cover. Additionally, we established that arborescent species richness (including an increase in edible taxa) and stem density was higher in food forests than in adjacent neighborhood plots. We posit that local food production could be enhanced by planting edible species in small spaces (e.g., empty lots or residential yards), as opposed to focusing on just ornamental taxa or recommended street trees. Our study highlights the importance of using mixed edible tree species plantings (especially with consideration to provisioning, regulating, and supporting services), potentially meeting urban forestry and agricultural goals proposed by urban planners and managers.</t>
  </si>
  <si>
    <t>Rockwell, Cara/0000-0003-4873-2529</t>
  </si>
  <si>
    <t>2183-7635</t>
  </si>
  <si>
    <t>10.17645/up.v7i2.5135</t>
  </si>
  <si>
    <t>WOS:000806794600003</t>
  </si>
  <si>
    <t>Baier, JL; Palmer, SM; Winham, DM; Shelley, MC</t>
  </si>
  <si>
    <t>Baier, Jenny L.; Palmer, Shelly M.; Winham, Donna M.; Shelley, Mack C.</t>
  </si>
  <si>
    <t>Development of a Nutrition Environment Assessment Tool for Latino Ethnic Stores</t>
  </si>
  <si>
    <t>The objectives were to: (1) adapt the Nutrition Environment Measures Survey for Stores (NEMS-S) to better culturally fit small Latino grocery stores (tiendas) in Iowa; (2) assess the newly adapted Latino NEMS-S for inter-rater and test-retest reliability; and (3) compare Latino and original NEMS-S summary scores. This pilot instrument, containing culturally appropriate foods from the original NEMS-S and 2015 US Dietary Guidelines for Americans, underwent two rounds of formative evaluation. The new instrument and scoring protocol were applied to a random sample of 42 of 81 possible tiendas in Iowa. Cohen's kappa was used to assess inter-rater and test-retest reliability for availability and quality of indicator food items (total scores and food category sub scores). There were no differences in summary scores for inter-rater or test-retest reliability using paired t-tests. Inter-rater agreement was high (range 0.82-1.00; p &lt; 0.001). Tiendas averaged 42.0 +/- 7.5 of 57 possible points on the Latino NEMS-S, but only 12.0 +/- 4.6 of 54 points on the original NEMS-S (p &lt; 0.001). The Latino NEMS-S is a reliable tool for assessing the food environment within Iowa tiendas. Culturally specific instruments can describe diverse food environments more accurately and guide public health nutrition interventions within communities.</t>
  </si>
  <si>
    <t>; Winham, Donna/B-2091-2014</t>
  </si>
  <si>
    <t>, Shelly Palmer/0000-0002-8293-1137; Winham, Donna/0000-0003-3924-2560; Shelley, Mack/0000-0002-0414-5843</t>
  </si>
  <si>
    <t>10.3390/ijerph19031860</t>
  </si>
  <si>
    <t>WOS:000759831100001</t>
  </si>
  <si>
    <t>Masdor, NA; Nawi, AM; Hod, R; Wong, ZQ; Makpol, S; Chin, SF</t>
  </si>
  <si>
    <t>Masdor, Noor Azreen; Nawi, Azmawati Mohammed; Hod, Rozita; Wong, Zhiqin; Makpol, Suzana; Chin, Siok-Fong</t>
  </si>
  <si>
    <t>The Link between Food Environment and Colorectal Cancer: A Systematic Review</t>
  </si>
  <si>
    <t>Food and diet are critical risk factors for colorectal cancer (CRC). Food environments (FEs) can contribute to disease risk, including CRC. This review investigated the link between FEs and CRC incidence and mortality risk. The systematic search of studies utilised three primary journal databases: PubMed, Scopus, and Web of Science. Retrieved citations were screened and the data were extracted from articles related to the FE-exposed populations who were at risk for CRC and death. We evaluated ecological studies and cohort studies with quality assessment and the Newcastle-Ottawa Quality Assessment Form for Cohort Studies, respectively. A descriptive synthesis of the included studies was performed. Out of 89 articles identified, eight were eligible for the final review. The included studies comprised six ecological studies and two cohort studies published from 2013 to 2021. Six articles were from the US, one was from Africa, and one was from Switzerland. All eight studies were of good quality. The significant finding was that CRC incidence was associated with the availability of specific foods such as red meat, meat, animal fats, energy from animal sources, and an unhealthy FE. Increased CRC mortality was linked with the availability of animal fat, red meat, alcoholic beverages, and calorie food availability, residence in food deserts, and lower FE index. There were a variety of associations between CRC and the FE. The availability of specific foods, unhealthy FE, and food desserts impact CRC incidence and mortality. Creating a healthy FE in the future will require focus and thorough planning.</t>
  </si>
  <si>
    <t>Makpol, Suzana/AAN-4709-2021; Nawi, Azmawati/AAA-6220-2019; MASDOR, NOOR AZREEN/ABB-9111-2021; ., Rozita/Q-4249-2019</t>
  </si>
  <si>
    <t>Masdor, Noor Azreen/0000-0001-6788-9420; Hod, Rozita/0000-0001-8645-1723; Mohammed Nawi, Azmawati/0000-0002-0009-5244</t>
  </si>
  <si>
    <t>10.3390/nu14193954</t>
  </si>
  <si>
    <t>WOS:000866950800001</t>
  </si>
  <si>
    <t>WOS:001128318500013</t>
  </si>
  <si>
    <t>Riediger, ND; Dahl, L; Biradar, RA; Mudryj, AN; Torabi, M</t>
  </si>
  <si>
    <t>Riediger, Natalie D.; Dahl, Lindsey; Biradar, Rajeshwari A.; Mudryj, Adriana N.; Torabi, Mahmoud</t>
  </si>
  <si>
    <t>A descriptive analysis of food pantries in twelve American states: hours of operation, faith-based affiliation, and location</t>
  </si>
  <si>
    <t>Background: Our objectives were to describe both the development, and content, of a charitable food dataset that includes geographic information for food pantries in 12 American states. Methods: Food pantries were identified from the website for 12 states, which were linked to state-, county-, and census-level demographic information. The publicly available 2015 Food Access Research Atlas and the 2010 US Census of Population and Housing were used to obtain demographic information of each study state. We conducted a descriptive analysis and chi-square tests were used to test for differences in patterns of food pantries according to various factors. Results: We identified 3777 food pantries in 12 US states, providing an estimated 4.84 food pantries per 100,000 people, but ranged from 2.60 to 7.76 within individual states. The majority of counties (61.2%) had at least one food pantry. In contrast, only 15.7% of all census tracts in the study states had at least one food pantry. A higher proportion of urban census tracts had food pantries compared to rural tracts. We identified 2388 (63.2%) as being faith-based food pantries. More than a third (34.4%) of food pantries did not have information on their days of operation available. Among the food pantries displaying days of operation, 78.1% were open at least once per week. Only 13.6% of food pantries were open &lt;= 1 day per month. Conclusions: The dataset developed in this study may be linked to food access and food environment data to further examine associations between food pantries and other aspects of the consumer food system (e.g. food deserts) and population health from a systems perspective. Additional linkage with the U.S. Religion Census Data may be useful to examine associations between church communities and the spatial distribution of food pantries.</t>
  </si>
  <si>
    <t>Riediger, Natalie/0000-0002-8736-9446</t>
  </si>
  <si>
    <t>MAR 17</t>
  </si>
  <si>
    <t>10.1186/s12889-022-12847-0</t>
  </si>
  <si>
    <t>WOS:000770313300002</t>
  </si>
  <si>
    <t>James, KA; Calanan, R; Macaluso, F; Li, YQ; Levinson, AH</t>
  </si>
  <si>
    <t>James, Katherine A.; Calanan, Renee; Macaluso, Francesca; Li, Yaqiang; Levinson, Arnold H.</t>
  </si>
  <si>
    <t>Convenience and corner store fruit and vegetable access: attitudes and intentions among Colorado adults, 2014</t>
  </si>
  <si>
    <t>JOURNAL OF PUBLIC HEALTH-HEIDELBERG</t>
  </si>
  <si>
    <t>Aim The termfood desertgenerally refers to areas where healthy food options, such as fresh fruits and vegetables, are unavailable within a certain number of miles. However, other factors besides distance may affect the ability to purchase healthier foods. The goal of this study was to understand Colorado adults' perceptions of their access to healthy food options and to assess how other structural and socio-demographic factors may affect that access. Subject and methods Colorado adults were asked questions about self-reported access to healthy food, likelihood of buying fresh fruits and vegetables from convenience/corner stores if available, perceived characteristics of fruits and vegetables available for purchase near respondents' residence, and demographics. Results A majority of Colorado adults in 2013-14 reported wanting fresh fruits and vegetables to be more available, more varied, higher quality, and/or less expensive. Socioeconomic status, race/ethnicity, and regular shopping habits were significantly associated with reported likelihood of purchasing fruits and vegetables from a convenience/corner store if available. Conclusion Factors other than proximity to a grocery store affect Colorado adults' perceived access to healthy food options and should be considered in the development and implementation of public health programs and policies geared toward improving healthy food access.</t>
  </si>
  <si>
    <t>Levinson, Arnold/L-3274-2013</t>
  </si>
  <si>
    <t>2198-1833</t>
  </si>
  <si>
    <t>1613-2238</t>
  </si>
  <si>
    <t>10.1007/s10389-020-01358-0</t>
  </si>
  <si>
    <t>WOS:000549672700003</t>
  </si>
  <si>
    <t>Villa, LK; Murugesan, SB; Phillips, LA; Drake, AJ; Smith, NA</t>
  </si>
  <si>
    <t>Villa, Lily K.; Bharathi Murugesan, Shakthi; Phillips, Lora A.; Drake, Alexandria J.; Smith, Nathan A.</t>
  </si>
  <si>
    <t>Mobile Pantries Can Serve the Most Food Insecure Populations</t>
  </si>
  <si>
    <t>Purpose: Food insecurity is an urgent crisis in the United States, with one in nine people lacking a consistent source of the food necessary for an active and healthy lifestyle. This crisis is particularly dire in Maricopa County, Arizona, where 1 in 5 children experience food insecurity, and &gt;1 in 10 residents experience poverty. Mobile food pantries offer an additional resource to address food insecurity; however, there is minimal knowledge about how communities utilize these food distributors.Background: Research on the elderly (people &gt;60 years) and immigrant populations shows that these populations are especially vulnerable to food insecurity. The risk these groups face is compounded in Maricopa County, the 15th largest county in the country with minimal public transit to extant resources. Mobile food pantries offer one solution to this issue, bringing groceries and other important items directly to communities.Methods: This study utilizes data from a food pantry called Phoenix Rescue Mission (PRM) on food insecure people's use of PRM's mobile and brick-and-mortar pantries, as well as census data. Using GIS mapping and a multinomial logistic regression model, this research identifies how different demographic groups engage with PRM's brick-and-mortar or mobile pantries.Results: Findings indicate that people aged 60-80 years and immigrant people of color are more likely to use both mobile and brick-and-mortar pantries.Conclusions: This research suggests that mobile pantries can reach the most food insecure populations and local nonprofits and governments can consider implementing mobile pantries to reach food insecure communities.</t>
  </si>
  <si>
    <t>Smith, Nathan/JXY-5736-2024</t>
  </si>
  <si>
    <t>Drake, Alexandria/0000-0001-9983-3827; Murugesan, Shakthi Bharathi/0000-0001-9585-4436</t>
  </si>
  <si>
    <t>10.1089/heq.2021.0006</t>
  </si>
  <si>
    <t>WOS:000748014100001</t>
  </si>
  <si>
    <t>El-Zein, RS; Nguyen, DD; Fu, ZX; Gosch, K; Bunte, MC</t>
  </si>
  <si>
    <t>El-Zein, Rayan S.; Nguyen, Dan D.; Fu, Zhuxuan; Gosch, Kensey; Bunte, Matthew C.</t>
  </si>
  <si>
    <t>Patients With Peripheral Artery Disease Living in Food Deserts Are Associated With Worse Outcomes and Suboptimal Medical Therapy</t>
  </si>
  <si>
    <t>NOV 05-06, 2022</t>
  </si>
  <si>
    <t>NOV 8</t>
  </si>
  <si>
    <t>A14445</t>
  </si>
  <si>
    <t>WOS:000890856907094</t>
  </si>
  <si>
    <t>Clifford, G; Nguyen, T; Shaw, C; Newton, B; Francis, S; Salari, M; Evans, C; Jones, C; Akintobi, TH; Taylor, H</t>
  </si>
  <si>
    <t>Clifford, Gari; Nguyen, Tony; Shaw, Corey; Newton, Brittney; Francis, Sherilyn; Salari, Mohsen; Evans, Chad; Jones, Camara; Akintobi, Tabia Henry; Taylor, Herman, Jr.</t>
  </si>
  <si>
    <t>An Open-Source Privacy-Preserving Large-Scale Mobile Framework for Cardiovascular Health Monitoring and Intervention Planning With an Urban African American Population of Young Adults: User-Centered Design Approach</t>
  </si>
  <si>
    <t>JMIR FORMATIVE RESEARCH</t>
  </si>
  <si>
    <t>Background: Cardiovascular diseases (CVDs) are the leading cause of death worldwide and are increasingly affecting younger populations, particularly African Americans in the southern United States. Access to preventive and therapeutic services, biological factors, and social determinants of health (ie, structural racism, resource limitation, residential segregation, and discriminatory practices) all combine to exacerbate health inequities and their resultant disparities in morbidity and mortality. These factors manifest early in life and have been shown to impact health trajectories into adulthood. Early detection of and intervention in emerging risk offers the best hope for preventing race-based differences in adult diseases. However, young-adult populations are notoriously difficult to recruit and retain, often because of a lack of knowledge of personal risk and a low level of concern for long-term health outcomes. Objective: This study aims to develop a system design for the MOYO mobile platform. Further, we seek to addresses the challenge of primordial prevention in a young, at-risk population (ie, Southern-urban African Americans). Methods: Urban African Americans, aged 18 to 29 years (n=505), participated in a series of co-design sessions to develop MOYO prototypes (ie, HealthTech Events). During the sessions, participants were orientated to the issues of CVD risk health disparities and then tasked with wireframing prototype screens depicting app features that they considered desirable. All 297 prototype screens were subsequently analyzed using NVivo 12 (QSR International), a qualitative analysis software. Using the grounded theory approach, an open-coding method was applied to a subset of data, approximately 20% (5/25), or 5 complete prototypes, to identify the dominant themes among the prototypes. To ensure intercoder reliability, 2 research team members analyzed the same subset of data. Results: Overall, 9 dominant design requirements emerged from the qualitative analysis: customization, incentive motivation, social engagement, awareness, education, or recommendations, behavior tracking, location services, access to health professionals, data user agreements, and health assessment. This led to the development of a cross-platform app through an agile design process to collect standardized health surveys, narratives, geolocated pollution, weather, food desert exposure data, physical activity, social networks, and physiology through point-of-care devices. A Health Insurance Portability and Accountability Act-compliant cloud infrastructure was developed to collect, process, and review data, as well as generate alerts to allow automated signal processing and machine learning on the data to produce critical alerts. Integration with wearables and electronic health records via fast health care interoperability resources was implemented. Conclusions: The MOYO mobile platform provides a comprehensive health and exposure monitoring system that allows for a broad range of compliance, from passive background monitoring to active self-reporting. These study findings support the notion that African Americans should be meaningfully involved in designing technologies that are developed to improve CVD outcomes in African American communities.</t>
  </si>
  <si>
    <t>Clifford, Gari/GRJ-0376-2022</t>
  </si>
  <si>
    <t>Newton, Brittney/0000-0001-6326-436X; Francis, Sherilyn/0000-0002-3072-5139; TAYLOR, HERMAN/0000-0003-3623-7264</t>
  </si>
  <si>
    <t>2561-326X</t>
  </si>
  <si>
    <t>e25444</t>
  </si>
  <si>
    <t>10.2196/25444</t>
  </si>
  <si>
    <t>WOS:000854067700013</t>
  </si>
  <si>
    <t>Blackman, KCA; Smiley, S; Valentine, W; Chaudhari, L; Kwan, P; Cotton-Curtis, W; Saetermoe, C; Chan, T</t>
  </si>
  <si>
    <t>Blackman, Kacie C. A.; Smiley, Sabrina; Valentine, Wenonah; Chaudhari, Lisa; Kwan, Patty; Cotton-Curtis, Wyconda; Saetermoe, Carrie; Chan, Thomas</t>
  </si>
  <si>
    <t>The Earliest Food Deserts: Availability of Infant and Follow-on Formula, and Lactation Support Products among Stores in Black and Non-Hispanic White Zip Codes in Los Angeles County</t>
  </si>
  <si>
    <t>MATERNAL AND CHILD HEALTH JOURNAL</t>
  </si>
  <si>
    <t>Objectives This study investigates the availability, accessibility, and product depth of in-store infant feeding and galactagogues products in majority Black and majority white zip codes in Los Angeles County. Methods A cross-sectional study was conducted to determine racial/ethnic neighborhood differences in the availability of infant and follow-on formula and galactagogues products in 47 retail stores in 21 zip codes. Store-level data were collected in June 2019 and an observational tool for galactagogues products and infant/follow-on formula (availability, accessibility, product depth) was employed at each store. Results Most of the stores were grocery stores (87.2%). Stores in majority Black zip codes had less availability of infant formula ready-to-use (p = 0.001), less accessibility of follow-on powder (p = 0.028), and availability of galactagogues beverages (p = 0.036) versus majority white zip codes. Product depth (number of brands sold) of stores with one or more brands of the aforementioned products was consistently higher in majority white zip codes compared to majority Black zip codes. Stores in majority Black zip codes were most likely to have lower availability of infant formula and galactagogues products, an important part of the food environment for infant feeding options, in particular, for lactation support. Conclusions for Practice Most studies investigating the association of the food environment and health outcomes have focused only on solid foods. However, additional food products (e.g., liquids, powders) may be contributors to extensive disparities in infant mortality between Black and white infants and may lead to health disparities beyond infant stage (e.g., children, adolescents, and adults). Lastly, for breastfeeding inequities to decrease, pregnant and postpartum Black persons need equitable access and education on safe and quality galactagogues products.</t>
  </si>
  <si>
    <t>Blackman, Kacie/0000-0002-9370-516X; Chan, Thomas/0000-0002-2218-0079</t>
  </si>
  <si>
    <t>1092-7875</t>
  </si>
  <si>
    <t>1573-6628</t>
  </si>
  <si>
    <t>10.1007/s10995-021-03196-2</t>
  </si>
  <si>
    <t>WOS:000667874500001</t>
  </si>
  <si>
    <t>Durcek, P; Nováková, G; Buceková, I</t>
  </si>
  <si>
    <t>Durcek, Pavol; Novakova, Gabriela; Bucekova, Ingrid</t>
  </si>
  <si>
    <t>Modelling the customer potential of retail food stores: A case study from the Turiec region in Slovakia, 2020</t>
  </si>
  <si>
    <t>REGIONAL STATISTICS</t>
  </si>
  <si>
    <t>The study uses a modified version of the Huff model to estimate the distribution of customer potential in the existing network of retail food stores in the municipalities of the Turiec region. The model takes into account the attractiveness of stores expressed by their area, their affinity based on inter-municipal commuting, and the accessibility of stores over time from all municipalities in the region. Affinity is not included in the original version of the Huff model, and it represents an innovative element of the study. It captures the tendency of local residents to visit other municipalities more often. Affinity values are derived from daily commuting data. It assumes that people shop most often at their place of residence or work. The more people live in a municipality and commute there daily to work or school, the greater the number of potential customers in stores in that municipality. Thus, including affinity in the model allows a more accurate estimate of the probability of shopping, such that the probability of shopping increases (decreases) with higher (lower) affinity. The resulting values of the probability of shopping and the magnitude of the customer potential are specified for the largest chains on the Slovak market (Billa, Coop Jednota, Kaufland, Lidl, and Tesco). In addition to the absolute values, the results are projected onto 100 m2 of stores belonging to each chain or located in specific municipalities, using the intensity indicator of the customer potential. The authors find that the retail chains Tesco and Coop Jednota have the highest purchase probability values. Of the retail stores, residents of the region prefer the stores in Martin, followed by Turcianske Teplice. The model indicates some imbalance in the distribution of customer potential among the largest food retailers. While Tesco stores and Coop Jednota serve one-third and one quarter of the customer potential, respectively, Kaufland, Billa, and Lidl are only attractive for approximately one in ten customers each. Each retail chain has a slightly disproportionate share in terms of model customers and sales area: while Tesco's share of customers is higher than its share of total sales area, the opposite is true for Coop Jednota. The Coop Jednota chain has the largest store network in the region, which means that its stores are the least intensively used by shoppers in terms of sales area: the number of customers per 100 m2 of sales area is only around two thirds of the figure for the other large chains. The intensity of customer potential shows an underutilised sales area for Coop Jednota. The high values of this indicator in the remaining four chains can be interpreted as a possible insufficient satisfaction of the customer potential by the sales area. The authors have also identified a specific category of settlements without a food store in the region, which could be called a ,,rural food desert. The model is widely applicable and may be a good tool for conceptualising sales development strategies in the fight for the customer.</t>
  </si>
  <si>
    <t>Durcek, Pavol/0000-0003-1062-7643</t>
  </si>
  <si>
    <t>2063-9538</t>
  </si>
  <si>
    <t>2064-8243</t>
  </si>
  <si>
    <t>10.15196/RS120208</t>
  </si>
  <si>
    <t>WOS:000757430300001</t>
  </si>
  <si>
    <t>Mahmood, N</t>
  </si>
  <si>
    <t>Mahmood, Noor</t>
  </si>
  <si>
    <t>Solving Capacitated Vehicle Routing Problem Using Meerkat Clan Algorithm</t>
  </si>
  <si>
    <t>INTERNATIONAL ARAB JOURNAL OF INFORMATION TECHNOLOGY</t>
  </si>
  <si>
    <t>Capacitated Vehicle Routing Problem (CVRP) can be defined as one of the optimization problems where customers are allocated to vehicles to minimize the combined travel distances regarding all vehicles while serving customers. From the many CVRP approaches, clustering or grouping customers into possible individual vehicles' routes and identifying their optimal routes effectively. Sweep is considered a well-studied clustering algorithm to group customers, while various Traveling Salesman Problem (TSP) solving approaches are mainly applied to generate optimal individual vehicle routes. The Meerkat Clan Algorithm (MCA) can be defined as a swarm intelligence algorithm derived from careful observations regarding Meerkat (Suricata suricatta) in southern Africa's the Kalahari Desert. The animal demonstrates tactical organizational skills, excellent intelligence, and significant directional cleverness when searching for food in the desert. In comparison to the other swarm intelligence, MCA was suggested for solving optimization problems via reaching the optimal solution effects. MCA demonstrates its ability to resolve CVRP. It divides the solutions into subgroups based on meerkat behavior, providing a wide range of options for finding the best solution. Compared to present swarm intelligence algorithms for resolving CVRP, it was demonstrated that the size of the solved issues can be increased by using the algorithm suggested in this work.</t>
  </si>
  <si>
    <t>Mahmood, Noor Thamer/0000-0002-4752-785X</t>
  </si>
  <si>
    <t>1683-3198</t>
  </si>
  <si>
    <t>10.34028/iajit/19/4/14</t>
  </si>
  <si>
    <t>WOS:000826053300014</t>
  </si>
  <si>
    <t>Francis, L; Perrin, N; Black, MM; Allen, JK</t>
  </si>
  <si>
    <t>Francis, Lucine; Perrin, Nancy; Black, Maureen M.; Allen, Jerilyn K.</t>
  </si>
  <si>
    <t>Mealtime Environment and Feeding Practices in Urban Family Child Care Homes in the United States</t>
  </si>
  <si>
    <t>Background: Family Child Care Homes (FCCHs) are the second-largest childcare option in the US. Given that young children are increasingly becoming overweight and obese, it is vital to understand the FCCH mealtime environment. There is much interest in examining the impact of the Child and Adult Care Food Program (CACFP), a federal initiative to support healthy nutrition, by providing cash reimbursements to eligible childcare providers to purchase nutritious foods. This study examines the association among the FCCH provider characteristics, the mealtime environment, and the quality of foods offered to 2-5-year-old children in urban FCCHs and examines the quality of the mealtime environment and foods offered by CACFP participation. Methods: A cross-sectional design with a proportionate stratified random sample of urban FCCHs by the CACFP participation status was used. Data were collected by telephone using the Nutrition and Physical Activity Self-Assessment for Child Care survey. Results: A total of 91 licensed FCCHs (69 CACFP, 22 non-CACFP) participated. FCCH providers with formal nutrition training met significantly more of the quality standards for foods offered than providers without nutrition training (beta = 0.22, p = 0.034). The mealtime environment was not related to any FCCH provider characteristics. CACFP-participating FCCH providers had a healthier mealtime environment (beta = 0.326, p = 0.002) than non-CACFP FCCHs. Conclusions: Findings suggest that nutrition training and CACFP participation contribute to the quality of nutrition-related practices in the FCCH. We recommend more research on strengthening the quality of foods provided in FCCHs and the possible impact on childhood obesity.</t>
  </si>
  <si>
    <t>Francis, Lucine/0000-0002-0063-9934; Black, Maureen/0000-0002-6427-4639</t>
  </si>
  <si>
    <t>10.1089/chi.2021.0042</t>
  </si>
  <si>
    <t>WOS:000686741500001</t>
  </si>
  <si>
    <t>Testa, A; Mungia, R; van den Berg, A; Hernandez, DC</t>
  </si>
  <si>
    <t>Testa, Alexander; Mungia, Rahma; van den Berg, Alexandra; Hernandez, Daphne C.</t>
  </si>
  <si>
    <t>Food deserts and dental care utilization in the United States</t>
  </si>
  <si>
    <t>ObjectivesAlthough food deserts are known to impact health and healthcare utilization, no research has investigated the relationship between food deserts and dental care utilization. This study aimed to fill this gap by assessing the relationship between living in a food desert and self-reported dental care utilization in the past year.MethodsData are from the National Longitudinal Study of Adolescent to Adult Health (N = 10,495). The association between food deserts and dental care utilization was assessed using covariate-adjusted multiple logistic regression.ResultsLiving in a food desert was associated with higher odds of not utilizing dental care in the past year. This association was concentrated among high-poverty areas (&gt;= 20% poverty rate).ConclusionsThe current study is the first to assess the relationship between living in a food desert and dental care utilization. The findings demonstrate that individuals living in low-income urban food deserts may be at increased risk for not utilizing dental care.</t>
  </si>
  <si>
    <t>10.1111/jphd.12593</t>
  </si>
  <si>
    <t>WOS:001121044200004</t>
  </si>
  <si>
    <t>Sisk, A; Rappazzo, K; Luben, T; Fefferman, N</t>
  </si>
  <si>
    <t>Sisk, Anna; Rappazzo, Kristen; Luben, Tom; Fefferman, Nina</t>
  </si>
  <si>
    <t>Connecting people to food: A network approach to alleviating food deserts</t>
  </si>
  <si>
    <t>JOURNAL OF TRANSPORT &amp; HEALTH</t>
  </si>
  <si>
    <t>Introduction: In 2020, 13.8 million people in the United States struggled with food security. This means they were uncertain whether their food needs would be met. Where someone lives can influence struggles with food security. Food deserts are census tracts that experience high rates of poverty (20 percent of residents at/below poverty thresholds) and low access to grocery stores with nutritious foods. Food deserts and insecurity disproportionately affect disadvantaged communities and may contribute to health issues like diabetes, high blood pressure, and obesity. Public policies can be utilized to lessen the impact of food deserts and one way this can be achieved is through public transit.Methods: We characterized the role public transportation plays in connecting food desert residents with food by formulating network models from data on food deserts, grocery stores, and public transportation systems for five representative locations: Brown Deer, WI; Lawrence, KS; Albuquerque, NM; Charlotte, NC, and Raleigh, NC. We analyzed these networks by looking at centrality measures, specifically degree and closeness. These centrality measures provide insight on the situation regarding grocery store access for food deserts.Results: Results of the degree centrality measure varied across study sites; one site (Lawrence) had at least 1 bus stop within 0.25 miles (0.40 km) of the representative address for each food desert. Conversely, two sites (Charlotte and Raleigh) each had 2 representative addresses with 0 bus stops within 0.75 miles (1.21 km). When using the closeness centrality measure, 2 food deserts in Albuquerque had the highest number of grocery stores within 30 min (22 and 9) while 44% of food deserts in Raleigh had 0 grocery stores within 30 min.Conclusions: Using these results, we identify how public transportation could better connect people with food and offer suggestions to city leaders as a way to help eradicate food deserts.</t>
  </si>
  <si>
    <t>Sisk, Anna Helen/0000-0001-5488-3847; Luben, Thomas/0000-0002-7867-5126; Rappazzo, Kristen/0000-0002-9939-0883</t>
  </si>
  <si>
    <t>2214-1405</t>
  </si>
  <si>
    <t>10.1016/j.jth.2023.101627</t>
  </si>
  <si>
    <t>JUN 2023</t>
  </si>
  <si>
    <t>WOS:001015138700001</t>
  </si>
  <si>
    <t>Boehme, HM; Kaminski, RJ; Mulrooney, T; Brown, RA; Malhotra, R</t>
  </si>
  <si>
    <t>Boehme, Hunter M.; Kaminski, Robert J.; Mulrooney, Timothy; Brown, Robert A.; Malhotra, Rakesh</t>
  </si>
  <si>
    <t>Violence Within Food Deserts: A Block-Group Examination of Food Access, Racial Composition, and Violent Crime</t>
  </si>
  <si>
    <t>VIOLENCE AND VICTIMS</t>
  </si>
  <si>
    <t>While there is substantial public health literature that documents the negative impacts of living in food deserts (e.g., obesity and diabetes), little is known regarding whether living in a food desert is associated with increased criminal victimization. With the block group as the unit of analysis, the present study examines whether there is a relationship between food deserts and elevated crime counts, and whether this relationship varies by racial composition. Results from multiple count models suggest that living in a food desert is not associated with higher levels of violent or property crime. But multiplica- tive models interacting percent Black with food deserts revealed statistically significant associations with violent crime but not property crime. Alternatively, multiplicative models interacting percent White with food deserts revealed statistically significant associational reductions in violent crimes. Several policy and research implications are discussed.</t>
  </si>
  <si>
    <t>0886-6708</t>
  </si>
  <si>
    <t>1945-7073</t>
  </si>
  <si>
    <t>10.1891/VV-2022-0007</t>
  </si>
  <si>
    <t>WOS:001026204300008</t>
  </si>
  <si>
    <t>Brostow, DP; Donovan, M; Penzenik, M; Stamper, CE; Spark, T; Lowry, CA; Ishaq, SL; Hoisington, AJ; Brenner, LA</t>
  </si>
  <si>
    <t>Brostow, Diana P.; Donovan, Meghan; Penzenik, Molly; Stamper, Christopher E.; Spark, Talia; Lowry, Christopher A.; Ishaq, Suzanne L.; Hoisington, Andrew J.; Brenner, Lisa A.</t>
  </si>
  <si>
    <t>Food desert residence has limited impact on veteran fecal microbiome composition: a U.S. Veteran Microbiome Project study</t>
  </si>
  <si>
    <t>MSYSTEMS</t>
  </si>
  <si>
    <t>Social and economic inequities can have a profound impact on human health, particularly on the development and progression of chronic disease. For military veterans, exposure to unique environments and circumstances may further impact their health. There continues to be limited work regarding the influence of mental health within the context of socioeconomic inequities. In this cross-sectional study, we hypothesized that veterans residing in food deserts (e.g., places in which there is a lack of access to sufficient and/or nutritious food) would have decreased gut microbial species (alpha-diversity), different microbiome community compositions, and poorer quality of diet and mental health compared to non-food desert residents. The fecal microbiome of 342 military veterans was sequenced, and microbiome diversity and community composition were evaluated. Although dietary quality and alpha-diversity did not significantly differ by food desert status, resident status (food desert versus non-food desert) accounted for a moderate influence on beta-diversity (2.4%). Factors such as race and psychiatric diagnoses accounted for greater proportions of beta-diversity influence (7% and 10%, respectively). Moreover, more participants with current post-traumatic stress disorder lived in food deserts (P &lt; 0.04), and there were significantly more participants in the non-food desert group diagnosed with substance use disorders (P = 0.002) and current alcohol use disorder (P = 0.04). These findings suggest that living in a food desert, in combination with additional associated risk factors, may influence gut microbial diversity and composition. To increase ecological validity, researchers investigating the influence of inter-related biopsychosocial factors over time may benefit from adopting a life-course perspective.</t>
  </si>
  <si>
    <t>Whitham, Diana/0000-0001-8400-4727; Hoisington, Andrew/0000-0001-5523-8567; Ishaq, Suzanne/0000-0002-2615-8055</t>
  </si>
  <si>
    <t>2379-5077</t>
  </si>
  <si>
    <t>DEC 21</t>
  </si>
  <si>
    <t>e00717-23</t>
  </si>
  <si>
    <t>10.1128/msystems.00717-23</t>
  </si>
  <si>
    <t>WOS:001143818300021</t>
  </si>
  <si>
    <t>Andretti, B; Cardoso, LO; Honorio, OS; de Castro, PCP Jr; Tavares, LF; da Silva, IDG; Mendes, LL</t>
  </si>
  <si>
    <t>Andretti, Bernardo; Cardoso, Leticia Oliveira; Honorio, Olivia Souza; de Castro Jr, Paulo Cesar Pereira; Tavares, Leticia Ferreira; da Silva, Isabela da Costa Gaspar; Mendes, Larissa Loures</t>
  </si>
  <si>
    <t>Ecological study of the association between socioeconomic inequality and food deserts and swamps around schools in Rio de Janeiro, Brazil</t>
  </si>
  <si>
    <t>BackgroundPrevious research suggests that unhealthy community food environments around schools contribute to unhealthy eating habits and negative health outcomes among the youth. However, little is known about how socioeconomic inequalities in those community food environments are associated with food deserts and food swamps across schools' neighborhoods.MethodsAn ecological study was carried out in all 3,159 public and private schools in Rio de Janeiro, Brazil. Three measures of socioeconomic inequality were evaluated: per capita income, segregation index and deprivation index. The community school food environment was analyzed by metrics of food swamps and food deserts.ResultsFood deserts and food swamps were simultaneously more prevalent in neighborhoods of the lowest income, high deprivation, and high segregation. Spatial socioeconomic disparities at the neighborhoods of schools were associated with food deserts and food swamps in Rio de Janeiro.ConclusionsOur results point to a spatial socioeconomic inequality of establishments that sell food around schools in a Brazilian metropolis, indicating that the areas of greatest deprivation of food services are also the areas with the worst socioeconomic characteristics.</t>
  </si>
  <si>
    <t>Andretti, Bernardo/JMA-9744-2023; Mendes, Larissa/AAL-6662-2020</t>
  </si>
  <si>
    <t>Andretti, Bernardo/0000-0002-9308-8675</t>
  </si>
  <si>
    <t>JAN 17</t>
  </si>
  <si>
    <t>10.1186/s12889-023-14990-8</t>
  </si>
  <si>
    <t>WOS:000914799700001</t>
  </si>
  <si>
    <t>Tanoh, V; Hashemi-Beni, L</t>
  </si>
  <si>
    <t>Tanoh, Victoria; Hashemi-Beni, Leila</t>
  </si>
  <si>
    <t>Spatial Analysis of Socioeconomic Factors Contributing to Food Desert in North Carolina</t>
  </si>
  <si>
    <t>Food deserts (FD) have attracted attention after the post-COVID-19 pandemic, primarily due to adverse health and other implications of living in areas designated as food deserts. Most studies have focused on various aspects of the impact of food deserts, including the nutritional and health risks of living in FDs. Spatial integration and analysis of the GIS data in food provide a powerful way to expose the issues of creating deserts and how they change over space and time. This study aims to investigate the socioeconomic factors influencing food deserts using geospatial analyses. Guilford, Bladen, and Rutherford Counties in North Carolina were selected as case studies due to their higher percentage of the population with limited healthy food access. This study used open-source data, such as the USDA's Crop Land Layer (CDL) land cover maps, census data, and the Food Access Research Atlas. This research provides a geostatistical analysis of FDs based on income/expenditure, population, vehicle, and food aid. The study results generally showed that geospatial technologies are vital for investigating FDs. The results will assist policy makers and other responsible agencies in formulating appropriate intervention policies tailored to meet the demands of these counties.</t>
  </si>
  <si>
    <t>Tanoh, Victoria/LHA-1389-2024</t>
  </si>
  <si>
    <t>hashemi beni, leila/0000-0003-1026-4555</t>
  </si>
  <si>
    <t>MAY 10</t>
  </si>
  <si>
    <t>10.3390/su15107848</t>
  </si>
  <si>
    <t>WOS:000997103600001</t>
  </si>
  <si>
    <t>Luster, T; Gunderson, ZJ; Sun, SY; Loder, RT</t>
  </si>
  <si>
    <t>Luster, Taylor; Gunderson, Zachary J. J.; Sun, Seungyup; Loder, Randall T. T.</t>
  </si>
  <si>
    <t>Slipped Capital Femoral Epiphysis, Food Deserts, Poverty, and Urban/Rural Residence: Is There a Link?</t>
  </si>
  <si>
    <t>JOURNAL OF PEDIATRIC ORTHOPAEDICS</t>
  </si>
  <si>
    <t>Background:Childhood obesity is increased in food deserts, a community with little to no access to healthy food. As obesity is associated with slipped capital femoral epiphysis (SCFE), it was the purpose of this study to analyze the prevalence of SCFE patients by food desert location and its interaction with rural/urban location. Methods:A retrospective review of all consecutive patients with idiopathic SCFE treated at our institution over 11 years was performed. From the patient's address, the US Census Bureau tract in which the patient resided was determined. Using the census tract code, it was ascertained if the patient lived in a food desert and urban or rural location. Standard statistical analyses were performed; a PResults:There were 177 SCFE patients: 79 girls, 98 boys, 106, White, and 69 nonWhite. The average age at diagnosis was 12.1 +/- 1.7 years, the average symptom duration 4.1 +/- 5.1 months, and the average weight percentile 94 +/- 10. Of these 177 patients, 26.5% lived in a food desert, which was higher than the expected 17.5% (P=0.023). Those living in a food desert were more commonly nonWhite (60% vs. 32%, P=0.0014). There were 25% from rural areas and 75% from urban areas. No rural SCFE patients lived in food deserts whereas 34% of urban patients lived in food deserts. The average poverty rate of the SCFE patient census tracts was 19%, no greater than the expected 15% (P=0.32). SCFE patients living in rural census tracts had a lower poverty rate (P&lt;10(-6)). Conclusions:There is a correlation with the prevalence of SCFE patients by residence in a food desert, but not with rural/urban locale or poverty status in Indiana. Further research will be needed to see if these findings apply to other states within the United States and other parts of the world.</t>
  </si>
  <si>
    <t>Landis, Taylor/0000-0003-3340-5517</t>
  </si>
  <si>
    <t>0271-6798</t>
  </si>
  <si>
    <t>1539-2570</t>
  </si>
  <si>
    <t>E230</t>
  </si>
  <si>
    <t>E235</t>
  </si>
  <si>
    <t>10.1097/BPO.0000000000002315</t>
  </si>
  <si>
    <t>WOS:000927338200018</t>
  </si>
  <si>
    <t>Phillips, JD; Fay, KA; Wakeam, E; Graham, NJ; Godfrey, CM; Marmor, HN; Grogan, EL; Meguid, RA; Madsen, HJ; Stuart, CM; Sachdeva, UM; Wang, DY; Abou Chaar, MK; Blackmon, SH; Maeder, ME; Emond, JA; Hasson, RM; Millington, TM; Finley, DJ</t>
  </si>
  <si>
    <t>Phillips, Joseph D.; Fay, Kayla A.; Wakeam, Elliot; Graham, Nathan J.; Godfrey, Caroline M.; Marmor, Hannah N.; Grogan, Eric L.; Meguid, Robert A.; Madsen, Helen J.; Stuart, Christina M.; Sachdeva, Uma M.; Wang, Danny; Abou Chaar, Mohamad K.; Blackmon, Shanda H.; Maeder, Matthew E.; Emond, Jennifer A.; Hasson, Rian M.; Millington, Timothy M.; Finley, David J.</t>
  </si>
  <si>
    <t>Food Deserts Increase Readmission After Esophagectomy for Cancer: A Multi-institutional Study</t>
  </si>
  <si>
    <t>ANNALS OF THORACIC SURGERY</t>
  </si>
  <si>
    <t>BACKGROUND Food deserts are low-income census tracts with poor access to supermarkets and are associated with worse outcomes in breast, colon, and a small number of esophageal cancer patients. This study investigated residency in food deserts on readmission rates in a multi-institutional cohort of esophageal cancer patients undergoing trimodality therapy. METHODS A retrospective review of patients who underwent trimodality therapy at 6 high-volume institutions from January 2015 to July 2019 was performed. Food desert status was defined by the United States Department of Agriculture by patient ZIP Code. The primary outcome was 30-day readmission after esophagectomy. Multilevel, multivariable logistic regression was used to model readmission on food desert status adjusted for diabetes, insurance type, length of stay, and any complication, treating the institution as a random factor. RESULTS Of the 453 records evaluated, 425 were included in the analysis. Seventy-three patients (17.4%) resided in a food desert. Univariate analysis demonstrated food desert patients had significantly increased 30-day readmission. No differences were seen in length of stay, complications, or 30-day mortality. In the adjusted logistic regression model, residing in a food desert remained a significant risk factor for readmission (odds ratio, 2.11; 95% CI, 1.07-4.15). There were no differences in 30-day, 90-day, or 1-year mortality based on food desert status, although readmission was associated with worse 90-day and 1-year mortality. CONCLUSIONS Food desert residence was associated with 30-day readmission after esophagectomy in patients undergoing trimodality treatment for esophageal cancer in this multi-institutional population. Identification of patients residing in a food desert may allow surgeons to focus preventative interventions during treatment and postoperatively to improve outcomes. (Ann Thorac Surg 2023;116:246-54) (c) 2023 by The Society of Thoracic Surgeons. Published by Elsevier Inc.</t>
  </si>
  <si>
    <t>ABURAHMAH, MOHAMMAD/B-1530-2019</t>
  </si>
  <si>
    <t>Wang, Danny/0000-0003-0669-144X; Phillips, Joseph/0000-0001-9309-7726</t>
  </si>
  <si>
    <t>0003-4975</t>
  </si>
  <si>
    <t>1552-6259</t>
  </si>
  <si>
    <t>10.1016/j.athoracsur.2023.04.015</t>
  </si>
  <si>
    <t>JUL 2023</t>
  </si>
  <si>
    <t>WOS:001053588100001</t>
  </si>
  <si>
    <t>Li, JJ; Kim, C; Cuadros, D; Yao, ZY; Jia, P</t>
  </si>
  <si>
    <t>Li, Jingjing; Kim, Changjoo; Cuadros, Diego; Yao, Zhiyuan; Jia, Peng</t>
  </si>
  <si>
    <t>Changes of Grocery Shopping Frequencies and Associations with Food Deserts during the COVID-19 Pandemic in the United States</t>
  </si>
  <si>
    <t>The COVID-19 pandemic has dramatically altered people's lives in multiple aspects, including grocery shopping behaviors. Yet, the changing trend of grocery shopping frequencies during the COVID-19 and its associations with food deserts remain unclear. We aimed to (1) examine variations of grocery shopping frequencies at county level in the USA during the COVID-19 pandemic from March 2020 to December 2021; (2) investigate associations between grocery shopping frequencies and food deserts during the COVID-19 pandemic; and (3) explore heterogeneity in grocery shopping frequencies-food desert associations across urban and rural areas. The county-level grocery shopping frequencies were derived from a grocery pattern dataset obtained from SafeGraph. We divided the 22-month period into 5 stages and employed the growth curve modeling to estimate the trajectories of grocery shopping frequencies and the associations between grocery shopping frequencies and food deserts in each stage, separately. Results revealed that grocery shopping frequencies experienced a W-shaped pattern from March 2020 to December 2021. Counties with the least percent of food deserts had slower decrease in grocery shopping frequencies at the initial stage and recovered more rapidly at later stages. Counties with the highest percent of food deserts were subject to deprivation amplification as a result of the pandemic. We also found differences existed in the grocery shopping frequencies-food desert associations between metropolitan counties and rural counties. Our findings suggest the impacts of COVID-19 on grocery shopping frequencies varied across different time periods, shedding light on designing different strategies to reduce the risk of contagion while shopping inside of grocery stores. Further, our findings highlight an urgent need to help people living in food deserts (especially in rural counties) to procure healthy foods safely during health emergencies like COVID-19 pandemic which disrupt mobility and social behaviors.</t>
  </si>
  <si>
    <t>PENG, JIA/AAM-4758-2020</t>
  </si>
  <si>
    <t>Yao, Zhiyuan/0000-0002-0304-3829; Li, Jingjing/0000-0003-4922-7081</t>
  </si>
  <si>
    <t>10.1007/s11524-023-00772-5</t>
  </si>
  <si>
    <t>AUG 2023</t>
  </si>
  <si>
    <t>WOS:001052012500001</t>
  </si>
  <si>
    <t>Salari, M; Kramer, MR; Reyna, MA; Taylor, HA; Clifford, GD</t>
  </si>
  <si>
    <t>Salari, Mohsen; Kramer, Michael R.; Reyna, Matthew A.; Taylor, Herman A.; Clifford, Gari D.</t>
  </si>
  <si>
    <t>Combining crowd-sourcing, census data, and public review forums for real-time, high-resolution food desert estimation</t>
  </si>
  <si>
    <t>BIOMEDICAL ENGINEERING ONLINE</t>
  </si>
  <si>
    <t>BackgroundIt has been hypothesized that low access to healthy and nutritious food increases health disparities. Low-accessibility areas, called food deserts, are particularly commonplace in lower-income neighborhoods. The metrics for measuring the food environment's health, called food desert indices, are primarily based on decadal census data, limiting their frequency and geographical resolution to that of the census. We aimed to create a food desert index with finer geographic resolution than census data and better responsiveness to environmental changes.Materials and methodsWe augmented decadal census data with real-time data from platforms such as Yelp and Google Maps and crowd-sourced answers to questionnaires by the Amazon Mechanical Turks to create a real-time, context-aware, and geographically refined food desert index. Finally, we used this refined index in a concept application that suggests alternative routes with similar ETAs between a source and destination in the Atlanta metropolitan area as an intervention to expose a traveler to better food environments.ResultsWe made 139,000 pull requests to Yelp, analyzing 15,000 unique food retailers in the metro Atlanta area. In addition, we performed 248,000 walking and driving route analyses on these retailers using Google Maps' API. As a result, we discovered that the metro Atlanta food environment creates a strong bias towards eating out rather than preparing a meal at home when access to vehicles is limited. Contrary to the food desert index that we started with, which changed values only at neighborhood boundaries, the food desert index that we built on top of it captured the changing exposure of a subject as they walked or drove through the city. This model was also sensitive to the changes in the environment that occurred after the census data was collected.ConclusionsResearch on the environmental components of health disparities is flourishing. New machine learning models have the potential to augment various information sources and create fine-tuned models of the environment. This opens the way to better understanding the environment and its effects on health and suggesting better interventions.</t>
  </si>
  <si>
    <t>1475-925X</t>
  </si>
  <si>
    <t>JUL 10</t>
  </si>
  <si>
    <t>10.1186/s12938-023-01108-9</t>
  </si>
  <si>
    <t>WOS:001025840100001</t>
  </si>
  <si>
    <t>Lloyd, M; Amos, ME; Milfred-Laforest, S; Motairek, IK; Pascuzzi, K; Petermann-Rocha, F; Elgudin, Y; Nasir, K; Freedman, D; Al-Kindi, S; Pell, J; Deo, SV</t>
  </si>
  <si>
    <t>Lloyd, Mackenzie; Amos, Mary Ellen; Milfred-Laforest, Sherry; Motairek, Issam Kamel; Pascuzzi, Kristina; Petermann-Rocha, Fanny; Elgudin, Yakov; Nasir, Khurram; Freedman, Darcy; Al-Kindi, Sadeer; Pell, Jill; Deo, Salil Vasudeo</t>
  </si>
  <si>
    <t>Residing in a Food Desert and Adverse Cardiovascular Events in US Veterans With Established Cardiovascular Disease</t>
  </si>
  <si>
    <t>Residents living in a food desert are known to be at a higher risk for developing cardiovas-cular disease (CVD). However, national-level data regarding the influence of residing in a food desert in patients with established CVD is lacking. Data from veterans with established atherosclerotic CVD who received outpatient care in the Veterans Health Administration sys-tem between January 2016 and December 2021 were obtained, with follow-up information collected until May 2022 (median follow-up: 4.3 years). A food desert was defined using the United States Department of Agriculture criteria, and census tract data were used to identify Veterans in these areas. All-cause mortality and the occurrence of major adverse cardiovascu-lar events (MACEs; a composite of myocardial infarction/stroke/heart failure/all-cause mor-tality) were evaluated as the co-primary end points. The relative risk for MACE in food desert areas was evaluated by fitting multivariable Cox models adjusted for age, gender, race, ethnicity, and median household income, with food desert status as the primary exposure. Of the 1,640,346 patients (mean age 72 years, women 2.7%, White 77.7%, Hispanic 3.4%), 25,7814 (15.7%) belonged to the food desert group. Patients residing in food deserts were younger; more likely to be Black (22% vs 13%)or Hispanic (4% vs 3.5%); and had a higher prevalence of diabetes mellitus (52.7% vs 49.8%), chronic kidney disease (31.8% vs 30.4%,) and heart failure (25.6% vs 23.8%). Adjusted for covariates, food desert patients had a higher risk of MACE (hazard ratio 1.040 [1.033 to 1.047]; p &lt;0.001) and all-cause mortality (hazard ratio 1.032 [1.024 to 1.039]; p &lt;0.001). In conclusion, we observed that a large proportion of US veterans with established atherosclerotic CVD reside in food desert census tracts. Adjust-ing for age, gender, race, and ethnicity, residing in food deserts was associated with a higher risk of adverse cardiac events and all-cause mortality. Published by Elsevier Inc. (Am J Cardiol 2023;196:70-76)</t>
  </si>
  <si>
    <t>Petermann-Rocha, Fanny Emily/AAK-1230-2021; Deo, Salil/AHE-2796-2022</t>
  </si>
  <si>
    <t>Petermann Rocha, Fanny/0000-0002-4384-4962</t>
  </si>
  <si>
    <t>10.1016/j.amjcard.2023.03.010</t>
  </si>
  <si>
    <t>APR 2023</t>
  </si>
  <si>
    <t>WOS:000985262600001</t>
  </si>
  <si>
    <t>Mishra, S; Sharma, I; Pani, A</t>
  </si>
  <si>
    <t>Mishra, Sabyasachee; Sharma, Ishant; Pani, Agnivesh</t>
  </si>
  <si>
    <t>Analyzing autonomous delivery acceptance in food deserts based on shopping travel patterns</t>
  </si>
  <si>
    <t>TRANSPORTATION RESEARCH PART A-POLICY AND PRACTICE</t>
  </si>
  <si>
    <t>Food desert communities in the US have a widely recognized gap between the demand for healthy foods and the minimum order size that makes it worthwhile for food purveyors to deliver to such neighborhoods, thereby creating delivery deficiencies. A diverse set of mobility constraints and activity-travel patterns exist for disadvantaged segments in these communities, especially the elderly, unemployed, and socially excluded. Appreciating this complexity, an effective solution would be to improve the food access of such communities by providing faster, inexpensive, and flexible online deliveries of healthy foods. However, little is currently known about the shopping travel pattern in food desert communities and the associated mobility inequalities. This paper fulfills this critical research gap and quantifies the differences in shopping travel behavior observed among consumers residing in food deserts and food oases using data collected from Portland and Nashville Metropolitan areas. The paper subsequently captures the perceived acceptance of autonomous delivery robots (ADRs) among these consumers to overcome their mobility inequalities. The results indicate that food desert residents aged between 18 and 25 years, African Americans and those earning more than $75,000 are more likely to engage in internet shopping than food oasis residents. Despite the perceived potential of ADRs to reduce the mobility inequalities in food deserts, acceptance levels for this emerging technology are found to be significantly less among food desert residents, especially among older generational cohorts and less qualified. This study will provide key takeaways to e-commerce companies to expand their delivery service through ADRs in underserved areas.</t>
  </si>
  <si>
    <t>Sharma, Ishant/AAY-7944-2020; Pani, Agnivesh/ABG-3693-2020</t>
  </si>
  <si>
    <t>Mishra, Sabyasachee/0000-0002-7198-3548; Sharma, Ishant/0000-0001-6235-3555</t>
  </si>
  <si>
    <t>0965-8564</t>
  </si>
  <si>
    <t>1879-2375</t>
  </si>
  <si>
    <t>10.1016/j.tra.2023.103589</t>
  </si>
  <si>
    <t>FEB 2023</t>
  </si>
  <si>
    <t>WOS:000992489600001</t>
  </si>
  <si>
    <t>Venkatesh, KK; Walker, DM; Yee, LM; Wu, JQ; Garner, J; Mcneil, B; Haas, DM; Mercer, B; Reddy, UM; Silver, R; Wapner, R; Saade, G; Parry, S; Simhan, H; Lindsay, K; Grobman, WA</t>
  </si>
  <si>
    <t>Venkatesh, Kartik K.; Walker, Daniel M.; Yee, Lynn M.; Wu, Jiqiang; Garner, Jennifer; Mcneil, Becky; Haas, David M.; Mercer, Brian; Reddy, Uma M.; Silver, Robert; Wapner, Ronald; Saade, George; Parry, Samuel; Simhan, Hyagriv; Lindsay, Karen; Grobman, William A.</t>
  </si>
  <si>
    <t>Association of Living in a Food Desert and Poor Periconceptional Diet Quality in a Cohort of Nulliparous Pregnant Individuals</t>
  </si>
  <si>
    <t>JOURNAL OF NUTRITION</t>
  </si>
  <si>
    <t>Background: A poor diet can result from adverse social determinants of health and increases the risk of adverse pregnancy outcomes.Objective: We aimed to assess, using data from the Nulliparous Pregnancy Outcomes Study: Monitoring Mothers-to-Be prospective cohort, whether nulliparous pregnant individuals who lived in a food desert were more likely to experience poorer periconceptional diet quality compared with those who did not live in a food desert.Methods: The exposure was living in a food desert based on a spatial overview of food access indicators by income and supermarket access per the Food Access Research Atlas. The outcome was periconceptional diet quality per the Healthy Eating Index (HEI)-2010, analyzed by quartile (Q) from the highest or best (Q4, reference) to the lowest or worst dietary quality (Q1); and secondarily, nonadherence (yes or no) to 12 key aspects of dietary quality.Results: Among 7,956 assessed individuals, 24.9% lived in a food desert. The mean HEI-2010 score was 61.1 of 100 (SD: 12.5). Poorer periconceptional dietary quality was more common among those who lived in a food desert compared with those who did not live in a food desert (Q4: 19.8%, Q3: 23.6%, Q2: 26.5%, and Q1: 30.0% vs. Q4: 26.8%, Q3: 25.8%, Q2: 24.5%, and Q1: 22.9%; overall P &lt; 0.001). Individuals living in a food desert were more likely to report a diet in lower quartiles of the HEI-2010 (i.e., poorer dietary quality) (aOR: 1.34 per quartile; 95% CI: 1.21, 1.49). They were more likely to be nonadherent to recommended standards for 5 adequacy components of the HEI-2010, including fruit, total vegetables, greens and beans, seafood and plant proteins, and fatty acids, and less likely to report excess intake of empty calories.Conclusions: Nulliparous pregnant individuals living in a food desert were more likely to experience poorer periconceptional diet quality compared with those who did not live in a food desert.</t>
  </si>
  <si>
    <t>Lindsay, Karen/0000-0002-4481-9363; Venkatesh, Kartik/0000-0002-8043-556X; WU, JIQIANG/0000-0003-2088-925X</t>
  </si>
  <si>
    <t>0022-3166</t>
  </si>
  <si>
    <t>1541-6100</t>
  </si>
  <si>
    <t>10.1016/j.tjnut.2023.06.032</t>
  </si>
  <si>
    <t>WOS:001067067300001</t>
  </si>
  <si>
    <t>Bevel, MS; Tsai, MH; Parham, A; Andrzejak, SE; Jones, S; Moore, JX</t>
  </si>
  <si>
    <t>Bevel, Malcolm Seth; Tsai, Meng-Han; Parham, April; Andrzejak, Sydney Elizabeth; Jones, Samantha; Moore, Justin Xavier</t>
  </si>
  <si>
    <t>Association of Food Deserts and Food Swamps With Obesity-Related Cancer Mortality in the US</t>
  </si>
  <si>
    <t>JAMA ONCOLOGY</t>
  </si>
  <si>
    <t>Importance Obesity-related cancers account for 40% of all cancers in the US. Healthy food consumption is a modifiable factor shown to reduce obesity-related cancer mortality, but residing in areas with less access to grocery stores (food deserts) or higher access to fast food (food swamps) reduces healthy food access and has been understudied.Objective To analyze the association of food deserts and food swamps with obesity-related cancer mortality in the US.Design, Setting, and Participants This cross-sectional ecologic study used US Department of Agriculture Food Environment Atlas data from 2012, 2014, 2015, 2017, and 2020 and Centers for Disease Control and Prevention mortality data from 2010 to 2020. A total of 3038 US counties or county equivalents with complete information on food environment scores and obesity-related cancer mortality data were included. An age-adjusted, generalized, mixed-effects regression model was performed for the association of food desert and food swamp scores with obesity-related cancer mortality rates. Data were analyzed from September 9, 2022, to September 30, 2022.Exposures Food swamp score was calculated as the ratio of fast-food and convenience stores to grocery stores and farmers markets. Higher food swamp and food desert scores (20.0 to &gt;= 58.0) indicated counties with fewer healthy food resources.Main Outcomes and Measures Obesity-related cancer (based on the International Agency for Research on Cancer evidence between obesity and 13 types of cancer) mortality rates were categorized as high (&gt;= 71.8 per 100 000 population) vs low (&lt;71.8 per 100 000 population) per county.Results A total of 3038 counties or county equivalents with high obesity-related cancer mortality rates had a higher percentage of non-Hispanic Black residents (3.26% [IQR, 0.47%-26.35%] vs 1.77% [IQR, 0.43%-8.48%]), higher percentage of persons older than 65 years (15.71% [IQR, 13.73%-18.00%] vs 15.40% [IQR, 12.82%-18.09%]), higher poverty rates (19.00% [IQR, 14.20%-23.70%] vs 14.40% [IQR, 11.00%-18.50%]), higher adult obesity rates (33.00% [IQR, 32.00%-35.00%] vs 32.10% [IQR, 29.30%-33.20%]), and higher adult diabetes rates (12.50% [IQR, 11.00%-14.20%] vs 10.70% [IQR, 9.30%-12.40%]) compared with counties or county equivalents with low obesity-related cancer mortality. There was a 77% increased odds of having high obesity-related cancer mortality rates among US counties or county equivalents with high food swamp scores (adjusted odds ratio, 1.77; 95% CI, 1.43-2.19). A positive dose-response relationship among 3 levels of food desert and food swamp scores and obesity-related cancer mortality was also observed.Conclusions and Relevance The findings of this cross-sectional ecologic study suggest that policy makers, funding agencies, and community stakeholders should implement sustainable approaches to combating obesity and cancer and establishing access to healthier food, such as creating more walkable neighborhoods and community gardens.</t>
  </si>
  <si>
    <t>Tsai, Meng-Han/0000-0001-6511-156X; Andrzejak, Sydney/0000-0003-2252-9151</t>
  </si>
  <si>
    <t>2374-2437</t>
  </si>
  <si>
    <t>2374-2445</t>
  </si>
  <si>
    <t>10.1001/jamaoncol.2023.0634</t>
  </si>
  <si>
    <t>MAY 2023</t>
  </si>
  <si>
    <t>WOS:000982233700005</t>
  </si>
  <si>
    <t>Key, J; Burnett, D; Babu, JR; Geetha, T</t>
  </si>
  <si>
    <t>Key, Johanna; Burnett, Donna; Babu, Jeganathan Ramesh; Geetha, Thangiah</t>
  </si>
  <si>
    <t>The Effects of Food Environment on Obesity in Children: A Systematic Review</t>
  </si>
  <si>
    <t>CHILDREN-BASEL</t>
  </si>
  <si>
    <t>Childhood obesity is an epidemic connected with poor eating. According to the United States Department of Agriculture's Economic Research Service (USDA-ERS), food deserts are geographical locations in which residents have restricted or nonexistent access to healthful and quality food. Restricted access to healthy food is commonly associated with poor nutrition-related health outcomes, including obesity. This review aims to highlight the relationship between residing in a food desert or a similar environment on body mass index (BMI) in school-aged children in North America, predominantly in the Midwest region of the United States and Mexico. In this study, 17 articles were included from PubMed/Medline, Google Scholar, and Crossref. Most of these studies showed no association between the food environment and increased BMI. This discrepancy emphasizes the need for further research; the lack of access to healthful foods in food deserts is an issue that deserves additional attention.</t>
  </si>
  <si>
    <t>Thangiah, Geetha/W-6796-2019</t>
  </si>
  <si>
    <t>Geetha, Thangiah/0000-0001-6358-0012</t>
  </si>
  <si>
    <t>2227-9067</t>
  </si>
  <si>
    <t>10.3390/children10010098</t>
  </si>
  <si>
    <t>WOS:000917039300001</t>
  </si>
  <si>
    <t>Compton, MT; Ku, BS</t>
  </si>
  <si>
    <t>Compton, Michael T.; Ku, Benson S.</t>
  </si>
  <si>
    <t>Prevalence of Food Insecurity and Living in a Food Desert among Individuals with Serious Mental Illnesses in Public Mental Health Clinics</t>
  </si>
  <si>
    <t>COMMUNITY MENTAL HEALTH JOURNAL</t>
  </si>
  <si>
    <t>Very little is known about the prevalence of food insecurity-and living in a food desert-among persons with serious mental illnesses, such as schizophrenia and major mood disorders. This study evaluated those prevalences and assessed for associations with six other variables. Surveys were conducted with 300 patients with a psychotic or mood disorder receiving outpatient services at five community mental health agencies in Washington, D.C. The prevalences of low food security and very low food security were 68.9% and 46.8%, compared to national rates of 13.7% (13.2% in Washington, D.C.) and 5.4% (4.8% in Washington, D.C.). 50.0% of participants lived in food desert census tracts, which was associated with both severe and morbid obesity (p = .02 and p = .03, respectively). Additional research, evaluation of clinical implications, and potential policy approaches to these concerning social determinants of physical and mental health, in an already vulnerable patient population, are warranted.</t>
  </si>
  <si>
    <t>Compton, Michael/C-2350-2011</t>
  </si>
  <si>
    <t>0010-3853</t>
  </si>
  <si>
    <t>1573-2789</t>
  </si>
  <si>
    <t>10.1007/s10597-022-01013-w</t>
  </si>
  <si>
    <t>WOS:000840280600001</t>
  </si>
  <si>
    <t>Wood, EK; Stamos, G; Mitchell, AJ; Gonoud, R; Horgan, AM; Nomura, O; Young, A; Nigg, JT; Gustafsson, HC; Sullivan, EL</t>
  </si>
  <si>
    <t>Wood, Elizabeth K.; Stamos, Gayle; Mitchell, A. J.; Gonoud, Rose; Horgan, Angela M.; Nomura, Olivia; Young, Anna; Nigg, Joel T.; Gustafsson, Hanna C.; Sullivan, Elinor L.</t>
  </si>
  <si>
    <t>The association between food desert severity, socioeconomic status, and metabolic state during pregnancy in a prospective longitudinal cohort</t>
  </si>
  <si>
    <t>Poor metabolic health during pregnancy is associated with health concerns for pregnant individuals and their offspring. Lower socioeconomic status (SES) is one risk factor for poor metabolic health, and may be related to limited access to healthful and affordable foods (e.g., living in a food desert). This study evaluates the respective contributions of SES and food desert severity on metabolic health during pregnancy. The food desert severity of 302 pregnant individuals was determined using the United States Department of Agriculture Food Access Research Atlas. SES was measured using total household income adjusted for household size, years of education, and amount of reserve savings. Information about participants' glucose concentrations one hour following an oral glucose tolerance test during the second trimester was extracted from medical records and percent adiposity during the second trimester was assessed using air displacement plethysmography. Information about participants' nutritional intake during the second trimester was obtained by trained nutritionists via three unannounced 24-h dietary recalls. Structural equation models showed that lower SES predicted higher food desert severity (beta = - 0.20, p = 0.008) and higher adiposity (beta = - 0.27, p = 0.016) and consumption of a more pro-inflammatory diet (beta = - 0.25, p = 0.003) during the second trimester of pregnancy. Higher food desert severity also predicted higher percent adiposity during the second trimester (beta = 0.17, p = 0.013). Food desert severity significantly mediated the relationship between lower SES and higher percent adiposity during the second trimester (beta(indirect) = - 0.03, 95% CI [- 0.079, - 0.004]). These findings indicate that access to healthful and affordable foods is a mechanism by which SES contributes to adiposity during pregnancy and may inform interventions intended to improve metabolic health during pregnancy.</t>
  </si>
  <si>
    <t>Wood, Elizabeth/JXL-2908-2024; Sullivan, Elinor/AGS-1789-2022</t>
  </si>
  <si>
    <t>10.1038/s41598-023-32783-2</t>
  </si>
  <si>
    <t>WOS:000984935100039</t>
  </si>
  <si>
    <t>Chaudhary, KP; Lallawmkimi, MC; Zothansiami, C; Adhiguru, P; Singh, PK; Pandey, DK</t>
  </si>
  <si>
    <t>Chaudhary, K. P.; Lallawmkimi, Michelle C.; Zothansiami, Carolyn; Adhiguru, P.; Singh, P. K.; Pandey, D. K.</t>
  </si>
  <si>
    <t>Exploring ethnic foodscape in food desert: the case of Kolasib, Northeast India</t>
  </si>
  <si>
    <t>Of late, 'Food deserts',- places where there are no supermarkets for residents in the locality-are triggering policy debates among the policy-makers, academics, activists and media and advocating policy-led interventions to establish accessible new supermarkets. However, in some food deserts, local communities may traditionally follow their own indigenously adapted approaches for consumption of healthy diets. In this paper, we contend that policy-makers sometimes rather than strengthening in-situ opportunities may even rattle low-cost healthy food access pathways by new supermarket mediations. Based on qualitative tools, i.e., focused group discussion (FGD), the current study has delved into the availability of range of ethnic traditional cuisines from the foodscape of Kolasib, generally consumed by the Lushai tribe in Mizoram, Northeast India. Our study proposes new boulevards for conducting research and possible provision of financial impetus to prevailing community-based practices for establishing food banks and leveraging farm-to-market opportunities.</t>
  </si>
  <si>
    <t>0975-1068</t>
  </si>
  <si>
    <t>10.56042/ijtk.v22i1.47762</t>
  </si>
  <si>
    <t>WOS:001022147600011</t>
  </si>
  <si>
    <t>Khalil, M; Munir, MM; Endo, Y; Woldesenbet, S; Resende, V; Rawicz-Pruszynski, K; Khan, MMM; Waqar, U; Katayama, E; Dilhoff, M; Cloyd, J; Ejaz, A; Pawlik, TM</t>
  </si>
  <si>
    <t>Khalil, Mujtaba; Munir, Muhammad Musaab; Endo, Yutaka; Woldesenbet, Selamawit; Resende, Vivian; Rawicz-Pruszynski, Karol; Khan, Muhammad Muntazir Mehdi; Waqar, Usama; Katayama, Erryk; Dilhoff, Mary; Cloyd, Jordan; Ejaz, Aslam; Pawlik, Timothy M.</t>
  </si>
  <si>
    <t>Association of County-Level Food Deserts and Food Swamps with Hepatopancreatobiliary Cancer Outcomes</t>
  </si>
  <si>
    <t>JOURNAL OF GASTROINTESTINAL SURGERY</t>
  </si>
  <si>
    <t>Background Malnutrition has been linked to the development of hepatopancreatobiliary (HPB) cancer. We sought to examine the association between food swamps and food deserts on surgical outcomes of patients with HPB cancer.Methods Patients who underwent surgery for HPB cancer between 2014 and 2020 were identified from the Medicare Standard Analytic Files. Patient-level data were linked to the United States Department of Agriculture data on food swamps and deserts. Multivariable regression was performed to examine the association between the food environment and outcomes.Results Among 53,426 patients, patients from the worse food environment were more likely to be Black, have a higher Charlson Comorbidity Index, and reside in areas with high social vulnerability. Following surgery, the overall incidence of textbook outcome (TO) was 41.6% (n = 22,220). Patients residing in the worse food environments less often achieved a TO versus individuals residing in the healthiest food environments (food swamp: 39.4% vs. 43.9%; food desert: 38.5% vs 42.2%; p &lt; 0.05). On multivariable analysis, individuals residing in the poorest food environments were associated with lower odds of achieving TO compared with individuals living in healthiest food environments (food swamp: OR 0.83, 95%CI 0.75-0.92, food desert: OR 0.86, 95%CI 0.76-0.97; both p &lt; 0.05).Conclusion The surrounding food environment of patients may serve as a modifiable socio-demographic risk factor that contributes to disparities in surgical outcomes of HPB cancer.</t>
  </si>
  <si>
    <t>khan, Muhammad Muntazir Mehdi/LJK-5461-2024; Waqar, Usama/KHZ-8346-2024; Endo, Yutaka/AFB-7263-2022; Munir, Muhammad Musaab/IWM-2821-2023</t>
  </si>
  <si>
    <t>khan, Muhammad Muntazir Mehdi/0000-0001-7196-2328; Waqar, Usama/0000-0002-9447-5810</t>
  </si>
  <si>
    <t>1091-255X</t>
  </si>
  <si>
    <t>1873-4626</t>
  </si>
  <si>
    <t>10.1007/s11605-023-05879-3</t>
  </si>
  <si>
    <t>NOV 2023</t>
  </si>
  <si>
    <t>WOS:001101076600002</t>
  </si>
  <si>
    <t>Livings, MS; Wilson, J; Miller, S; de Bruin, WB; Weber, K; Babboni, M; Xu, MY; Li, KA; de la Haye, K</t>
  </si>
  <si>
    <t>Livings, Michelle Sarah; Wilson, John; Miller, Sydney; Bruine de Bruin, Waendi; Weber, Kate; Babboni, Marianna; Xu, Mengya; Li, Kenan; de la Haye, Kayla</t>
  </si>
  <si>
    <t>Spatial characteristics of food insecurity and food access in Los Angeles County during the COVID-19 pandemic</t>
  </si>
  <si>
    <t>Food insecurity spiked in some U.S. regions during the COVID-19 pandemic, as did food access challenges. Concerns were raised that these food issues were more prominent in food deserts, or neighborhoods lacking access to a grocery store or supermarket. Using data collected from a representative sample of Los Angeles County adults between April and October 2020, this study examined relationships between self-reported food insecurity, perceived food access barriers, and residing in a food desert, and examined differences across key geographic regions of the county. There was little relationship between residing in a food desert and experiencing food insecurity. However, perceived grocery store closures/limited hours and not having access to a vehicle were commonly reported barriers to food access, which were associated with more food insecurity. These findings suggest that geographic disparities in food access impact food insecurity. Efforts to address food insecurity should center on achieving food justice and addressing disparities across geographic regions.</t>
  </si>
  <si>
    <t>Xu, Mengya/IWE-1897-2023; BRUINE DE BRUIN, Wandi/N-8588-2018</t>
  </si>
  <si>
    <t>Xu, Mengya/0000-0001-6550-9391; BRUINE DE BRUIN, Wandi/0000-0002-1601-789X; Livings, Michelle/0000-0002-8529-1614</t>
  </si>
  <si>
    <t>10.1007/s12571-023-01381-5</t>
  </si>
  <si>
    <t>WOS:001034282100002</t>
  </si>
  <si>
    <t>Newing, A; Clarke, G; Taylor, M; González, S; Buckner, L; Wilkinson, R</t>
  </si>
  <si>
    <t>Newing, Andy; Clarke, Graham; Taylor, Myfanwy; Gonzalez, Sara; Buckner, Lisa; Wilkinson, Rosie</t>
  </si>
  <si>
    <t>The role of traditional retail markets in addressing urban food deserts</t>
  </si>
  <si>
    <t>This paper refreshes the debate around urban food deserts and improves the evidence base for the social value of traditional markets. It draws upon a wider project that brings together the markets sector and policy makers to develop new evidence, tools and insights to understand and enhance the community value of traditional retail markets. One important part of that community value is the provision of accessible, good quality, healthy and affordable fresh food. Using a case study of Newcastle-upon-Tyne's Grainger Market comprising a large-scale interviewer-administered survey of market users, supplemented with insights from focus groups and interviews with key stakeholders, we aim to identify and understand the role of the market as a core food and drink shopping destination. Drawing on external indicators of neighbourhood type, grocery retail accessibility and the presence of characteristics associated with food deserts, we demonstrate the importance of traditional retail markets, such as Grainger as part of the grocery retail supply side, especially among more vulnerable consumers including the elderly and those living in relatively more deprived neighbourhoods. To do so we utilise measures of consumer interactions with the retail supply side as derived from the consumer survey data, with all data available for wider-reuse by the research community. Whilst we make policy recommendations relevant to the Newcastle case study, our objective is for this work - and the provision of associated data - to spark greater recognition among policy makers, academics and the retail sector itself of the important role of traditional retail markets in food and drink provision.</t>
  </si>
  <si>
    <t>Gonzalez, Sara/AAA-9499-2021</t>
  </si>
  <si>
    <t>Buckner, Lisa/0000-0002-5108-5273; Gonzalez, Sara/0000-0003-3958-2119; Taylor, Myfanwy/0000-0003-2881-9192; Newing, Andy/0000-0002-3222-6640</t>
  </si>
  <si>
    <t>10.1080/09593969.2023.2198251</t>
  </si>
  <si>
    <t>WOS:000971406200001</t>
  </si>
  <si>
    <t>Crowell, TL; Chau, EH; Fusco, B</t>
  </si>
  <si>
    <t>Crowell, Tara L.; Chau, Emily H.; Fusco, Brianna</t>
  </si>
  <si>
    <t>Closing the Summer Meal Gap during COVID-19: AtlantiCare's Free Summer Meals for Children and Teens</t>
  </si>
  <si>
    <t>Many residents of Atlantic City, New Jersey, a food desert, experience food insecurity. COVID-19, along with summer school closures, compounds this problem. AtlantiCare's Free Summer Meals for Children and Teens helps combat this crisis. This case study provides an overview of the programs and descriptive statistics highlighting participants and their perceptions. Data indicate a positive experience and a high impact on their food insecurity, nutrition, physical and mental health, quality of time with friends and family, and writing and reading skills. This article illustrates how AtlantiCare is helping to close the meal gap and identifies the need for future efforts.</t>
  </si>
  <si>
    <t>10.1080/19320248.2022.2060718</t>
  </si>
  <si>
    <t>APR 2022</t>
  </si>
  <si>
    <t>WOS:000779526700001</t>
  </si>
  <si>
    <t>Deggerone, ZA; Wiederkehr, F; Bombardelli, CL</t>
  </si>
  <si>
    <t>Deggerone, Zenicleia Angelita; Wiederkehr, Fabiane; Bombardelli, Cibele Lucia</t>
  </si>
  <si>
    <t>Characteristics of access to food in Erechim, Rio Grande do Sul, Brazil Caracteristiques de l'acces a la nourriture a Erechim, Rio Grande do Sul, Bresil</t>
  </si>
  <si>
    <t>CONFINS-REVUE FRANCO-BRESILIENNE DE GEOGRAPHIE-REVISTA FRANCO-BRASILEIRA DE GEOGRAFIA</t>
  </si>
  <si>
    <t>This study intent to spatially analyze the distribution of establishments that sell food in the city of Erechim/RS, in order to verify the existence of food deserts. This is a descriptive and exploratory study that was prepared from the analysis of secondary data collected between January and February 2022 with the Secretary of Finance of the Erechim Municipality on establishments that sell food and at the Brazilian Institute of Geography and Statistics (IBGE), on family income, population and census sectors. The collected information was entered into the free geoprocessing software QGis Desktop 3.22 to perform the correlation, spatial analysis and the generation of thematic maps. The research revealed that the central regions of the Erechim city of concentrate the largest number of establishments that sell food. In peripheral regions and with low family income, there is a smaller amount of all types of establishments that sell food, especially those that sell healthy foods and hypermarkets/supermarkets. These results reveal that the food supply in the city of Erechim is unequal, which conditions the existence of food deserts. That way, it is recommended that the municipal government develop actions to promote access to more sustainable food systems.</t>
  </si>
  <si>
    <t>1958-9212</t>
  </si>
  <si>
    <t>10.4000/confins.52555</t>
  </si>
  <si>
    <t>WOS:001046491800006</t>
  </si>
  <si>
    <t>Kim, C; Goodwyn, B; Albukhaytan, S; Nartea, T; Ndegwa, E; Dhakal, R</t>
  </si>
  <si>
    <t>Kim, Chyer; Goodwyn, Brian; Albukhaytan, Sakinah; Nartea, Theresa; Ndegwa, Eunice; Dhakal, Ramesh</t>
  </si>
  <si>
    <t>Microbiological Survey and Antimicrobial Resistance of Foodborne Bacteria in Select Meat Products and Ethnic Food Products Procured from Food Desert Retail Outlets in Central Virginia, USA</t>
  </si>
  <si>
    <t>PATHOGENS</t>
  </si>
  <si>
    <t>In food desert areas, low-income households without convenient transportation often shop at small, independently owned corner markets and convenience stores (SIOMs). Studies indicate a higher potential for reduced product quality and safety of foods sold at SIOMs, with more critical and non-critical code violations in the region. This study aimed to assess the difference in market scale on the microbiological quality in select food products procured from food deserts in Central Virginia. A total of 326 samples consisting of meat products (i.e., ground beef, chicken, and sausage), ethnic food products (i.e., ox tail, stock fish bite, egusi ground, and saffron powder), and food packaging surfaces procured from ten registered SIOMs and nine large chain supermarkets (LCSMs) between August 2018 and March 2020 were evaluated. Higher levels of aerobic mesophile and coliform counts were found in SIOMs-acquired samples than in LCSMs-acquired samples, as demonstrated by the lower food safety compliance rate of SIOMs. Regardless of SIOMs or LCSMs, Campylobacter, E. coli, Listeria, and Salmonella were detected in 3.6%, 20.9%, 5.5%, and 2.7% of samples, respectively. The majorities of Campylobacter (75%, 6/8) and Salmonella (83.3%, 5/6) detected were from SIOMs-acquired samples including ethnic food products. Among the tested antimicrobials, AMP (100%) and TOB (100%) showed the highest frequency of resistance among Campylobacter, TCY (69.9%) among E. coli, NAL (100%) among Listeria, and TCY (50%) among Salmonella, respectively. The prevalence of multi-drug resistance (MDR) and non-susceptibility in Campylobacter and non-susceptibility in Listeria isolated from SIOMs-acquired food products were lower than those isolated from LCSMs-acquired samples. A higher price of the same brand name commodity sold at SIOMs than those sold at LCSMs was also observed, indicating an increased financial burden to economically challenged residents in food desert areas, in addition to food safety concerns. Elaborated and in-depth research on a larger-scale sample size with a greater diversity of products is needed to determine and intervene in the cause(s) of the observed differences in the prevalence of the pathogens and AMR profiles.</t>
  </si>
  <si>
    <t>Kim, Chyer/0000-0002-7481-6120</t>
  </si>
  <si>
    <t>2076-0817</t>
  </si>
  <si>
    <t>10.3390/pathogens12070965</t>
  </si>
  <si>
    <t>WOS:001039864600001</t>
  </si>
  <si>
    <t>Elkamel, M; Valencia, A; Zhang, W; Zheng, QP; Chang, NB</t>
  </si>
  <si>
    <t>Elkamel, Marwen; Valencia, Andrea; Zhang, Wei; Zheng, Qipeng P.; Chang, Ni-Bin</t>
  </si>
  <si>
    <t>Multi-agent modeling for linking a green transportation system with an urban agriculture network in a food-energy-water nexus</t>
  </si>
  <si>
    <t>Food-energy-water (FEW) nexus analysis is critical for sustainable urban development. The synergies among various resources flows in the urban agriculture network and the green transportation (GT) system with sus-tainability credentials of autonomous electric vehicles become an emerging research topic of interest in a FEW nexus. An agent-based modeling (ABM) framework using the NetLogo software platform was developed in this study to simulate extensive interactions among these FEW agents (consumers, producers, microgrid operators, water managers, and GT vehicles) to better understand the linkages and interactions between produce of urban farming and GT. The proposed ABM framework is illustrated by analyzing seven scenarios based on a case study of a food desert elimination plan in the Great Miami Metropolitan Region, south Florida. The region contains several urban agriculture sites within an urban agriculture network designed to contribute a new food supply to the local community demarcated as food deserts. In the FEW contexts, a group of autonomous electric vehicles is introduced to increase site access to these urban agriculture sites for the local consumers. Findings show that the integration of a GT system in an urban agriculture network can lead to more efficient and sustainable operation in a low-carbon city.</t>
  </si>
  <si>
    <t>Zhang, Wei/GOJ-8256-2022</t>
  </si>
  <si>
    <t>Zheng, Qipeng Phil/0000-0002-4597-3426</t>
  </si>
  <si>
    <t>10.1016/j.scs.2022.104354</t>
  </si>
  <si>
    <t>DEC 2022</t>
  </si>
  <si>
    <t>WOS:000916246300001</t>
  </si>
  <si>
    <t>Cerceo, E; Sharma, E; Boguslavsky, A; Rachoin, JS</t>
  </si>
  <si>
    <t>Cerceo, Elizabeth; Sharma, Elena; Boguslavsky, Anne; Rachoin, Jean-Sebastien</t>
  </si>
  <si>
    <t>Impact of Food Environments on Obesity Rates: A State-Level Analysis</t>
  </si>
  <si>
    <t>JOURNAL OF OBESITY</t>
  </si>
  <si>
    <t>Introduction. Limited access to healthy food in areas that are predominantly food deserts or food swamps may be associated with obesity. Other unhealthy behaviors may also be associated with obesity and poor food environments. Methods. We calculated Modified Retail Food Environment Index (mRFEI) to assess food retailers. Using data collected from the Behavioral Risk Factor Surveillance System (BRFSS) survey, the NJ Department of Health (NJDOH), and the US Census Bureau, we conducted a cross-sectional analysis of the interaction of obesity with the food environment and assessed smoking, leisure-time physical activity (LPA), and poor sleep. Results. There were 17.9% food deserts and 9.3% food swamps in NJ. There was a statistically significant negative correlation between mRFEI and obesity rate (Pearson's r -0.13, p&lt;0.001), suggesting that lack of access to healthy food is associated with obesity. Regression analysis was significantly and independently associated with increased obesity prevalence (adjusted R square 0.74 and p=0.008). Obesity correlated positively with unhealthy behaviors. Each unhealthy behavior was negatively correlated with mRFEI. The mean prevalence for smoking, LPA, and sleep &lt;7 hours was 15.4 (12.5-18.6), 26.5 (22.5-32.3), and 37.3 (34.9-40.4), respectively. Conclusion. Obesity tracks with food deserts and especially food swamps. It is also correlated with other unhealthy behaviors (smoking, LPA, and poor sleep).</t>
  </si>
  <si>
    <t>Rachoin, Jean-Sebastien/AAA-2360-2019</t>
  </si>
  <si>
    <t>Rachoin, Jean-Sebastien/0000-0002-6322-092X</t>
  </si>
  <si>
    <t>2090-0708</t>
  </si>
  <si>
    <t>2090-0716</t>
  </si>
  <si>
    <t>JUN 20</t>
  </si>
  <si>
    <t>10.1155/2023/5052613</t>
  </si>
  <si>
    <t>WOS:001022004300001</t>
  </si>
  <si>
    <t>Vaz, E; Damásio, B; Baçao, F; Shaker, RR; Penfound, E</t>
  </si>
  <si>
    <t>Vaz, Eric; Damasio, Bruno; Bacao, Fernando; Shaker, Richard Ross; Penfound, Elissa</t>
  </si>
  <si>
    <t>Urban habitats and food insecurity: Lessons learned throughout a pandemic</t>
  </si>
  <si>
    <t>Background: An increasing amount of literature raises the issue of food deserts and urban heterogeneity in larger metropolitan cores throughout North America. Specific to Canadian cities, the disparity between access to health, education, and affordable food is of growing concern. Recently, these drivers seem to be significantly linked to the propagation of COVID-19. This paper explores the spatially-explicit dynamics of food deserts in Toronto, by integrating Geographic In-formation Systems and machine learning to understand the clusters of food deserts. The integration of spatial analysis with self-organizing maps (SOM) offers insights on the relation between neighborhoods, geodemographic profiles and urban characteristics, and whether one might expect consequences of food insecurity given COVID-19.Methods: The paper starts out with developing a machine learning algorithm based on SOM to define meaningful clusters within the hedonic dataset. Further to this, an exploratory regression was built per cluster as to allow an exploratory spatial analysis to derive an explanatory framework for the key characteristics of socio-economic profiles within the Greater Toronto Area and impacts of SARS-CoV-2.Results: The findings suggest that there are clear spatial profiles within the urban core of Toronto in regards to food deserts, showing a direct relation between socioeconomic characteristics and the results on environmental injustice and livability. These profiles are strongly linked with the areas of COVID-19 occurrence, and share a very similar socio-demographic profile, particularly in regards to young and lower income families.Conclusion: There are several food deserts currently in Toronto, Ontario. The integration of policies that involve public health and spatial decision-support, particularly when linked to machine learning to aggregate characteristics of big data, establish a multi-functional understanding of the complexity of food secu-rity. This has a direct relation with diet, environment, and the opportunity to enhance subjective well-being in city cores.</t>
  </si>
  <si>
    <t>; Bacao, Fernando/E-2912-2010</t>
  </si>
  <si>
    <t>Vaz, Eric/0000-0003-1738-2677; Bacao, Fernando/0000-0002-0834-0275; Damasio, Bruno/0000-0002-2289-3087</t>
  </si>
  <si>
    <t>10.1016/j.habitatint.2023.102779</t>
  </si>
  <si>
    <t>MAR 2023</t>
  </si>
  <si>
    <t>WOS:001009505900001</t>
  </si>
  <si>
    <t>Heyda, P</t>
  </si>
  <si>
    <t>Heyda, Patty</t>
  </si>
  <si>
    <t>Food Desert: Feeding the Regional Economic Imaginary</t>
  </si>
  <si>
    <t>JOURNAL OF ARCHITECTURAL EDUCATION</t>
  </si>
  <si>
    <t>This essay explores the term 'desert' in the context of urban redevelopment. The essay draws out the contradictions of our contemporary planning condition that enables a massive new food distribution center to be placed in a beleagured community labeled a food and mobility desert-such that the new distribution center does not change life, food, or transit access for anyone who lives there. Theorizing a spatial-temporal mismatch between place and region that effectively starves communities to feed broader markets, this essay complicates the politics and potentials of food in the struggle for space against market logics that frame community access to food otherwise. The essay posits that to understand the violence of the contemporary American 'desert,' even the construction of the term itself, we should look critically at those most celebrated sites of regional economic growth-battleground sites that architects and planners are invariably complicit in reproducing.</t>
  </si>
  <si>
    <t>1046-4883</t>
  </si>
  <si>
    <t>1531-314X</t>
  </si>
  <si>
    <t>10.1080/10464883.2023.2233383</t>
  </si>
  <si>
    <t>WOS:001085270300014</t>
  </si>
  <si>
    <t>Kramarova, P; Stowell, F; Ries, J</t>
  </si>
  <si>
    <t>Kramarova, Pavla; Stowell, Frank; Ries, Jana</t>
  </si>
  <si>
    <t>A soft systems inquiry into the notion of 'food deserts' during the Covid-19 pandemic</t>
  </si>
  <si>
    <t>SYSTEMS RESEARCH AND BEHAVIORAL SCIENCE</t>
  </si>
  <si>
    <t>The severe restrictions placed upon face-to-face meetings during the Covid pandemic in 2020/2021 created new challenges for the on-going research into food systems in the Portsmouth community. The researchers had planned to use soft action research which involves participants meeting face-to-face. The restrictions that were imposed during the pandemic forbade such meetings and created a new set of issues for the researchers to overcome. In this paper, we describe how these shortcomings were addressed and introduce a novel way of adapting soft action research through the use of Information and Communication Technologies. The lessons learnt from our experiences will help inform researchers and professionals using Soft methods of inquiry and open opportunities for others to explore further the benefits and disadvantages of online investigation.</t>
  </si>
  <si>
    <t>Ries, Jana/0000-0001-9711-0019; stowell, frank/0000-0002-4763-660X; Kramarova, Pavla/0000-0002-9879-7083</t>
  </si>
  <si>
    <t>1092-7026</t>
  </si>
  <si>
    <t>1099-1743</t>
  </si>
  <si>
    <t>10.1002/sres.2907</t>
  </si>
  <si>
    <t>WOS:000854563500001</t>
  </si>
  <si>
    <t>Diallo, A; Bolden, T; Karimian, S; Russell, S; Elswick, RK; Magny-Normilus, C; Waters, L; Arcan, C; Tucker, KL; Talegawkar, SA</t>
  </si>
  <si>
    <t>Diallo, Ana; Bolden, Tiara; Karimian, Sogand; Russell, Sally; Elswick, Ronald K.; Magny-Normilus, Cherlie; Waters, Leland; Arcan, Chrisa; Tucker, Katherine L.; Talegawkar, Sameera A.</t>
  </si>
  <si>
    <t>Associations Between Food Security and Social Determinants of Health with Dietary Intakes - A Pilot Study</t>
  </si>
  <si>
    <t>Food insecurity is a major social determinant of health (SDH). However, further research is needed on the associations between SDH and diet among individuals living in urban food deserts. We designed a pilot study to examine the associations between diet and seven measures of SDH. Forty-five participants were enrolled in the study and were scheduled for an in-person or telephone interview. Food insecurity was significantly associated with greater intakes of fast food and refined grains. Employment was significantly associated with higher intake of alcohol. Findings from this pilot study confirm the importance of examining SDH in relation to diet.</t>
  </si>
  <si>
    <t>Diallo, Ana/JXW-6996-2024; Tucker, Katherine/A-4545-2010</t>
  </si>
  <si>
    <t>2023 OCT 20</t>
  </si>
  <si>
    <t>10.1080/19320248.2023.2266687</t>
  </si>
  <si>
    <t>OCT 2023</t>
  </si>
  <si>
    <t>WOS:001085800200001</t>
  </si>
  <si>
    <t>Klein, J; Ryan, J; Dwivedi, P; Leslie, T; Vyas, A; Krishnan, A</t>
  </si>
  <si>
    <t>Klein, Jennifer; Ryan, Julia; Dwivedi, Pallavi; Leslie, Timothy; Vyas, Amita; Krishnan, Anita</t>
  </si>
  <si>
    <t>Neighborhood location and nutritional resources as a risk factor for congenital heart disease in the fetus</t>
  </si>
  <si>
    <t>BIRTH DEFECTS RESEARCH</t>
  </si>
  <si>
    <t>Background Congenital heart disease (CHD) is the most common birth defect, influenced by maternal health, environmental conditions, and genetics. Maternal health and nutrition, particularly maternal diabetes, is a modifiable risk factor for development of CHD in the fetus. However, the importance of food access during pregnancy on the development of CHD remains unknown. The objective of this study was to investigate the association between maternal neighborhood characteristics, particularly food access, and occurrence of prenatally diagnosed CHD.Methods A retrospective case series studied maternal-fetal dyads with prenatally diagnosed CHD between 2019 and 2021 in Washington, DC. Moran's I of maternal addresses evaluated geographic clustering of disease. Negative binomial regression assessed association between census tract demographics and population-adjusted CHD rate.Results A total of 307 dyads were analyzed. Global Moran's I showed significant CHD clustering (p-value = .004). However, degree of clustering was not clinically meaningful. After adjusting for neighborhood socioeconomic status, residing in food deserts was not a predictor for CHD. However, neighborhoods with a higher percentage of households receiving Supplemental Nutrition Assistance Program (SNAP) benefits were associated with higher rates of conotruncal heart defects (Incident Rate Ratio [IRR] = 1.04, CI = 1.01-1.08) and aggregate CHD (IRR = 1.03, CI = 1.01-1.05).Conclusions Neighborhood location and food access were not associated with CHD. However, increased enrollment in SNAP was associated with higher rates of CHD. The association between CHD and SNAP benefits warrants further exploration. Understanding food access and maternal nutrition may illuminate disparities in the burden of CHD.</t>
  </si>
  <si>
    <t>Madia, Anita/HZL-9082-2023</t>
  </si>
  <si>
    <t>Klein, Jennifer/0000-0002-2629-1905; Krishnan, Anita/0000-0002-8662-7810</t>
  </si>
  <si>
    <t>2472-1727</t>
  </si>
  <si>
    <t>OCT 1</t>
  </si>
  <si>
    <t>10.1002/bdr2.2231</t>
  </si>
  <si>
    <t>WOS:001049962400001</t>
  </si>
  <si>
    <t>Katre, A; Raddatz, B</t>
  </si>
  <si>
    <t>Katre, Aparna; Raddatz, Brianna</t>
  </si>
  <si>
    <t>Low-Income Families' Direct Participation in Food-Systems Innovation to Promote Healthy Food Behaviors</t>
  </si>
  <si>
    <t>Low-income families, especially those who reside in food deserts, face significant systemic barriers regarding their ability to access affordable and nutritious food. The food behaviors exhibited by low-income families are a reflection of the shortcomings of the built environment and conventional food system. Policy and public-health initiatives to improve food security have, thus far, failed to deliver interventions that simultaneously address multiple pillars of food security. Centering the voices of the marginalized and their place-based knowledge may result in the development of food-access solutions that are a much better fit for the population that they intend to serve. Community-based participatory research has emerged as a solution to better meet the needs of communities in food-systems innovation, but little is known about the extent to which direct participation improves nutritional outcomes. The purpose of this research is to answer the following question: how can food-access solutions authentically engage marginalized community members in food-system innovation, and if participation is related to changes in their food behaviors, how is it related? This action research project leveraged a mixed-methods approach to analyze nutritional outcomes and define the nature of participation for 25 low-income families who reside in a food desert. Our findings suggest that nutritional outcomes improve when major barriers to healthy food consumption are addressed, for example, time, education, and transportation. Furthermore, participation in social innovations can be characterized by the nature of involvement as either a producer or consumer, actively or inactively involved. We conclude that when marginalized communities are at the center of food-systems innovation, individuals self-select their level of participation, and when primary barriers are addressed, deeper participation in food-systems innovation is associated with positive changes in healthy food behaviors.</t>
  </si>
  <si>
    <t>Katre, Aparna/0000-0002-6037-3007</t>
  </si>
  <si>
    <t>10.3390/nu15051271</t>
  </si>
  <si>
    <t>WOS:000946985000001</t>
  </si>
  <si>
    <t>Ore, TE</t>
  </si>
  <si>
    <t>Ore, Tracy E.</t>
  </si>
  <si>
    <t>CONTEMPORARY SOCIOLOGY-A JOURNAL OF REVIEWS</t>
  </si>
  <si>
    <t>0094-3061</t>
  </si>
  <si>
    <t>1939-8638</t>
  </si>
  <si>
    <t>10.1177/00943061231204791s</t>
  </si>
  <si>
    <t>WOS:001186450800025</t>
  </si>
  <si>
    <t>Kiefner-Burmeister, A; Heilman, CC</t>
  </si>
  <si>
    <t>Kiefner-Burmeister, Allison; Heilman, Claire C.</t>
  </si>
  <si>
    <t>A Century of Influences on Parental Feeding in America</t>
  </si>
  <si>
    <t>Purpose of ReviewChildhood obesity, food deserts, food prices, and a lack of nutritional knowledge are rising concerns in the USA. Parental feeding goals and practices have shifted greatly in the past century and families now rely almost solely on the corporate food industry. Industrial farming and corporate production of food stuffs can be damaging to the environment, animal ethics, and the health of children and families. This review examines how the history of the USA intertwines with parental feeding along with maternal and child health and well-being.Recent FindingsGrass roots efforts are underway to educate the public in nutrition and gardening. Knowledge of food basics, cooking, and animal husbandry can have a positive influence on the health of children and families, especially those living in food deserts. The proliferation of farmers' markets may provide a safe-hold for those wishing to feed local, ethically produced foods to their families.SummaryHistorical information on how US families became dependent upon factory farmed foods and lost their knowledge of food growth may help guide future communities on educational programming. Children who are educated on healthy foods have more interest in eating nourishing, clean foods. Family education and school programming on nutrition and gardening may work to ease absolute dependence on factory farmed foods and help to lower childhood obesity and related diseases.</t>
  </si>
  <si>
    <t>10.1007/s13668-023-00499-4</t>
  </si>
  <si>
    <t>WOS:001092880800001</t>
  </si>
  <si>
    <t>Nelson, JL</t>
  </si>
  <si>
    <t>Nelson, Jennifer L.</t>
  </si>
  <si>
    <t>SYMBOLIC INTERACTION</t>
  </si>
  <si>
    <t>0195-6086</t>
  </si>
  <si>
    <t>1533-8665</t>
  </si>
  <si>
    <t>10.1002/SYMB.597</t>
  </si>
  <si>
    <t>WOS:000790477600001</t>
  </si>
  <si>
    <t>Bevel, M; Tsai, MH; Parham, A; Andrzejak, S; Jones, SR; Moore, JX</t>
  </si>
  <si>
    <t>Bevel, Malcolm; Tsai, Meng-Han; Parham, April; Andrzejak, Sydney; Jones, Samantha R.; Moore, Justin X.</t>
  </si>
  <si>
    <t>The association between food deserts, food swamps, and obesity-related cancer mortality in the United States: the new epidemic</t>
  </si>
  <si>
    <t>CANCER RESEARCH</t>
  </si>
  <si>
    <t>APR 14-19, 2023</t>
  </si>
  <si>
    <t>Orlando, FL</t>
  </si>
  <si>
    <t>0008-5472</t>
  </si>
  <si>
    <t>1538-7445</t>
  </si>
  <si>
    <t>10.1158/1538-7445.AM2023-6483</t>
  </si>
  <si>
    <t>WOS:001008499106276</t>
  </si>
  <si>
    <t>Tupper, HI; Banks, KC; Velotta, JB</t>
  </si>
  <si>
    <t>Tupper, Haley I.; Banks, Kian C.; Velotta, Jeffrey B.</t>
  </si>
  <si>
    <t>Are Food Deserts Just a Proxy for Socioeconomic Status?</t>
  </si>
  <si>
    <t>10.1016/j.athoracsur.2023.04.039</t>
  </si>
  <si>
    <t>WOS:001051999400001</t>
  </si>
  <si>
    <t>Chen, DN; O'Callahan, A; Garrett-Kluthe, BM</t>
  </si>
  <si>
    <t>Chen, Diana K.; O'Callahan, Alexis; Garrett-Kluthe, Brandy M.</t>
  </si>
  <si>
    <t>Immigrant foodways in Jersey City, NJ</t>
  </si>
  <si>
    <t>This study explores the contemporary foodscape of Jersey City, New Jersey. Although Jersey City has a long history as a destination for immigrants from a wide range of countries, few studies exist concerning its rich array of ethnic foodways. Analysis of the diverse foodscape of Jersey City identifies risks to sovereignty such as the availability of culturally appropriate foods. The mixed methods research utilizes semi-structured surveys and freelists. The results demonstrate a strong, positive cognitive connection between immigrants and their traditional foodways, manifested in the popularity of fresh vegetables. Spatial representations of traditionally designated food deserts and the distribution of food stores suggest that the presence and roles of ethnic food stores should be more explicitly considered when constructing ideas about access to healthy food.</t>
  </si>
  <si>
    <t>O'Callahan, Alexis/JGD-3687-2023</t>
  </si>
  <si>
    <t>O'Callahan, Alexis/0000-0002-0601-2235</t>
  </si>
  <si>
    <t>MAR 15</t>
  </si>
  <si>
    <t>10.1080/15528014.2021.2000700</t>
  </si>
  <si>
    <t>WOS:000724065100001</t>
  </si>
  <si>
    <t>Lloyd, M; Amos, ME; LaForest, SM; Motairek, I; Frangella, KP; Elgudin, Y; Al-Kindi, SG; Pell, J; Deo, S</t>
  </si>
  <si>
    <t>Lloyd, Mackenzie; Amos, Mary Ellen; LaForest, Sherry M.; Motairek, Issam; Frangella, Kristina Pascuzzi; Elgudin, Yakov; Al-Kindi, Sadeer G.; Pell, Jill; Deo, Salil</t>
  </si>
  <si>
    <t>RESIDING IN FOOD DESERT CENSUS TRACTS ADVERSELY AFFECTS US VETERANS WITH CARDIOVASCULAR DISEASE</t>
  </si>
  <si>
    <t>MAR 04-06, 2023</t>
  </si>
  <si>
    <t>Deo, Salil/AHE-2796-2022</t>
  </si>
  <si>
    <t>MAR 7</t>
  </si>
  <si>
    <t>1020-05</t>
  </si>
  <si>
    <t>WOS:000990866101651</t>
  </si>
  <si>
    <t>McCormack, K</t>
  </si>
  <si>
    <t>McCormack, Kara</t>
  </si>
  <si>
    <t>Social determinants, food deserts, and their combined contribution to breast cancer mortality</t>
  </si>
  <si>
    <t>DEC 06-10, 2022</t>
  </si>
  <si>
    <t>San Antonio, TX</t>
  </si>
  <si>
    <t>P6-03-02</t>
  </si>
  <si>
    <t>10.1158/1538-7445.SABCS22-P6-03-02</t>
  </si>
  <si>
    <t>WOS:001004196803122</t>
  </si>
  <si>
    <t>Kim, B; Szanton, SL; Thorpe, R; Adkins-Jackson, P; Crews, D; Samuel, L</t>
  </si>
  <si>
    <t>Kim, Boeun; Szanton, Sarah L.; Thorpe, Roland; Adkins-Jackson, Paris; Crews, Deidra; Samuel, Laura</t>
  </si>
  <si>
    <t>FOOD DESERT RESIDENCE AND COGNITIVE TRAJECTORIES IN US OLDER POPULATION AGED 65 AND OLDER</t>
  </si>
  <si>
    <t>INNOVATION IN AGING</t>
  </si>
  <si>
    <t>2399-5300</t>
  </si>
  <si>
    <t>igad104.03</t>
  </si>
  <si>
    <t>WOS:001178258400346</t>
  </si>
  <si>
    <t>Koh, PS</t>
  </si>
  <si>
    <t>Koh, Paul S.</t>
  </si>
  <si>
    <t>Stable outcomes and information in games: An empirical framework</t>
  </si>
  <si>
    <t>JOURNAL OF ECONOMETRICS</t>
  </si>
  <si>
    <t>Empirically, many strategic settings are characterized by stable outcomes in which players' decisions are publicly observed, yet no player takes the opportunity to deviate. To analyze such situations in the presence of incomplete information, we build an empirical framework by introducing a novel solution concept that we call Bayes stable equilibrium and computationally tractable approaches for estimation and inference. Our framework allows the researcher to be agnostic about players' information and the equilibrium selection rule. In an application, we study the strategic entry decisions of McDonald's and Burger King in the US. While the Bayes stable equilibrium identified set is always (weakly) tighter than the Bayes correlated equilibrium identified set, our results show that the former can be substantially tighter in practice. In a counterfactual experiment, we examine the impact of increasing access to healthy food on the market structures in Mississippi food deserts.Published by Elsevier B.V.</t>
  </si>
  <si>
    <t>Koh, Paul/GVU-7505-2022</t>
  </si>
  <si>
    <t>0304-4076</t>
  </si>
  <si>
    <t>1872-6895</t>
  </si>
  <si>
    <t>10.1016/j.jeconom.2023.105499</t>
  </si>
  <si>
    <t>WOS:001062558400001</t>
  </si>
  <si>
    <t>Victor, A; Gotine, ARM; Falcao, IR; Ferreira, AJF; Flores-Ortiz, R; Xavier, SP; Vasco, MD; Silva, ND; Mahoche, M; Rodrigues, OAS; Ribeiro, RD; Rondó, PH; Barreto, ML</t>
  </si>
  <si>
    <t>Victor, Audencio; Gotine, Ana Raquel Manuel; Falcao, Ila R.; Ferreira, Andrea J. F.; Flores-Ortiz, Renzo; Xavier, Sancho Pedro; Vasco, Melsequisete Daniel; Silva, Natanael de Jesus; Mahoche, Manuel; Rodrigues, Osiyalle Akanni Silva; Ribeiro, Rita de Cassia; Rondo, Patricia H.; Barreto, Mauricio L.</t>
  </si>
  <si>
    <t>Association between food environments and fetal growth in pregnant Brazilian women</t>
  </si>
  <si>
    <t>BMC PREGNANCY AND CHILDBIRTH</t>
  </si>
  <si>
    <t>IntroductionBirth weight is described as one of the main determinants of newborns' chances of survival. Among the associated causes, or risk factors, the mother's nutritional status strongly influences fetal growth and birth weight outcomes of the concept. This study evaluates the association between food deserts, small for gestational age (SGA), large for gestational age (LGA) and low birth weight (LBW) newborns.DesignThis is a cross-sectional population study, resulting from individual data from the Live Birth Information System (SINASC), and commune data from mapping food deserts (CAISAN) in Brazil. The newborn's size was defined as follows: appropriate for gestational age (between 10 and 90th percentile), SGA (&lt; 10th percentile), LGA (&gt; 90th percentile), and low birth weight &lt; 2,500 g. To characterize food environments, we used tertiles of the density of establishments which sell in natura and ultra-processed foods. Logistic regression modeling was conducted to investigate the associations of interest.ResultsWe analyzed 2,632,314 live births in Brazil in 2016, after appropriate adjustments, women living in municipalities with limited availability of fresh foods had a higher chance of having newborns with SGA [OR2nd tertile: 1.06 (1.05-1.07)] and LBW [OR2nd tertile: 1.11 (1.09-1.12)]. Conversely, municipalities with greater availability of ultra-processed foods had a higher chance of having newborns with SGA [OR3rd tertile: 1.04 (1.02-1.06)] and LBW [OR2nd tertile: 1.13 (1.11-1.16)]. Stratification by race showed that Black and Mixed/Brown women had a higher chance of having newborns with SGA [OR3rd tertile: 1.09 (1.01-1.18)] and [OR3rd tertile: 1.06 (1.04-1.09)], respectively, while Mixed-race women also had a higher chance of having newborns with LBW [OR3rd tertile: 1.17 (1.14-1.20)]. Indigenous women were associated with LGA [OR3rd tertile: 1.20 (1.01-1.45)].ConclusionThe study found that living in areas with limited access to healthy foods was associated with an increased risk of SGA and low birth weight among newborns, particularly among Black and Mixed/Brown women. Therefore, urgent initiatives aimed at reducing social inequalities and mitigating the impact of poor food environments are needed in Brazil.</t>
  </si>
  <si>
    <t>Vasco, Melsequisete Daniel/ISS-9103-2023; Ferreira, andrea/GWN-1272-2022; Barreto, Mauricio/B-1752-2008; de carvalho rondo, Patricia/E-1936-2015; Xavier, Sancho/GON-5675-2022; Falcão, Ila/AID-1365-2022; Flores-Ortiz, Renzo Joel/KYR-1418-2024; de Jesus Silva, Natanael/AAS-2223-2021; Manuel Gotine, Ana Raquel/LEN-1524-2024; Victor, Audencio Victor/HDN-2775-2022</t>
  </si>
  <si>
    <t>Flores-Ortiz, Renzo Joel/0000-0001-7639-2627; Manuel Gotine, Ana Raquel/0000-0002-3539-4236; Mahoche, Manuel/0000-0002-9784-6402; Xavier, Sancho/0000-0001-9493-4098; Victor, Audencio Victor/0000-0002-8161-3639</t>
  </si>
  <si>
    <t>1471-2393</t>
  </si>
  <si>
    <t>SEP 13</t>
  </si>
  <si>
    <t>10.1186/s12884-023-05947-1</t>
  </si>
  <si>
    <t>WOS:001094596800005</t>
  </si>
  <si>
    <t>Russell, A; Li, ZQ; Wang, MS</t>
  </si>
  <si>
    <t>Russell, Amy; Li, Ziqi; Wang, Mingshu</t>
  </si>
  <si>
    <t>Equalizing urban agriculture access in Glasgow: A spatial optimization approach</t>
  </si>
  <si>
    <t>INTERNATIONAL JOURNAL OF APPLIED EARTH OBSERVATION AND GEOINFORMATION</t>
  </si>
  <si>
    <t>Glasgow, Scotland, United Kingdom, has long-term issues with inequalities in health and food security, as well as large areas of vacant and derelict land. Urban agriculture projects can increase access to fresh food, improve mental health and nutrition, and empower and bring communities together. We investigated the distribution of urban agriculture in Glasgow and found that the current configuration of urban agriculture projects is mostly located centrally in the city, covering 36 % of the total population (approximately 635,000) within 10-minute walking distance. We also found a positive correlation (r = 0.13, p = 0.0003) between the walking travel time to the nearest urban agriculture project and the food desert status. To increase urban agriculture access across the city, we used the Maximal Covering Location Problem (MCLP) model to optimally situate new urban agriculture projects on vacant and derelict land to maximize the covered population. We identified that a minimum of 15 new urban agriculture projects could increase the population coverage to 49 % and equalize the access disparity to a statistically non-significant level. This research shows that converting vacant and derelict land in Glasgow into urban agriculture projects could both help with the city's problem of vacant and derelict land and bring many potential benefits to local communities.</t>
  </si>
  <si>
    <t>Russell, Amy/IYS-6834-2023; Li, Ziqi/L-4326-2014</t>
  </si>
  <si>
    <t>Li, Ziqi/0000-0002-6345-4347</t>
  </si>
  <si>
    <t>1569-8432</t>
  </si>
  <si>
    <t>1872-826X</t>
  </si>
  <si>
    <t>10.1016/j.jag.2023.103525</t>
  </si>
  <si>
    <t>WOS:001101932300001</t>
  </si>
  <si>
    <t>Santiago, NL; Ituarte, P; Hadadianpour, S; Kohut, A; Senguttuvan, R; Tergas, A; Rodriguez-Rodriguez, L; Song, M</t>
  </si>
  <si>
    <t>Santiago, Nicole Lugo; Ituarte, Philip; Hadadianpour, Shiva; Kohut, Adrian; Senguttuvan, Rosemary; Tergas, Ana; Rodriguez-Rodriguez, Lorna; Song, Mihae</t>
  </si>
  <si>
    <t>Gynecological cancer survival and association with food deserts</t>
  </si>
  <si>
    <t>Rodriguez-Rodriguez, Luis/H-5880-2013</t>
  </si>
  <si>
    <t>10.1016/j.ygyno.2023.06.502</t>
  </si>
  <si>
    <t>SEP 2023</t>
  </si>
  <si>
    <t>WOS:001079556100039</t>
  </si>
  <si>
    <t>Avesani, CM; Stenvinkel, P; Sabatino, A; D'Alessandro, C; Piccoli, GB</t>
  </si>
  <si>
    <t>Avesani, Carla Maria; Stenvinkel, Peter; Sabatino, Alice; D'Alessandro, Claudia; Piccoli, Giorgina Barbara</t>
  </si>
  <si>
    <t>Why not turn Food Deserts at medical conferences into educational tools for a sustainable future?</t>
  </si>
  <si>
    <t>JOURNAL OF NEPHROLOGY</t>
  </si>
  <si>
    <t>Avesani, Carla/AAA-4128-2019; Sabatino, Alice/L-2846-2019; D Alessandro, Claudia/IXX-2842-2023</t>
  </si>
  <si>
    <t>Avesani, Carla Maria/0000-0002-4458-8358; Stenvinkel, Peter/0000-0002-8785-4820; D'ALESSANDRO, Claudia/0000-0003-2313-5461</t>
  </si>
  <si>
    <t>1121-8428</t>
  </si>
  <si>
    <t>1724-6059</t>
  </si>
  <si>
    <t>10.1007/s40620-023-01624-w</t>
  </si>
  <si>
    <t>WOS:000956373900003</t>
  </si>
  <si>
    <t>Paripati, N; Nesi, L; Sterrett, JD; Dawud, LM; Kessler, LR; Lowry, CA; Perez, LJ; DeSipio, J; Phadtare, S</t>
  </si>
  <si>
    <t>Paripati, Nikita; Nesi, Lauren; Sterrett, John D.; Dawud, Lamya'a M.; Kessler, Lyanna R.; Lowry, Christopher A.; Perez, Lark J.; DeSipio, Joshua; Phadtare, Sangita</t>
  </si>
  <si>
    <t>Gut Microbiome and Lipidome Signatures in Irritable Bowel Syndrome Patients from a Low-Income, Food-Desert Area: A Pilot Study</t>
  </si>
  <si>
    <t>MICROORGANISMS</t>
  </si>
  <si>
    <t>Irritable bowel syndrome (IBS) is a common gastroenterological disorder with triggers such as fructose. We showed that our IBS patients suffering from socioeconomic challenges have a significantly high consumption of high-fructose corn syrup (HFCS). Here, we characterize gut microbial dysbiosis and fatty acid changes, with respect to IBS, HFCS consumption, and socioeconomic factors. Fecal samples from IBS patients and healthy controls were subjected to microbiome and lipidome analyses. We assessed phylogenetic diversity and community composition of the microbiomes, and used linear discriminant analysis effect size (LEfSe), analysis of compositions of microbiomes (ANCOM) on highly co-occurring subcommunities (modules), least absolute shrinkage and selection operator (LASSO) on phylogenetic isometric log-ratio transformed (PhILR) taxon abundances to identify differentially abundant taxa. Based on a Procrustes randomization test, the microbiome and lipidome datasets correlated significantly (p = 0.002). Alpha diversity correlated with economic factors (p &lt; 0.001). Multiple subsets of the phylogenetic tree were associated with HFCS consumption (p &lt; 0.001). In IBS patients, relative abundances of potentially beneficial bacteria such as Monoglobaceae, Lachnospiraceae, and Ruminococcaceae were lower (p = 0.007), and Eisenbergiella, associated with inflammatory disorders, was higher. In IBS patients, certain saturated fatty acids were higher and unsaturated fatty acids were lower (p &lt; 0.05). Our study aims first to underscore the influence of HFCS consumption and socioeconomic factors on IBS pathophysiology, and provides new insights that inform patient care.</t>
  </si>
  <si>
    <t>Dawud, Lamya'a/AAD-7733-2022</t>
  </si>
  <si>
    <t>Phadtare, Sangita/0000-0002-4388-6150; Dawud, Lamya'a/0000-0003-1810-4927; Lowry, Christopher/0000-0003-3920-5575; Sterrett, John/0000-0002-0931-7181; Kessler, Lyanna/0000-0002-0021-7969</t>
  </si>
  <si>
    <t>2076-2607</t>
  </si>
  <si>
    <t>10.3390/microorganisms11102503</t>
  </si>
  <si>
    <t>WOS:001097990400001</t>
  </si>
  <si>
    <t>Radford, CE; James, KE; Clapp, M; Bryant, AS; Goldfarb, IT</t>
  </si>
  <si>
    <t>Radford, Caitlin E.; James, Kaitlyn E.; Clapp, Mark; Bryant, Allison S.; Goldfarb, Ilona T.</t>
  </si>
  <si>
    <t>Availability Versus Accessibility: Identifying COVID-19 Testing Deserts Across Massachusetts</t>
  </si>
  <si>
    <t>Throughout the COVID-19 pandemic, communities of color have faced significantly higher rates of COVID-19 infection, as well as poor clinical outcomes. These differences are driven by long-standing structural inequities that prevent effective social distancing efforts and are further exacerbated by disparities in COVID-19 testing. Our study applied the concept of COVID-19 testing deserts to systematically identify gaps in testing resource allocation across Massachusetts in May 2020 and March 2021. Testing deserts were identified at the census tract level, using criteria developed by the Department of Agriculture for food deserts. Testing deserts occurred more frequently in segregated Hispanic, segregated Black, mixed minority, and integrated communities, as well as in neighborhoods with low vehicle access and in federally designated Medically Underserved Areas. Segregated communities were those in which more than 50 percent of the population self-identified as non-Hispanic White, Hispanic, non-Hispanic Black, or non-Hispanic Asian, respectively. Testing deserts were overrepresented in counties with high COVID-19 incidence rates, suggesting that testing accessibility is essential for prompt COVID-19 diagnosis and self-isolation.</t>
  </si>
  <si>
    <t>10.1377/hlthaff.2022.00683</t>
  </si>
  <si>
    <t>WOS:000992769800012</t>
  </si>
  <si>
    <t>Tramontt, CR; Melo, IBC; Baraldi, LG; Tribst, AAL</t>
  </si>
  <si>
    <t>Tramontt, Claudia Raulino; Cisterna Melo, Izabella Bianca; Baraldi, Larissa Galastri; Lima Tribst, Alline Artigiani</t>
  </si>
  <si>
    <t>Relationship between food environment, social isolation and diet quality in Brazil</t>
  </si>
  <si>
    <t>ARCHIVOS LATINOAMERICANOS DE NUTRICION</t>
  </si>
  <si>
    <t>Relationship between food environment, social isolation and diet quality in Brazil. Introduction. The COVID-19 pandemic has impacted diet quality in different ways. In this context, community, organizational and consumer nutrition environments can influence the eating pattern. Objective. The purpose of this study was to identify how quarantine during the COVID-19 pandemic changed the diet in Brazil. Materials and methods. A natural experiment organized into experimental (social-isolated group - SIG) and control groups (non-isolated group - CG) was conducted with data collection from an online survey at the beginning of the pandemic (T0) and in the less restrictive period of 2020 (T1). Pre-post improvements in diet quality (IDQ) were determined for the SIG and CG. Intro-intergroup changes were tested using the Mann-Whitney and Wilcoxon signed rank tests. The intervention effect was estimated using crude and adjusted differenceindifference in multilevel regression analysis accounting for repeated measures. Results. A sample of 565 Brazilian adults answered the questionnaire at T0 and T1. IDQ was favored twice or more by attitudes such as buying food directly from farmers/street markets, reducing requests for food delivery, and increasing time spent on eating activities and the frequency of cooking. The isolated group had no IDQ at T1, whereas the no isolated group, who worsened diet quality (6.1%) at T0, improved it at T1 (4.8%). Conclusions. The restrictive quarantine forced the non-isolated population to have an experience comparable to a food desert, negatively affecting their diet. Arch Latinoam Nutr 2023; 73(3)S2: 101-111.</t>
  </si>
  <si>
    <t>Baraldi, Larissa/K-9784-2019; Tribst, Alline Artigiani Lima/B-2919-2014</t>
  </si>
  <si>
    <t>Tribst, Alline Artigiani Lima/0000-0003-1946-9354; Baraldi, Larissa/0000-0002-6793-7899; Raulino Tramontt, Claudia/0000-0001-7264-9317</t>
  </si>
  <si>
    <t>0004-0622</t>
  </si>
  <si>
    <t>2309-5806</t>
  </si>
  <si>
    <t>10.37527/2023.73.S2.012</t>
  </si>
  <si>
    <t>WOS:001170619200012</t>
  </si>
  <si>
    <t>Domenghini, C; Domenghini, J</t>
  </si>
  <si>
    <t>Domenghini, Cynthia; Domenghini, Jacob</t>
  </si>
  <si>
    <t>Evaluation of Community Outreach in Food Deserts for Promoting Health</t>
  </si>
  <si>
    <t>JUL 31-AUG 04, 2023</t>
  </si>
  <si>
    <t>Amer Soc Horticultural Sci</t>
  </si>
  <si>
    <t>S278</t>
  </si>
  <si>
    <t>S279</t>
  </si>
  <si>
    <t>WOS:001081831702231</t>
  </si>
  <si>
    <t>Chile</t>
  </si>
  <si>
    <t>Moratalla, AZ; Orellana-Mcbride, AG</t>
  </si>
  <si>
    <t>Moratalla, Ana Zazo; Orellana-Mcbride, Alejandro Guillermo</t>
  </si>
  <si>
    <t>Food deserts and swamps, new concepts for urban planning in Chile</t>
  </si>
  <si>
    <t>URBANO</t>
  </si>
  <si>
    <t>0717-3997</t>
  </si>
  <si>
    <t>0718-3607</t>
  </si>
  <si>
    <t>WOS:001203364700002</t>
  </si>
  <si>
    <t>Patel, K; Escamilla, V; Wolfe, L; Morris, T; Kinsinger, O; Blalock, E; Pradhan, I; Creasman, W; Ross, J</t>
  </si>
  <si>
    <t>Patel, Khilen; Escamilla, Veronica; Wolfe, Lauren; Morris, Tinea; Kinsinger, Oliva; Blalock, Elizabeth; Pradhan, Ipsita; Creasman, William; Ross, Jerlinda</t>
  </si>
  <si>
    <t>Food deserts, endometrial cancer survivors, and healthy food access: Is it equitable in rural America? - A geospatial analysis</t>
  </si>
  <si>
    <t>S213</t>
  </si>
  <si>
    <t>S214</t>
  </si>
  <si>
    <t>WOS:001079556100339</t>
  </si>
  <si>
    <t>Victor, A; Silva, RDR; Silva, ND; Ferreira, A; Barreto, ML; Campello, T</t>
  </si>
  <si>
    <t>Victor, Audencio; Silva, Rita de Cassia Ribeiro; Silva, Natanael de Jesus; Ferreira, Andrea; Barreto, Mauricio L.; Campello, Tereza</t>
  </si>
  <si>
    <t>Influence of Unhealthy Food Environment on Premature Cardiovascular Disease Mortality in Brazil: An Ecologic Approach</t>
  </si>
  <si>
    <t>Introduction: Cardiovascular disease is the main cause of general and premature death of adults aged 30-69 years in Brazil and around the world. Unhealthy food environments have been impli-cated as one of the factors associated with cardiovascular disease morbimortality because they affect people's health conditions and nutrition. This study aims to explore the association between unhealthy food environments (deserts/swamps) and premature cardiovascular disease mortality in the Brazilian population. Methods: This is an ecologic study using data from 5,558 Brazilian municipalities in 2016. The cardiovascular disease mortality data were obtained from the Mortality Information System of the Ministry of Health. The study on mapping food deserts in Brazil, developed by the Interministerial Chamber of Food and Nutrition Security, was used to evaluate the physical dimension of food access. The authors calculated the standardized rates of premature general and specific cardiovascu-lar disease (stroke and ischemic heart disease) causes of death in the same period. To characterize food environments, the density of unprocessed and ultraprocessed foods per 10,000 population in tertiles was used. Crude and adjusted negative binomial regression models were used to study the associations of interest.Results: After the necessary adjustments (human development index, gross domestic product per capita, unemployment rate, Gini index and Family Health Strategy coverage), it was found that municipalities with low unprocessed food supply were at the highest risk of increased mortality among women with ischemic heart disease (rate ratio first tertile: 1.08 [95% CI=1.01, 1.15]). Conversely, the municipalities where there was a greater offer of ultrapro-cessed foods showed a higher risk of death from cardiovascular diseases (rate ratio second ter -tile: 1.17 [95% CI=1.12, 1.22]; rate ratio third tertile: 1.20 [95% CI=1.14, 1.26]), from strokes (rate ratio second tertile: 1.19 [95% CI=1.13, 1.25]; rate ratio third tertile: 1.22 [95% CI=1.15, 1.30]), and ischemic heart disease (rate ratio second tertile: 1.19 [95% CI=1.12, 1.25]; rate ratio third tertile: 1.22 [95% CI=1.13, 1.29]).Conclusions: This study's findings show an increase in the risk of cardiovascular disease, stroke, and ischemic heart disease mortality, especially in the municipalities where there was a greater offer of ultraprocessed foods. Initiatives aiming to minimize the effects of these food environments are urgently needed in the Brazilian context. Am J Prev Med 2023;64(2):285-292.(c) 2022 American Journal of Preventive Medicine. Published by Elsevier Inc. All rights reserved.</t>
  </si>
  <si>
    <t>de Jesus Silva, Natanael/AAS-2223-2021; Barreto, Mauricio/B-1752-2008; da Silva, Renato/A-3016-2019; Victor, Audencio Victor/HDN-2775-2022</t>
  </si>
  <si>
    <t>Victor, Audencio Victor/0000-0002-8161-3639; de Jesus Silva, Natanael/0000-0003-3002-1032</t>
  </si>
  <si>
    <t>10.1016/j.amepre.2022.09.018</t>
  </si>
  <si>
    <t>JAN 2023</t>
  </si>
  <si>
    <t>WOS:000954337400001</t>
  </si>
  <si>
    <t>Kakarala, K; Popielski, A; Riggs, K; Hashmi, SS; Hafeez, Z</t>
  </si>
  <si>
    <t>Kakarala, Kokila; Popielski, Andrew; Riggs, Kaleigh; Hashmi, S. Shahrukh; Hafeez, Zoabe</t>
  </si>
  <si>
    <t>The Intersection of Food Insecurity and Transportation Insecurity in Harris County, Texas</t>
  </si>
  <si>
    <t>Food insecurity and transportation inequity are known to disproportionately impact the welfare of marginalized communities. Our study analyzed census data in Harris County, Texas comparing food insecurity rate and components of the Quality Affordable Transportation Index to explore their relationship. Mapping, geographically weighted regression (GWR), and linear regression methods were used to identify relationships between food insecurity and transportation. Poor walkability is more commonly associated with food insecure areas than is poor public transit in Harris County. GWR helped to identify an area of strong correlation between walkability and food insecurity in southwestern Harris County that may benefit from further study.</t>
  </si>
  <si>
    <t>Hashmi, S./H-6925-2019; Hafeez, Zoabe/JOK-3421-2023</t>
  </si>
  <si>
    <t>2023 SEP 25</t>
  </si>
  <si>
    <t>10.1080/19320248.2023.2261873</t>
  </si>
  <si>
    <t>WOS:001069040200001</t>
  </si>
  <si>
    <t>Hungary</t>
  </si>
  <si>
    <t>Kollanyi, Z; Bálint, L; Susovits, K; Csépe, P; Kovács, K</t>
  </si>
  <si>
    <t>Kollanyi, Zsofia; Balint, Lajos; Susovits, Kitti; Csepe, Peter; Kovacs, Katalin</t>
  </si>
  <si>
    <t>Inequalities in Diabetes Mortality Between Microregions in Hungary</t>
  </si>
  <si>
    <t>INTERNATIONAL JOURNAL OF PUBLIC HEALTH</t>
  </si>
  <si>
    <t>Objectives: Regional differences in diabetes mortality are high in Hungary. In our cross-sectional study, we aim to reveal the drivers of the inequalities in diabetes mortality across the 197 microregions of Hungary. To account for the influence of changes in healthcare and social conditions, we compared two periods (2009-12 and 2013-16).Methods: Traditional and re-conceptualized deprivation- and healthcare provison measures were used in OLS regression models.Results: Microregions with a high proportion of population living in service deserts, especially in regard to the lack of grocery stores, suffer the highest rates of diabetes mortality. Alcohol-related mortality has been proven to be a similarly and surprisingly strong predictor of diabetes mortality.Conclusion: Food provision should be supported in areas characterized by low service density, and alcohol policy should be strengthened and targeted.</t>
  </si>
  <si>
    <t>Kollányi, Zsófia/AAO-5598-2021</t>
  </si>
  <si>
    <t>1661-8556</t>
  </si>
  <si>
    <t>1661-8564</t>
  </si>
  <si>
    <t>OCT 31</t>
  </si>
  <si>
    <t>10.3389/ijph.2023.1606161</t>
  </si>
  <si>
    <t>WOS:001101512200001</t>
  </si>
  <si>
    <t>Drake, AJ; Phillips, LA; Karna, B; Murugesan, SB; Villa, LK; Smith, NA</t>
  </si>
  <si>
    <t>Drake, Alexandria J.; Phillips, Lora A.; Karna, Brajesh; Murugesan, Shakthi Bharathi; Villa, Lily K.; Smith, Nathan A.</t>
  </si>
  <si>
    <t>Food insecurity and disasters: predicting disparities in total and first-time food pantry visits during the COVID-19 pandemic</t>
  </si>
  <si>
    <t>In the U.S. state of Arizona, nearly one-third of households experienced food insecurity during the COVID-19 pandemic, an increase from one-fourth of households before the pandemic. Previous research on food insecurity in the wake of natural and human-instigated disasters demonstrates that groups vulnerable to food insecurity before a disaster are more susceptible to food insecurity during and after that disaster; however, less is known about whether this relationship also holds true during health-related disasters, such as the COVID-19 pandemic. We explore how the COVID-19 pandemic influenced urban food insecurity patterns by analyzing the socio-demographic characteristics of food pantry clients in Maricopa County, Arizona. Using data from Phoenix Rescue Mission (PRM), a local non-profit food service provider, two binomial logistic regression models compare the socio-demographic composition of total and first-time food pantry users before and during the pandemic. In addition to an overall increase in food pantry usage during the pandemic, we find that, while certain socio-demographic groups historically vulnerable to food insecurity experienced the predicted uptick in insecurity during the pandemic, other socio-demographic disparities were attenuated. These somewhat disparate findings illustrate the complex relationship between disasters and food insecurity in an urban context, offering several avenues for future research.</t>
  </si>
  <si>
    <t>Smith, Nathan/JXY-5736-2024; Karna, Brajesh/AAW-6748-2021</t>
  </si>
  <si>
    <t>Drake, Alexandria/0000-0001-9983-3827; Murugesan, Shakthi Bharathi/0000-0001-9585-4436; Karna, Brajesh/0000-0003-2808-7550</t>
  </si>
  <si>
    <t>10.1007/s12571-022-01336-2</t>
  </si>
  <si>
    <t>WOS:000903595300001</t>
  </si>
  <si>
    <t>Spruill, TM; Muntner, P; Popp, CJ; Shimbo, D; Cooper, LA; Moran, AE; Penko, J; Bibbins-Domingo, K; Ibe, C; Opara, IN; Howard, G; Bellows, BK; Spoer, B; Ravenell, J; Cherrington, AL; Levy, P; Commodore-Mensah, Y; Juraschek, SP; Molello, N; Dietz, KB; Brown, D; Bartelloni, A; Ogedegbe, G</t>
  </si>
  <si>
    <t>Spruill, Tanya M.; Muntner, Paul; Popp, Collin J.; Shimbo, Daichi; Cooper, Lisa A.; Moran, Andrew E.; Penko, Joanne; Bibbins-Domingo, Kirsten; Ibe, Chidinma; Opara, Ijeoma Nnodim; Howard, George; Bellows, Brandon K.; Spoer, Ben R.; Ravenell, Joseph; Cherrington, Andrea L.; Levy, Phillip; Commodore-Mensah, Yvonne; Juraschek, Stephen P.; Molello, Nancy; Dietz, Katherine B.; Brown, Deven; Bartelloni, Alexis; Ogedegbe, Gbenga</t>
  </si>
  <si>
    <t>AddREssing Social Determinants TO pRevent hypErtension (The RESTORE Network): Overview of the Health Equity Research Network to Prevent Hypertension</t>
  </si>
  <si>
    <t>AMERICAN JOURNAL OF HYPERTENSION</t>
  </si>
  <si>
    <t>BACKGROUND: The American Heart Association funded a Health Equity Research Network on the prevention of hypertension, the RESTORE Network, as part of its commitment to achieving health equity in all communities. This article provides an overview of the RESTORE Network.METHODS: The RESTORE Network includes five independent, randomized trials testing approaches to implement non-pharmacological interventions that have been proven to lower blood pressure (BP). The trials are community-based, taking place in churches in rural Alabama, mobile health units in Michigan, barbershops in New York, community health centers in Maryland, and food deserts in Massachusetts. Each trial employs a hybrid effectiveness-implementation research design to test scalable and sustainable strategies that mitigate social determinants of health (SDOH) that contribute to hypertension in Black communities. The primary outcome in each trial is change in systolic BP. The RESTORE Network Coordinating Center has five cores: BP measurement, statistics, intervention, community engagement, and training that support the trials. Standardized protocols, data elements and analysis plans were adopted in each trial to facilitate cross-trial comparisons of the implementation strategies, and application of a standard costing instrument for health economic evaluations, scale up, and policy analysis. Herein, we discuss future RESTORE Network research plans and policy outreach activities designed to advance health equity by preventing hypertension.CONCLUSIONS: The RESTORE Network was designed to promote health equity in the US by testing effective and sustainable implementation strategies focused on addressing SDOH to prevent hypertension among Black adults.</t>
  </si>
  <si>
    <t>Muntner, Paul/ACC-1358-2022; Commodore-Mensah, Yvonne/AAP-3381-2020</t>
  </si>
  <si>
    <t>Spoer, Ben/0000-0002-0311-7963; Opara, Ijeoma Nnodim/0000-0002-7231-9796; Bellows, Brandon/0000-0003-1395-6047</t>
  </si>
  <si>
    <t>0895-7061</t>
  </si>
  <si>
    <t>1941-7225</t>
  </si>
  <si>
    <t>APR 15</t>
  </si>
  <si>
    <t>10.1093/ajh/hpad010</t>
  </si>
  <si>
    <t>WOS:000973557000002</t>
  </si>
  <si>
    <t>Rousham, E; Clark, M; Latham, M; Oo, SP; Read, S; Griffiths, P; Blankenship, J; Goudet, S</t>
  </si>
  <si>
    <t>Rousham, Emily; Clark, Martyn; Latham, Michelle; Oo, Swan Pyae; Read, Sonja; Griffiths, Paula; Blankenship, Jessica; Goudet, Sophie</t>
  </si>
  <si>
    <t>Resilience and vulnerabilities of urban food environments in the Asia-Pacific region</t>
  </si>
  <si>
    <t>MATERNAL AND CHILD NUTRITION</t>
  </si>
  <si>
    <t>Rapid urbanisation in the Asia-Pacific region is associated with complex changes to urban food environments. The impact of changing food environments on food purchasing and consumption and the diets and nutritional status of vulnerable groups, especially women and young children, is not well researched in low- and middle-income country cities. This paper aimed to examine: the risks and opportunities for healthy diets for low income populations offered by modernising urban centres; the concept of food deserts in relation to urban food environments in the Asia-Pacific region and how these could be mitigated; and measures to strengthen the resilience of food environments in the region using a case study of the impact of COVID-19 on informal food vendors. Our findings indicate that the dynamic changes in urban food environments in the Asia- Pacific region need to be understood by examining not only modern retail food outlets but also wet markets and informal food outlets, including street foods. Efforts should be made to ensure both modern and traditional outlets provide complementary platforms for convenient, affordable and accessible nutritious foods for urban populations. The resilience of urban food environments to environmental, physical and socio-economic shocks can be strengthened by shortening food supply chains and maximising food production in cities. Support mechanisms targeting urban informal food outlets and street vendors can also strengthen resilience and improve food security. Further research is needed on the impact of urbanising food environments on consumer choices, preferences, diets and health outcomes.</t>
  </si>
  <si>
    <t>Clark, Martyn/A-5560-2015</t>
  </si>
  <si>
    <t>Rousham, Emily/0000-0001-5654-9279; , Sonja/0000-0003-3137-2491</t>
  </si>
  <si>
    <t>1740-8695</t>
  </si>
  <si>
    <t>1740-8709</t>
  </si>
  <si>
    <t>2023 APR 25</t>
  </si>
  <si>
    <t>10.1111/mcn.13513</t>
  </si>
  <si>
    <t>WOS:000975132900001</t>
  </si>
  <si>
    <t>Onamusi, TA; Wilkowski, CM; Curtis, KK; Kumar, Y; Sharma, TR; Carroll, BT</t>
  </si>
  <si>
    <t>Onamusi, Toluwalashe A.; Wilkowski, Caroline M.; Curtis, Kristen K.; Kumar, Yash; Sharma, Timmie R.; Carroll, Bryan T.</t>
  </si>
  <si>
    <t>Identifying sunscreen deserts in Cuyahoga County</t>
  </si>
  <si>
    <t>ARCHIVES OF DERMATOLOGICAL RESEARCH</t>
  </si>
  <si>
    <t>Low sunscreen use in patients of color (POC) is multifactorial and could be partially attributable to lack of access or the lack of knowledge about its use beyond skin cancer prevention. Dyschromia is among the top diagnoses for POC and sunscreen is first-line management. POC and lower socioeconomic status often face health disparities and are susceptible to having difficulty accessing food, health care, and medication. We look to see if they extend to sunscreen access by evaluating physical retailers. This study investigated sunscreen access by identifying potential sunscreen deserts and characterizing sunscreen availability and affordability in Cuyahoga County, Ohio. Sunscreen deserts were defined as census tracts that were both low-income and low-access, adapted from the definition of food deserts. Google Maps search of sunscreen and sunscreen store in Cuyahoga County identified sunscreen retailers to geocode addresses. Total number and average cost of sunscreens were collected for each retailer and compared by community type. Fisher exact test, analysis of variance, and logistic regression were used for analysis. One hundred forty-six retailers were included in analysis of four hundred twenty-one census tracts in the county. Sixty-seven tracts met the definition of sunscreen desert. Majority White tracts were less likely to be deserts and had more sunscreen formulations, than Majority Black tracts (p &lt; 0.001). The majority of sunscreen deserts were in predominantly black communities, which had fewer stores and sunscreen formulations available. These findings indicate a lack of sunscreen available to a demographic of patients that could benefit from increased access, as it would help manage hyperpigmentation.</t>
  </si>
  <si>
    <t>Sharma, Timmie/KDN-1468-2024</t>
  </si>
  <si>
    <t>Carroll, Bryan T/0000-0001-5712-6307</t>
  </si>
  <si>
    <t>0340-3696</t>
  </si>
  <si>
    <t>1432-069X</t>
  </si>
  <si>
    <t>DEC 8</t>
  </si>
  <si>
    <t>10.1007/s00403-023-02778-0</t>
  </si>
  <si>
    <t>WOS:001118535700001</t>
  </si>
  <si>
    <t>Alebna, PL; Gyekye, K; Guo, X; Nkeangu, F; Gharbin, J; Alebna, PA; Montgomery, M</t>
  </si>
  <si>
    <t>Alebna, Pamela L.; Gyekye, Kwaku; Guo, Xutong; Nkeangu, Fomengia; Gharbin, John; Alebna, Prince A.; Montgomery, Matthew</t>
  </si>
  <si>
    <t>ASSOCIATION BETWEEN FOOD DESERTS AND 30-DAY READMISSION FOR HEART FAILURE: A SINGLE CENTER STUDY</t>
  </si>
  <si>
    <t>Gharbin, John/JZD-7247-2024</t>
  </si>
  <si>
    <t>1428-029</t>
  </si>
  <si>
    <t>WOS:000990866101987</t>
  </si>
  <si>
    <t>Turkson-Ocran, RAN; Cluett, JL; Fitzpatrick, SL; Kraemer, KM; McManus, K; Mukamal, KJ; Davis, RB; Elborki, M; Ferro, K; Ismail, N; Aidoo, EL; Kwapong, FL; Castilla-Ojo, N; Grobman, B; Seager, R; Hines, AL; Miller, ER; Crews, DC; Juraschek, SP</t>
  </si>
  <si>
    <t>Turkson-Ocran, Ruth-Alma N.; Cluett, Jennifer L.; Fitzpatrick, Stephanie L.; Kraemer, Kristen M.; McManus, Kathy; Mukamal, Kenneth J.; Davis, Roger B.; Elborki, Marwa; Ferro, Kayla; Ismail, Norah; Aidoo, Emily Laura; Kwapong, Fredrick Larbi; Castilla-Ojo, Noelle; Grobman, Ben; Seager, Reva; Hines, Anika L.; Miller, Edgar R.; Crews, Deidra C.; Juraschek, Stephen P.</t>
  </si>
  <si>
    <t>Rationale and Design of the Groceries for Black Residents of Boston to Stop Hypertension Among Adults Without Treated Hypertension (GoFresh) Trial</t>
  </si>
  <si>
    <t>Background: Poor diet quality significantly contributes to hypertension disparities affecting Black adults. While the Dietary Approaches to Stop Hypertension (DASH) eating pattern lowers blood pressure (BP), access to DASH-patterned groceries is a major barrier for residents of urban food deserts. Methods: The Groceries for Black Residents of Boston to Stop Hypertension among Adults without Treated Hypertension (GoFresh) study is one of five projects in the RESTORE Network, an AHA-funded initiative focused on hypertension prevention. GoFresh is testing whether online, dietitian-assisted, home-delivered, DASH-patterned groceries lowers BP among Black adults with elevated BP. This individual-level, parallel-arm trial will enroll up to 176 Black adults with SBP (systolic blood pressure) between 120 and &lt;150 mm Hg residing in Boston-area communities with reduced grocery store access. Following randomization, half of the participants will be assigned to weekly sessions with a dietitian who will assist participants in ordering DASH-patterned groceries online for home delivery; the remainder will receive a $500 monthly stipend. Both interventions will last 3 months, followed by a 9-month maintenance phase. Results: The primary outcome is the difference in SBP after 3 months. Secondary outcomes include a change in 24-hour ambulatory BP, body mass index, 24-hour urine sodium and potassium, hemoglobin A1C, lipids, fruit and vegetable intake, and saturated fat intake. Qualitative interviews with 45 participants 6 months after baseline assessments will determine barriers and facilitators to long-term maintenance of DASH-patterned grocery shopping. Discussion: Findings from this study will inform ongoing work on scalable interventions to prevent hypertension among Black adults with implications for public and healthcare-based food supplementation programs.</t>
  </si>
  <si>
    <t>Turkson-Ocran, Ruth-Alma/L-3421-2017; Mukamal, Kenneth/GVR-7978-2022; Cluett, Jennifer/KHD-0446-2024</t>
  </si>
  <si>
    <t>Juraschek, Stephen/0000-0003-4168-2696</t>
  </si>
  <si>
    <t>10.1093/ajh/hpad008</t>
  </si>
  <si>
    <t>WOS:000973557000005</t>
  </si>
  <si>
    <t>Lele, S; Otoya, D; Lavingia, K; Fong, K; Amendola, M</t>
  </si>
  <si>
    <t>Lele, Sonia; Otoya, Diana; Lavingia, Kedar; Fong, Kathryn; Amendola, Michael</t>
  </si>
  <si>
    <t>They Live in a Desert but Are They Deserted? Analysis of Veteran Patients Undergoing Endovascular Aortic Aneurysm Repair Who Live in Food Deserts</t>
  </si>
  <si>
    <t>1097-6809</t>
  </si>
  <si>
    <t>IP097</t>
  </si>
  <si>
    <t>E150</t>
  </si>
  <si>
    <t>WOS:001038870400126</t>
  </si>
  <si>
    <t>Newbold, KB; Valaitis, R; Phillips, S; Alvarez, E; Neil-Sztramko, S; Sihota, D; Tandon, M; Nadarajah, A; Wang, AMY; Moore, C; Orr, E; Ganann, R</t>
  </si>
  <si>
    <t>Newbold, K. Bruce; Valaitis, Ruta; Phillips, Stuart; Alvarez, Elizabeth; Neil-Sztramko, Sarah; Sihota, Davneet; Tandon, Mainka; Nadarajah, Abbira; Wang, Amy; Moore, Caroline; Orr, Elizabeth; Ganann, Rebecca</t>
  </si>
  <si>
    <t>Enhancing Physical and Community MoBility in OLDEr Adults with Health Inequities Using CommuNity Co-Design (EMBOLDEN): Results of an Environmental Scan</t>
  </si>
  <si>
    <t>CANADIAN GERIATRICS JOURNAL</t>
  </si>
  <si>
    <t>Background Using the comparatively new environmental scan methodol-ogy, a protocol was developed and conducted to inform the co-design and implementation of a novel intervention to promote mobility among older adults in Hamilton, Ontario, Canada. The EMBOLDEN program seeks to promote phys-ical and community mobility in adults 55 years and older who face barriers accessing community programs and who reside in areas of high inequity in Hamilton, and to address the following areas of focus: physical activity, nutrition, social participation, and system navigation supports.Methods The environmental scan protocol was developed using exist-ing models and drew insights from census data, a review of existing services, organizational representative interviews, windshield surveys of selected high-priority neighbourhoods, and Geographic Information System (GIS) mapping.Results A total of 98 programs for older adults from 50 different or-ganizations were identified, with the majority (92) supporting mobility, physical activity, nutrition, social participation, and system navigation. The analysis of census tract data identified eight high-priority neighbourhoods characterized by large shares of older adults, high material deprivation, low income, and high proportion of immigrants. These populations can be hard to reach and face multiple barriers to participation in community-based activities. The scan also revealed the nature and types of services geared toward older adults in each neighbourhood, with each priority neighbourhood having at least one school and park. Most areas had a range of services and supports (i.e., health care, housing, stores, religious op-tions), although there was a lack of diverse ethnic community centres and income-diverse activities specific to older adults in most neighbourhoods. Neighbourhoods also differed in the geographic distribution number of services, along with the number of recreational services specific to older adults. Barriers included financial and physical accessibility, lack of ethnically diverse community centres, and food deserts. Conclusions Scan results will inform the co-design and implementation of the Enhancing physical and community MoBility in OLDEr adults with health inequities using commuNity co-design intervention-EMBOLDEN.</t>
  </si>
  <si>
    <t>Neil-Sztramko, Sarah/V-3157-2019; Orr, Elizabeth/CAG-4647-2022</t>
  </si>
  <si>
    <t>Sihota, Davneet/0009-0001-1787-3831; Orr, Elizabeth/0000-0003-0796-9204; Neil-Sztramko, Sarah E/0000-0002-9600-3403</t>
  </si>
  <si>
    <t>1925-8348</t>
  </si>
  <si>
    <t>10.5770/cgj.26.602</t>
  </si>
  <si>
    <t>WOS:000946459500003</t>
  </si>
  <si>
    <t>Akintobi, TH; Barrett, R; Hoffman, L; Scott, S; Davis, K; Jones, T; Brown, ND; Fraire, M; Fraire, R; Garner, J; Gruner, A; Hill, J; Meckel, R; Obi, C; Omunga, P; Parham, Q; Rice, T; Samples, O; Terrill, T</t>
  </si>
  <si>
    <t>Akintobi, Tabia Henry; Barrett, R.; Hoffman, L.; Scott, S.; Davis, K.; Jones, T.; Brown, N. De Veauuse; Fraire, M.; Fraire, R.; Garner, J.; Gruner, A.; Hill, J.; Meckel, R.; Obi, C.; Omunga, P.; Parham, Q.; Rice, T.; Samples, O.; Terrill, T.</t>
  </si>
  <si>
    <t>The community engagement course and action network: strengthening community and academic research partnerships to advance health equity</t>
  </si>
  <si>
    <t>BackgroundHistorically Black Colleges and Universities and Minority Serving Institutions are uniquely positioned to implement community-campus research partnerships based on a history of service, the pursuit of community trustworthiness and student demographics often similar to surrounding marginalized communities. The Morehouse School of Medicine Prevention Research Center collaborates with members of Historically Black Colleges and Universities, Minority Serving Institutes, and community organizations on the Community Engaged Course and Action Network. This network is the first of its kind and aims to strengthen members' ability to implement Community-Based Participatory Research (CBPR) principles and partnerships. Projects address public health priorities including mental health among communities of color, zoonotic disease prevention, and urban food deserts. Materials and methodsTo assess the effectiveness of the network, a Participatory Evaluation framework was implemented to conduct process evaluation which included review of partnership structures, operations, project implementation processes, and preliminary outcomes of the research collaborations. A focus group of Community Engagement Course and Action Network members (community and academic) was also conducted to identify benefits and challenges of the network with emphasis on key areas for improvement to further enhance the relationships between partners and to facilitate their subsequent community-campus research. ResultsNetwork improvements were tied to themes strengthening community-academic partnerships including sharing and fellowship, coalition building and collaboration, and greater connections and awareness of community needs through their current community-academic partnerships. The need to conduct ongoing evaluation during and after implementation, for determining the early adoption of CBPR approaches was also identified. ConclusionEvaluation of the network's processes, infrastructure, and operation provides early lessons learned to strengthen the network. Ongoing assessment is also essential for ensuring continuous quality improvement across partnerships such as determining CBPR fidelity, assessing partnership synergy, and dynamics, and for quality improvement of research protocol. The implications and potential for advancing implementation science through this and similar networks are great towards advancing leadership in modeling how foundations in community service can advance to CBPR partnership formation and ultimately, health equity approaches, that are local defined and assessed.</t>
  </si>
  <si>
    <t>JUN 19</t>
  </si>
  <si>
    <t>10.3389/fpubh.2023.1114868</t>
  </si>
  <si>
    <t>WOS:001017963300001</t>
  </si>
  <si>
    <t>Bhattarai, K; Adhikari, AP</t>
  </si>
  <si>
    <t>Bhattarai, Keshav; Adhikari, Ambika P.</t>
  </si>
  <si>
    <t>Promoting Urban Farming for Creating Sustainable Cities in Nepal</t>
  </si>
  <si>
    <t>This paper responds to the research question, can urban farming in Nepal help create sustainable cities? Especially after the COVID-19 pandemic, urban residents have begun to realize that food transported from long distances is not always reliable. Urban farming can help produce fresh food locally and help urban residents become self-reliant by engaging in healthy eating habits and practicing sustainable agricultural techniques in food-desert areas, while creating a positive impact on the environment through regenerative agricultural methods. In doing so, urban farms can help the growers save on food expenditures and even earn some additional income, while also improving air quality and minimizing the effects of urban heat islands. This practice also helps reduce greenhouse gases through plant carbon use efficiency (CUE), as vegetation carbon dynamics (VCD) can be adjusted while supporting the circular economy. As urban lands command higher prices than agricultural land, urban farming usually happens on residential yards, roofs, balconies, community gardens, and dedicated areas in public parks. Rainwater harvesting and redirecting can help irrigate urban farms, which can be part of rain gardens. The national census of 2021 identified that 66% of Nepal's population lives in urban areas. However, the World Bank (2018) showed that only 21 of Nepal's population was projected to live in urban areas in 2021. It is not debatable that the urbanization process in Nepal is on the rise. Thus, urban agriculture can play an important role in supplementing residents' food needs. Many cities in Nepal have already successfully adapted to urban farming wherein residents grow food on their building sites, balconies, and rooftop, often growing plants in pots, vases, and other types of containers. The UN-Habitat, with the support of the European Union and local agencies, published a rooftop farming training manual (2014), showing the feasibility of urban farming in Nepal. This paper discusses how public-private partnership (PPP) can promote urban agriculture and make the process more effective and attractive to urban-farming households. It also analyzes how a PPP approach also facilitates the use of better technology, advisory support, and use of research extension activities. This paper draws on a literature review, uses remote-sensing imagery data and data from National Census Nepal 2021, and the authors' professional experiences related to best practices in the areas to analyze the benefits and challenges related to urban farming both in Nepal and Arizona, USA. The paper provides recommendations for Nepali cities to maximize the benefit provided by urban farming. It is expected to be useful to Nepali policymakers, government agencies, and nonprofit organizations which promote sustainability, and organic farming with a sustainable supply chain.</t>
  </si>
  <si>
    <t>10.3390/urbansci7020054</t>
  </si>
  <si>
    <t>WOS:001015916600001</t>
  </si>
  <si>
    <t>Navarro-Hinojoza, E; Fuentes, E</t>
  </si>
  <si>
    <t>Navarro-Hinojoza, Ernesto; Fuentes, Elena</t>
  </si>
  <si>
    <t>Spatial distribution of food landscapes in a northeastern Mexican city</t>
  </si>
  <si>
    <t>ENCRUCIJADAS-REVISTA CRITICA DE CIENCIAS SOCIALES</t>
  </si>
  <si>
    <t>The food issue, in its broadest sense, has been consolidated on the international agendas as a relevant and priority issue, due to the importance of the urban population in the agri-food system and its eco social consequences for achieving sustainability. Understanding how food environments (landscapes) are presented in cities and their correlation with specific geographical areas, allow to understand the existing dynamics in those territories. A theoretical-methodological approach is based on the metaphors of deserts, oases and food swamps. The objective of the study is to present the food environment in Saltillo, Coahuila, through the geostatistical distribution of food product establishments, their area of influence and their relationship with urban marginalization. According to the results obtained, the swamps cover 49%, while the desert covers 29 and oases 22% of the analyzed territory. That is, regardless of the level of marginalization, the population is constantly exposed to an obesogenic environment that is unfavorable for healthy foods. Likewise, few areas classified as deserts were presented, which does not mean that there is no population that is presenting food insecurity or difficulties in accessing a healthy and varied diet.</t>
  </si>
  <si>
    <t>2174-7148</t>
  </si>
  <si>
    <t>2174-6753</t>
  </si>
  <si>
    <t>a2309</t>
  </si>
  <si>
    <t>WOS:001071082800006</t>
  </si>
  <si>
    <t>Why not turn Food Deserts at medical conferences into educational tools for a sustainable future? (Mar, 10.1007/s40620-023-01624-w, 2023)</t>
  </si>
  <si>
    <t>Avesani, Carla Maria/0000-0002-4458-8358; D'ALESSANDRO, Claudia/0000-0003-2313-5461; Stenvinkel, Peter/0000-0002-8785-4820</t>
  </si>
  <si>
    <t>10.1007/s40620-023-01633-9</t>
  </si>
  <si>
    <t>WOS:000964381100002</t>
  </si>
  <si>
    <t>Mendoza-Graf, A; Collins, RL; Dastidar, MG; Beckman, R; Hunter, GP; Troxel, WM; Dubowitz, T</t>
  </si>
  <si>
    <t>Mendoza-Graf, Alexandra; Collins, Rebecca L.; Dastidar, Madhumita Ghosh; Beckman, Robin; Hunter, Gerald P.; Troxel, Wendy M.; Dubowitz, Tamara</t>
  </si>
  <si>
    <t>Changes in psychosocial wellbeing over a five-year period in two predominantly Black Pittsburgh neighbourhoods: A comparison between gentrifying and non-gentrifying census tracts</t>
  </si>
  <si>
    <t>Gentrification often leads to changes within urban neighbourhoods. While redevelopment and investment may improve the built environment in gentrifying neighbourhoods, there may be disruptive impacts that affect health and wellbeing for existing residents. A growing body of literature explores the impact of gentrification on the psychosocial wellbeing of residents. This study sought to understand gentrification's effects on three aspects of psychosocial wellbeing in a random sample of predominantly Black residents in two neighbourhoods in Pittsburgh, Pennsylvania (n = 662). Residents were enrolled in 2011 and surveyed multiple times through 2018. We used American Community Survey data to create a tract-level measure of gentrification to categorise the 13 census tracts in the two neighbourhoods as gentrified or not gentrified between 2011 and 2018 and assessed whether gentrified tracts experienced predominantly White or Black gentrification. We then estimated multivariate regression models to test associations between gentrification status and participant-level changes in perceived neighbourhood social cohesion, neighbourhood satisfaction and psychological distress, between 2013 and 2018. Relative to participants living in non-gentrified tracts, we found those living in gentrified tracts (all of which were Black gentrified) experienced smaller improvements in perceived neighbourhood social cohesion (coef. =-0.21, p = 0.005) and neighbourhood satisfaction (dy/dx = 0.12, p = 0.003). We found no statistically significant association between gentrification and changes in psychological distress. These results suggest that although gentrification may bring about needed resources in the community, further consideration should be given to help ensure any detrimental effects on social cohesion and neighbourhood satisfaction are mitigated.</t>
  </si>
  <si>
    <t>Mendoza-Graf, Alexandra/0000-0003-2529-7085</t>
  </si>
  <si>
    <t>10.1177/00420980221135385</t>
  </si>
  <si>
    <t>WOS:000911858700001</t>
  </si>
  <si>
    <t>Mendoza-Graf, A; MacCarthy, S; Collins, R; Wagner, L; Dubowitz, T</t>
  </si>
  <si>
    <t>Mendoza-Graf, Alexandra; MacCarthy, Sarah; Collins, Rebecca; Wagner, La'Vette; Dubowitz, Tamara</t>
  </si>
  <si>
    <t>Exploring differences in perceptions of gentrification, neighborhood satisfaction, social cohesion, and health among residents of two predominantly African American Pittsburgh neighborhoods (n=60)</t>
  </si>
  <si>
    <t>BackgroundGentrification often leads to changes in the social and physical environment of neighborhoods, which social capital theory has found are connected to aspects of resident health and wellbeing. A growing body of literature has explored the impact of gentrification on health and wellbeing of residents. The goal of this study is to qualitatively explore the ways in which gentrification may have impacted perceptions of neighborhood satisfaction, social cohesion, and health of neighborhood residents (n = 60) from two predominantly Black neighborhoods in Pittsburgh, Pennsylvania, one of which experienced Black gentrification during the study's time period. This analysis is unique in its ability to capture experiences of residents who remained in their neighborhood throughout the course of the study, as well as those who moved away from their neighborhood.MethodsParticipants were randomly selected from a larger cohort enrolled in a quasi-experimental study and categorized by whether they lived in a census tract that gentrified, whether they owned or rented their home, and whether they moved from the neighborhood or remained in the same place of residence between 2011 and 2018. Phone interviews lasting approximately 30 min were conducted with participants and were audio recorded and transcribed verbatim. Participants were provided a $40 gift card for their time. Interview data were analyzed using a directed content approach, and Cohen's Kappa was obtained (k = 0.924) to signal good inter-rater reliability.ResultsResults showed renters in gentrified census tracts overwhelmingly viewed gentrification trends as a negative change compared to homeowners. Overall, participants from gentrified census tracts reported being relatively satisfied with their neighborhood, though some suggested there were fewer resources in the neighborhood over time; felt their social cohesion had deteriorated over time; and more commonly reflected negative health changes over time.ConclusionsThese findings suggest that while gentrification can bring much needed improvements to neighborhoods, it can also bring other disruptive changes that affect the health and wellbeing of existing residents.</t>
  </si>
  <si>
    <t>10.1186/s12889-023-16970-4</t>
  </si>
  <si>
    <t>WOS:001095285800001</t>
  </si>
  <si>
    <t>Honório, OS; Mendes, LL; Moreira, CC; de Araújo, ML; Pessoa, MC</t>
  </si>
  <si>
    <t>Honorio, Olivia Souza; Mendes, Larissa Loures; Moreira, Caroline Camila; de Araujo, Melissa Luciana; Pessoa, Milene Cristine</t>
  </si>
  <si>
    <t>Evolution of food deserts and food swamps in a Brazilian metropolis between 2008 and 2020</t>
  </si>
  <si>
    <t>CIENCIA &amp; SAUDE COLETIVA</t>
  </si>
  <si>
    <t>The aim of the current ecological study is to assess the evolution of food deserts and food swamps in the metropolitan city of Belo Horizonte between 2008 and 2020. Food deserts were determined based on the density of healthy establishments per 10,000 inhabitants, whereas food swamps were set based on the density of ultra-processed food procurement establishments per 10,000 inhabitants. The rate of census tracts classified as food deserts has decreased between 2008 and 2020, whereas that of census tracts classified as food swamps has increased within this same period. Furthermore, despite the reduced number of food deserts, these areas have increased in census tracts living under lower socioeconomic vulnerability condition. Food swamps recorded sharp increase in census tracts living under higher vulnerability condition. The population living in the herein investigated city has been increasingly exposed to an unhealthy community food environment over 12 years. Monitoring changes in community food environment is key strategy to enable tracking the effectiveness and efficiency of actions taken in food environments to ensure the human right to adequate food.</t>
  </si>
  <si>
    <t>Loures Mendes, Larissa/0000-0002-0031-3862</t>
  </si>
  <si>
    <t>1413-8123</t>
  </si>
  <si>
    <t>1678-4561</t>
  </si>
  <si>
    <t>e09582023</t>
  </si>
  <si>
    <t>10.1590/1413-812320242910.09582023</t>
  </si>
  <si>
    <t>WOS:001317569600001</t>
  </si>
  <si>
    <t>Sung, JS; Alrahmani, L; Firlit, ML; Tipton, MJ; Lal, AK; Sprawka, N; Goodman, JR</t>
  </si>
  <si>
    <t>Sung, Juliana S.; Alrahmani, Layan; Firlit, Michelle L.; Tipton, Matthew J.; Lal, Ann K.; Sprawka, Nicole; Goodman, Jean R.</t>
  </si>
  <si>
    <t>Association of Food Deserts and COVID-19 Severity in Pregnancy as Reflected by Need for Hospitalization</t>
  </si>
  <si>
    <t>BackgroundSocioeconomic disparities play an important role in disease epidemiology and outcomes in pregnancy.ObjectiveThe objective was to evaluate whether pregnant women with COVID-19 living in a food desert, are at increased risk of more severe disease reflected by symptoms at presentation and need for hospitalization.MethodsIn this retrospective observational study, the electronic medical records of all pregnant patients with documented SARS-CoV-2 infection were reviewed. Food deserts were defined by the USDA and the patient's residence was mapped on the Food Access Research Atlas to determine whether each patient lived within a food desert. Comparisons between those with documented symptomatic COVID-19 required hospitalization to those with documented COVID-19 without need for hospitalization were made using univariate analysis and multivariable logistic regression analysis.ResultsThe cohort consisted of 129 pregnant patients with COVID-19, with 59.7% (n = 77) asymptomatic and 33.3% (n = 43) requiring admission due to disease severity. The majority were Hispanic (70.5%), and obese (median BMI 31.91 kg/m2), with 33.3% living in a food desert. Patients with disease severity necessitating admission were significantly more likely to reside in a food desert (46.5% vs. 27.9%, P 0.037, OR 2.246, 95% CI 1.048-4.814). No other significant differences were identified on univariate. Multivariable binary logistic regression modeling confirmed food desert residence to be the only independent predictor of more severe COVID-19.Conclusion for PracticeThere is a strong association between living in a food desert and the development of symptomatic COVID-19 requiring hospitalization in pregnancy. What is already known on this subject?Food deserts reflect socioeconomic disparities that affect the health of pregnant women. Those that reside in a food desert have an overall increase in pregnancy morbidity. In addition, current understanding has demonstrated that pregnant women are at increased risk of severe COVID-19 infection.What this study adds?In pregnancy, COVID-19 disproportionally affects those who reside in a food desert locale with more severe infection, reflecting the existence of health disparities in an urban community.</t>
  </si>
  <si>
    <t>10.1007/s10995-024-03949-9</t>
  </si>
  <si>
    <t>WOS:001251845200001</t>
  </si>
  <si>
    <t>Donovan, B; Wiese, D; Henry, KA; Wu, JW; Rae, L; Anderson, J</t>
  </si>
  <si>
    <t>Donovan, Brienne; Wiese, Daniel; Henry, Kevin A.; Wu, Jingwei; Rae, Lisa; Anderson, Jeffrey</t>
  </si>
  <si>
    <t>Evaluating the Effects of Food Deserts and Food Swamps in an Urban Burn Patient Population</t>
  </si>
  <si>
    <t>JOURNAL OF BURN CARE &amp; RESEARCH</t>
  </si>
  <si>
    <t>Poverty is a known risk factor for burn injury and is associated with residency in food deserts and food swamps. Our aim was to determine the prevalence of residency in food deserts and food swamps and to investigate the relationship between food environment, comorbidities, and wound healing in patients with burns. We performed a retrospective chart review of all patients with burns aged &gt;= 18 seen in the emergency department or admitted to the burn service at an American Burn Association-verified urban academic center between January 2016 and January 2022. Patient GeoIDs were used to classify residency in food deserts and food swamps, and comorbidities and demographics were recorded. A subset of patients with &lt;20% total body surface area burns who underwent single-operation split-thickness skin grafting was identified for wound healing analysis. A total of 3063 patients were included, with 206 in the heal time analysis. In total, 2490 (81.3%) lived in food swamps and 96 (3.1%) lived in food deserts. Diabetes, hypertension, and tobacco smoking were more prevalent in food swamps than in food deserts or good access areas. While there was no significant effect of the food environment on wound healing, diabetes was associated with longer healing times. Most patients with burns reside in food swamps, which are associated with a higher prevalence of hypertension, diabetes, and smoking. The food environment was not significantly associated with wound healing. Not having diabetes was associated with a shorter time for wound healing.</t>
  </si>
  <si>
    <t>1559-047X</t>
  </si>
  <si>
    <t>1559-0488</t>
  </si>
  <si>
    <t>10.1093/jbcr/irae058</t>
  </si>
  <si>
    <t>APR 2024</t>
  </si>
  <si>
    <t>WOS:001222750300001</t>
  </si>
  <si>
    <t>Patel, KB; Escamilla, V; Wolfe, L; Morris, T; Pradhan, I; Creasman, B; Ross, J</t>
  </si>
  <si>
    <t>Patel, Khilen B.; Escamilla, Veronica; Wolfe, Lauren; Morris, Tinea; Pradhan, Ipsita; Creasman, Bill; Ross, Jerlinda</t>
  </si>
  <si>
    <t>Objective. To examine endometrial cancer survivors' access to healthy food resources recommended by the Society of Gynecologic Oncology (SGO) in relation to food deserts and social health determinants. Methods. Participants included women seen for endometrial cancer treatment at an academic medical center in the Deep South from 2015 to 2020 who lived in South Carolina. Demographic and comorbidity data were abstracted from medical records. Food desert data were obtained from the United States Department of Agriculture (USDA). Each patient was assigned a socioeconomic (SES) score (SES-1 = low, SES-5 = high) using census data and a social vulnerability index (SVI) using Center for Disease Control and Prevention (CDC) data for neighborhood adverse health effects. Geospatial techniques assessed patients' driving distance from home to a healthy food resource. Results. Of the 736 endometrial cancer survivors, 31% identi fied as African American, and 30% lived in low SES (SES-1, SES-2) census blocks. Most survivors had low grade disease (63%) and 76% with stage 1-2 disease. Seventy percent of patients were obese (BMI &gt;= 30 kg/m2). Forty percent of survivors lived in a food desert. Survivors living in a food desert with low SES had signi ficantly higher social vulnerability ( p = 0.0001) and lower median income (p = 0.0001). Those with low SES and living in a food desert drove further ( p = 0.05, range 0.017-12.0 miles). Conclusion. Obesity rates were high in endometrial cancer survivors living in the Deep South. Survivors with higher social vulnerability and lower SES were more likely to live in food deserts with decreased access to healthy food resources. (c) 2024 Published by Elsevier Inc.</t>
  </si>
  <si>
    <t>10.1016/j.ygyno.2024.05.029</t>
  </si>
  <si>
    <t>WOS:001252370600001</t>
  </si>
  <si>
    <t>da Silva, JML; Oliveira, JS; Borges, DC; Honório, OS; Mendes, LL; Canuto, R</t>
  </si>
  <si>
    <t>da Silva, Jennyffer Mayara Lima; Oliveira, Juliana Souza; Borges, Daniely Casagrande; Honorio, Olivia Souza; Mendes, Larissa Loures; Canuto, Raquel</t>
  </si>
  <si>
    <t>Social inequities in food deserts and food swamps in a northeastern Brazilian capital</t>
  </si>
  <si>
    <t>JOURNAL OF BIOSOCIAL SCIENCE</t>
  </si>
  <si>
    <t>This study identified food deserts and swamps, investigating their associations with socioeconomic and demographic conditions. This ecological study was conducted using data from urban census tracts in the city of Recife, which were considered the unit of analysis. Information on food retail was obtained from government sources in 2019. Census tracts below the 25th percentile in the density of healthy food retail (i.e., those that predominantly sell natural or minimally processed foods, mixed businesses, and super- and hypermarkets) were classified as food deserts. Census tracts above the 25th percentile in the density of unhealthy food retail (i.e., those selling primarily ultra-processed foods) were considered food swamps. The socioeconomic and demographic conditions of the census tracts were evaluated using variables from the 2010 census (per capita income, average income, race, literacy of the head of household, and the availability of essential services) and the Health Vulnerability Index. Census tracts considered food deserts (28.5%) were more vulnerable, characterized by lower income and access to essential services, more illiterate residents and more minorities (Black/Indigenous/mixed race). Food swamps (73.47%) were more prevalent in less vulnerable neighbourhoods characterized by higher percentages of literate residents and Whites, greater purchasing power, and better basic sanitation. The characteristics of Recife's food deserts and swamps demonstrate social inequalities in the food environment. Public facilities could play a vital role in promoting healthy eating within food deserts. Additionally, future implementation of taxes on ultra-processed foods and the provision of tax subsidies to natural or minimally processed food sellers might contribute to fostering healthier dietary choices.</t>
  </si>
  <si>
    <t>Canuto, Raquel/AAV-8688-2020</t>
  </si>
  <si>
    <t>Canuto, Raquel/0000-0002-4042-1913</t>
  </si>
  <si>
    <t>0021-9320</t>
  </si>
  <si>
    <t>1469-7599</t>
  </si>
  <si>
    <t>10.1017/S0021932024000087</t>
  </si>
  <si>
    <t>FEB 2024</t>
  </si>
  <si>
    <t>WOS:001173424900001</t>
  </si>
  <si>
    <t>Thomson, G; Austin, JT</t>
  </si>
  <si>
    <t>Thomson, Gavin; Austin, Jasmine T.</t>
  </si>
  <si>
    <t>Food deserts: How bringing home the bacon varies across neighborhoods</t>
  </si>
  <si>
    <t>Communication is used to engage and involve students in addressing food deserts and developing sustainable solutions. This application-based activity allows students to explain the reality of food deserts, map the food deserts in an area of interest, develop an intervention, and present their communication intervention to a nonprofit interlocutor. The goals of this unit activity are to guide students along the research process, argument formation, and advocacy-centered presentations for the marginalized group's access to affordable healthy food options.CoursesThis activity is great for high school and college students in classes such as Public Speaking, Health Communication, Rhetoric of Critical Health, and Environmental Communication.ObjectivesBy the end of this activity, students will be able to (1) visualize and communicate disparities within food deserts; (2) develop community-engaged and advocacy-oriented presentations; and (3) distinguish key factors differentiating food availability utilizing mapping techniques.</t>
  </si>
  <si>
    <t>10.1080/17404622.2023.2281924</t>
  </si>
  <si>
    <t>DEC 2023</t>
  </si>
  <si>
    <t>WOS:001118679500001</t>
  </si>
  <si>
    <t>Baxter, C; Park, YM</t>
  </si>
  <si>
    <t>Baxter, Connolly; Park, Yoo Min</t>
  </si>
  <si>
    <t>Food Swamp Versus Food Desert: Analysis of Geographic Disparities in Obesity and Diabetes in North Carolina Using GIS and Spatial Regression</t>
  </si>
  <si>
    <t>This study examined how two different types of food environments-food deserts and food swamps-were associated with geographic disparities in obesity and diabetes in North Carolina using geographic information systems and spatial regression. To better identify the association between food swamps and health disparities, this study incorporated socioeconomic dimensions into the food swamp measure and considered dollar stores and gas stations with convenience stores as unhealthy food retailers, which were often overlooked in previous studies. It found that food deserts were concentrated in eastern North Carolina (ENC) and western North Carolina and food swamps in ENC, while obesity and diabetes hot spots were clustered in ENC. The results indicated that obesity and diabetes remained associated with food swamps even after spatial autocorrelation was controlled for, but the associations with food deserts-statistically significant in a nonspatial regression-became no longer significant when food swamps and spatial autocorrelation were controlled for. These results demonstrate that a food swamp might better explain health disparities in North Carolina than a food desert. Identifying ENC as a region containing both food deserts and food swamps illustrates the need for state and local governments to focus their efforts in this region to mitigate food insecurity and health disparities.</t>
  </si>
  <si>
    <t>Park, Yoo Min/0000-0003-1860-4489</t>
  </si>
  <si>
    <t>10.1080/00330124.2024.2306642</t>
  </si>
  <si>
    <t>JAN 2024</t>
  </si>
  <si>
    <t>WOS:001175707200001</t>
  </si>
  <si>
    <t>Reynolds, K</t>
  </si>
  <si>
    <t>Reynolds, Kathryn</t>
  </si>
  <si>
    <t>Uber to get groceries: Are ride-hail services accessing Chicago's food deserts?</t>
  </si>
  <si>
    <t>Segregation has many negative consequences for marginalized populations, including increased poverty, low-quality housing, and decreased access to quality education, employment, and food stores. This study illuminates how food and transportation infrastructures exacerbate these inequalities and whether ride-hail services like Uber and Lyft help affected populations access food stores. As a descriptive understanding of the intersection between food, transportation, and racial and ethnic residential segregation in Chicago, Illinois, this study analyzes two questions: (1) how often are ride-hail trips crossing food desert census tract boundaries and (2) are ride-hail trips that access food deserts also accessing neighborhoods that contain supermarkets? Using spatial analyses of data from the city of Chicago, the American Community Survey, food store locations, and the USDA food access atlas, this study finds that ride-hail services are accessing food desert neighborhoods at a very low rate, and very few rides access food desert and supermarket-containing neighborhoods in the same trip.</t>
  </si>
  <si>
    <t>2024 APR 13</t>
  </si>
  <si>
    <t>10.1080/07352166.2024.2337017</t>
  </si>
  <si>
    <t>WOS:001200495600001</t>
  </si>
  <si>
    <t>Ares, G; Turra, S; Bonilla, L; Costa, M; Verdier, S; Brunet, G; Alcaire, F; Curutchet, MR; Vidal, L</t>
  </si>
  <si>
    <t>Ares, Gaston; Turra, Sergio; Bonilla, Luciana; Costa, Maria; Verdier, Sofia; Brunet, Geronimo; Alcaire, Florencia; Curutchet, Maria Rosa; Vidal, Leticia</t>
  </si>
  <si>
    <t>WEIRD and non-consensual food deserts and swamps: A scoping review of operational definitions</t>
  </si>
  <si>
    <t>The aim of the present study was to critically analyze operational definitions of food deserts and food swamps included in empirical studies published in peer-reviewed journals. A scoping review was conducted following the recommendations of the Joanna Briggs Institute and PRISMA Extension for Scoping Reviews. A search of the scientific literature was performed on August 2023 to identify empirical studies including operational definitions of food deserts and/or food swamps in three databases: Scopus, PubMed, and Scielo. A total of 932 scientific articles were identified in the three databases, from which 157 articles, published between 2002 and 2023, were included in the review. The included studies were mainly conducted in WEIRD (Western, Educated, Industrilaized, Rich and Democractic) countries. They presented a total of 107 operational definitions of food deserts and 30 operational definitions of food swamps. Large heterogeneity in the operational definitions of food deserts and food swamps was found. Published studies differed in all the elements of the operational definitions analyzed in the present work. Results stress the need for standardization and the development of more objective and multivariate continuous measures of physical food accessibility that reflect the complexity of modern food environments globally. A series of recommendations to advance food environment research are derived.</t>
  </si>
  <si>
    <t>Brunet, Geronimo/0000-0002-9046-3708</t>
  </si>
  <si>
    <t>10.1016/j.healthplace.2024.103315</t>
  </si>
  <si>
    <t>JUL 2024</t>
  </si>
  <si>
    <t>WOS:001271718700001</t>
  </si>
  <si>
    <t>Borges, DC; Vargas, JCB; Honório, OS; Mendes, LL; Canuto, R</t>
  </si>
  <si>
    <t>Borges, Daniely Casagrande; Vargas, Julio Celso Borello; Honorio, Olivia Souza; Mendes, Larissa Loures; Canuto, Raquel</t>
  </si>
  <si>
    <t>Social and ethnic-racial inequities in the occurrence of food deserts in a Brazilian state capital</t>
  </si>
  <si>
    <t>This study described the occurrence of food deserts and its relationship with the socioeconomic characteristics of the area. This is an ecological study based on secondary data from the city of Porto Alegre, Brazil. Food deserts were defined based on the density of establishments that sell healthy foods. The socioeconomic variables analyzed were the Health Vulnerability Index (HVI), percentage of illiterate people, percentage of people with per capita income of up to half a minimum wage, and percentage of households made up of people who identify as Black, Brown or Indigenous. Statistical and spatial analyses were conducted using census tracts as units of analysis. Almost half of the census tracts were classified as food deserts (n = 1150/48.3%), with higher concentration in the peripheral areas of the city. Tracts with a high risk of health vulnerability (very high HVI), those with the highest percentage of black and indigenous peoples (Quartile 4), the highest percentage of illiterate people (Quartile 4), and the highest percentage of people living on less than 1/5\documentclass[12pt]{minimal} \usepackage{amsmath} \usepackage{wasysym} \usepackage{amsfonts} \usepackage{amssymb} \usepackage{amsbsy} \usepackage{mathrsfs} \usepackage{upgreek} \setlength{\oddsidemargin}{-69pt} \begin{document}$$&lt;^&gt;{1}/_{5}$$\end{document} minimum wage (Quartile 4), were about twice as likely to be classified as a food desert. For all variables, a dose-response relationship was observed. The results show that in the city of Porto Alegre food deserts were associated with worse environmental and social conditions, and a greater presence of ethnic-racial minority groups. Social and ethnic-racial inequities might shape the city environment, making access to healthy foods more difficult for the most vulnerable populations, with possible repercussions on food consumption, food security and other health outcomes.</t>
  </si>
  <si>
    <t>Canuto, Raquel/AAV-8688-2020; Mendes, Larissa/Q-4817-2017; Borello Vargas, Julio Celso/AAR-4671-2021</t>
  </si>
  <si>
    <t>Mendes, Larissa/0000-0003-0776-6845; Canuto, Raquel/0000-0002-4042-1913; Borello Vargas, Julio Celso/0000-0001-8321-5362; Casagrande Borges, Daniely/0000-0003-2790-2357</t>
  </si>
  <si>
    <t>10.1007/s12571-024-01450-3</t>
  </si>
  <si>
    <t>MAY 2024</t>
  </si>
  <si>
    <t>WOS:001216123300002</t>
  </si>
  <si>
    <t>Franca, FCOD; Zandonadi, RP; Moreira, IMD; da Silva, ICR; Akutsu, RDCD; Lima, J; Duran-Agueero, S</t>
  </si>
  <si>
    <t>Franca, Fabiana Chagas Oliveira de; Zandonadi, Renata Puppin; Moreira, Iana Mendes de Almeida; da Silva, Izabel Cristina Rodrigues; Akutsu, Rita de Cassia Coelho de Almeida; Lima, Joao; Duran-Agueero, Samuel</t>
  </si>
  <si>
    <t>Deserts, Swamps and Food Oases: Mapping around the Schools in Bahia, Brazil and Implications for Ensuring Food and Nutritional Security</t>
  </si>
  <si>
    <t>Deserts, swamps and food oases terms have been used to characterize the food environment according to the identified food availability. Food swamps are defined as neighborhoods with a predominance of food establishments selling ultra-processed foods compared to establishments selling healthy options. In contrast, food oases are areas with easy access to healthy and nutritious foods, such as fruits, vegetables, and other fresh foods. Food deserts describe densely populated urban areas where residents face difficulty obtaining healthy food. In this context, this work aimed to map deserts, swamps, and food oases around federal schools in Bahia, Brazil, emphasizing the importance of implementing the Brazilian National School Feeding Program (PNAE) in these schools, to guarantee food security and nutrition. An ecological study was carried out in all 35 federal schools in Bahia, Brazil, using an 800 m buffer analysis, with the school as the centroid. The geographic coordinates of schools and food establishments were initially obtained using Google Maps and later confirmed onsite. To evaluate food deserts and swamps, the methodology proposed by the CDC was used and the Modified Retail Food Environment Index (mRFEI) was calculated; when the result was equal to zero, the surrounding area was considered a food desert and values between 0.01 and 20 determined food swamps; for values above 20, the neighborhood was classified as mixed. Food oases were considered regions containing at least one supermarket within the analyzed buffer. Descriptive analyses were carried out with frequency measurements, measures of central tendency (mean and median) and dispersion (standard deviation). The food environment of schools was compared considering the number of students impacted, the area where the school was located (urban or rural) and the size of the municipalities. The average number of food establishments found was 22.39 (+/- 13.03), with the highest averages for snack bars (7.33 +/- 4.43), grocery stores (5.83 +/- 4.09) and restaurants (2.94 +/- 2.19). Food deserts and mixed environments were identified in 40% of the sample, while swamps represented 20% and oases 65%. An association was observed between food deserts and social vulnerability, making it necessary to emphasize the importance of adequate implementation of the PNAE in these schools to reduce food and nutritional insecurity, guaranteeing the human right to adequate and healthy food and providing better nutrition and health perspectives within the school environment and impact on students' lives through food and nutrition education actions, which are also part of the context of PNAE activities.</t>
  </si>
  <si>
    <t>Silva, Izabel/AAM-9268-2020; AKUTSU, RITA/W-2853-2019; Zandonadi, Renata/O-7908-2017</t>
  </si>
  <si>
    <t>Zandonadi, Renata/0000-0003-0370-3089; Akutsu, Rita/0000-0003-0699-7617</t>
  </si>
  <si>
    <t>10.3390/nu16010156</t>
  </si>
  <si>
    <t>WOS:001140684100001</t>
  </si>
  <si>
    <t>Janatabadi, F; Newing, A; Ermagun, A</t>
  </si>
  <si>
    <t>Janatabadi, Fatemeh; Newing, Andy; Ermagun, Alireza</t>
  </si>
  <si>
    <t>Social and spatial inequalities of contemporary food deserts: A compound of store and online access to food in the United Kingdom</t>
  </si>
  <si>
    <t>This research studies the social and spatial inequalities of contemporary food deserts in England and Wales. Two indices of the Store Food Desert Index and Online Food Desert Index are measured to examine store access and online access to food at the Lower Layer Super Output Areas geographical level. A detailed analysis is conducted to (i) identify priority areas where there is relatively lower store access and online access to food, (ii) synthesize population to understand the characteristics of at-risk communities that are disproportionately affected by food deserts, and (iii) examine the association between self-reported health conditions and a compound of store and online access to food. Three insights are provided. First, there is a clear urban-rural divide in which urban areas generally benefit from better provision of both store and online access to food. Second, about 23% of the population (13.8 million people) live in priority areas with limited access to both physical stores and online groceries. Within this group, 0.06% (8000 individuals) do not have cars, 2.17% (300,000 individuals) are Black, and 14.5% (2 million individuals) reside in deprived neighborhoods. This is an alarming picture. Third, people residing in areas with high store and online access to food reported better health conditions, and online access is as effective as store access in improving health conditions. The findings highlight the potential of combining online and store access to bridge geographical and economic gaps, thereby providing healthier food options to those in food deserts.</t>
  </si>
  <si>
    <t>10.1016/j.apgeog.2023.103184</t>
  </si>
  <si>
    <t>WOS:001152377800001</t>
  </si>
  <si>
    <t>Cruz-Piedrahita, C; Martinez-Carranza, FJ; Delgado-Serrano, MM</t>
  </si>
  <si>
    <t>Cruz-Piedrahita, Catalina; Martinez-Carranza, Francisco-Javier; Delgado-Serrano, Maria Mar</t>
  </si>
  <si>
    <t>A Multidimensional Approach to Understanding Food Deserts in Vulnerable Contexts</t>
  </si>
  <si>
    <t>This study examined the phenomenon of food deserts in Las Palmeras, a vulnerable neighborhood in Cordoba, Spain, a medium-sized city known for its agricultural traditions and Mediterranean diet. Through a mixed-methods approach, including spatial analysis, and quantitative and qualitative assessments, we compared dietary habits and food accessibility in Las Palmeras to other Cordoba neighborhoods. We found that Las Palmeras residents reported significantly lower fruit and vegetable consumption and expressed greater difficulty accessing healthy foods despite having a relatively short commute time to the nearest grocery store. Moreover, people in Las Palmeras reported spending more time preparing meals than people in other parts of the city. In contrast, El Brillante, a high-income neighborhood, reported consistent healthy food consumption, even with longer commutes to supermarkets and less time spent preparing meals. This disparity suggests that economic barriers and education levels play a critical role in food choices, emphasizing that food deserts are multidimensional and encompass more than just geographical accessibility to nutritious food. Utilizing the Sustainable Development Goals (SDGs) as a holistic approach, our study amplifies the discussion of sustainable urban development, examining the complex interplay of geographic proximity, socio-economic status, educational levels, generational changes, and the variety of food options in determining access to healthy food. This research offers valuable insights into food accessibility in Spain and contributes to the European dialogue on food deserts and food security, informing strategies for enhancing urban food security, particularly in vulnerable neighborhoods.</t>
  </si>
  <si>
    <t>Martinez Carranza, Francisco Javier/JYP-8902-2024; Delgado-Serrano, Maria Mar/B-7581-2011</t>
  </si>
  <si>
    <t>Delgado-Serrano, Maria Mar/0000-0003-0171-6097</t>
  </si>
  <si>
    <t>10.3390/su16031136</t>
  </si>
  <si>
    <t>WOS:001160198300001</t>
  </si>
  <si>
    <t>Zazo-Moratalla, A; Orellana-McBride, A</t>
  </si>
  <si>
    <t>Zazo-Moratalla, Ana; Orellana-McBride, Alejandro</t>
  </si>
  <si>
    <t>Intermittent food deserts. Exploring the spatiotemporal dimension of the urban fresh food access in Chilean cities</t>
  </si>
  <si>
    <t>Food deserts in Chile present a singularity in the context of the Global South. Unlike other countries where food security is mainly achieved through informal trade, in Chile, weekly streets markets is the structural system providing fresh food. Supermarkets complement spatially and functionally street markets. Both systems and their temporal operation makes that the Chilean food deserts main characteristic is their intermittency. The purpose of this research is to analyze the Chilean food deserts to contrast them with the predominant North and Global South discourses and position the Chilean case internationally. Specifically, this article looks to analyze the importance of the spatiotemporal dimension in food access studies where a healthy diet depends on systems other than supermarkets characterized by intermittent operation over week. For this purpose, this article takes the Metropolitan Area of Concepcion as case. First, the research identifies the location and the socioeconomic groups associated with the different degrees of access from a static perspective based on the spatial distribution of supermarkets and street markets. Then, the dynamic analysis introduces the time dimension to reveal the variability of access patterns and the impact on vulnerable groups. The intermittency of the food deserts positions Chile as halfway between the Global South and North models. The particularity of this model is that intermittently and regularly provides a healthy food environment within food deserts. Additionaly, it has the potential to be planned for overcoming structural inequalities in spatial fresh food access.</t>
  </si>
  <si>
    <t>Orellana, Alejandro/0000-0001-7346-6838</t>
  </si>
  <si>
    <t>10.1016/j.habitatint.2024.103174</t>
  </si>
  <si>
    <t>WOS:001315568300001</t>
  </si>
  <si>
    <t>Khalil, M; Munir, MM; Woldesenbet, S; Endo, Y; Tsilimigras, DI; Kalady, MF; Huang, EMY; Husain, S; Harzman, A; Pawlik, TM</t>
  </si>
  <si>
    <t>Khalil, Mujtaba; Munir, Muhammad Musaab; Woldesenbet, Selamawit; Endo, Yutaka; Tsilimigras, Diamantis I.; Kalady, Matthew F.; Huang, Emily; Husain, Syed; Harzman, Alan; Pawlik, Timothy M.</t>
  </si>
  <si>
    <t>Association of county-level food deserts and food swamps on postoperative outcomes among patients undergoing colorectal surgery</t>
  </si>
  <si>
    <t>Background: Although malnutrition has been linked to worse healthcare outcomes, the broader context of food environments has not been examined relative to surgical outcomes. We sought to define the impact of food environment on postoperative outcomes of patients undergoing resection for colorectal cancer (CRC). Methods: Patients who underwent surgery for CRC between 2014 and 2020 were identified from the Medicare database. Patient-level data were linked to the United States Department of Agriculture data on food environment. Multivariable regression was used to examine the association between food environment and the likelihood of achieving a textbook outcome (TO). TO was defined as the absence of an extended length of stay (&gt;= 75th percentile), postoperative complications, readmission, and mortality within 90 days. Results: A total of 260,813 patients from 3017 counties were included in the study. Patients from unhealthy food environments were more likely to be Black, have a higher Charlson Comorbidity Index, and reside in areas with higher social vulnerability (all P &lt; .01). Patients residing in unhealthy food environments were less likely to achieve a TO than that of patients residing in the healthiest food environments (food swamp: 48.8% vs 52.4%; food desert: 47.9% vs 53.7%; P &lt; .05). On multivariable analysis, individuals residing in the unhealthy food environments had lower odds of achieving a TO than those of patients living in the healthiest food environments (food swamp: OR, 0.86; 95% CI, 0.83-0.90; food desert: OR, 0.79; 95% CI, 0.76-0.82); P &lt; .05). Conclusion: The surrounding food environment of patients may serve as a modifiable sociodemographic risk factor that contributes to disparities in postoperative CRC outcomes.</t>
  </si>
  <si>
    <t>Endo, Yutaka/AFB-7263-2022; Munir, Muhammad Musaab/IWM-2821-2023</t>
  </si>
  <si>
    <t>10.1016/j.gassur.2024.01.012</t>
  </si>
  <si>
    <t>WOS:001229530000001</t>
  </si>
  <si>
    <t>Fay, KA; Finley, DJ; Hasson, RM; Millington, TM; Emond, JA; Shirai, K; Phillips, JD</t>
  </si>
  <si>
    <t>Fay, Kayla A.; Finley, David J.; Hasson, Rian M.; Millington, Timothy M.; Emond, Jennifer A.; Shirai, Keisuke; Phillips, Joseph D.</t>
  </si>
  <si>
    <t>Association of Food Desert Residence and 5-Year Mortality in Lung Cancer Patients Undergoing Resection</t>
  </si>
  <si>
    <t>JOURNAL OF SURGICAL RESEARCH</t>
  </si>
  <si>
    <t>Introduction: Food desert (FD) residence has emerged as a risk factor for poor outcomes in breast, colon and esophageal cancers. The purpose of this retrospective study was to examine FD residence as an associated risk factor in nonsmall cell lung cancer (NSCLC) patients treated with anatomic lung resection (ALR). Methods: All consecutive ALRs for stage I -III NSCLC from January 2015 to December 2017 at a single institution were reviewed. The primary exposure of interest was FD residence as defined by the United States Department of Agriculture. The primary outcome was 5-y overall mortality. Secondary outcomes were 30-d complications and 1- and 3-y mortality. Cox proportional hazard analysis was used to model factors associated with each outcome, adjusted for covariates. Results: A total of 348 ALRs were included, with 101 (29%) patients residing in an FD. In the unadjusted Cox model, those residing in FD had an associated lower 5 -year mortality risk compared to those not residing in an FD (hazard ratio = 0.56, 95% confidence interval (0.330.97); P = 0.04). That association was not statistically significant once adjusted for covariates (hazard ratio = 0.59, 95% confidence interval (0.34-1.04); P = 0.07). Conclusions: In this study, FD residence was not associated with an increase in the risk of 5y mortality. Selection bias of patients deemed healthy enough to undergo surgery may have mitigated the negative association of FD residence demonstrated in other cancers. Future work will evaluate all NSCLC patients undergoing treatments at our institution to further evaluate FDs as a risk factor for worse outcomes. (c) 2024 Elsevier Inc. All rights are reserved, including those for text and data mining, AI training, and similar technologies.</t>
  </si>
  <si>
    <t>Phillips, Joseph/0000-0001-9309-7726</t>
  </si>
  <si>
    <t>0022-4804</t>
  </si>
  <si>
    <t>1095-8673</t>
  </si>
  <si>
    <t>10.1016/j.jss.2024.05.017</t>
  </si>
  <si>
    <t>WOS:001251122800001</t>
  </si>
  <si>
    <t>Landaeta-Díaz, L; Vergara-Perucich, F; Aguirre-Nuñez, C; Cancino-Contreras, F; Correa-Parra, J; Ulloa-León, F</t>
  </si>
  <si>
    <t>Landaeta-Diaz, Leslie; Vergara-Perucich, Francisco; Aguirre-Nunez, Carlos; Cancino-Contreras, Francisca; Correa-Parra, Juan; Ulloa-Leon, Felipe</t>
  </si>
  <si>
    <t>Urban Food Deserts and Cardiovascular Health: Evaluating the Impact of Nutritional Inequities on Elderly Populations in Santiago</t>
  </si>
  <si>
    <t>APPLIED SCIENCES-BASEL</t>
  </si>
  <si>
    <t>Featured Application (1) The methodological approach based on multiscale geographically weighted regression provides a nuanced understanding of how urban factors influence health disparities. (2) The findings highlight the importance of food accessibility as a determinant of health, reinforcing the need for interdisciplinary approaches that combine public health, urban planning, and nutrition science. (3) Policymakers can use this data to identify priority areas for improving food access, particularly in economically disadvantaged neighborhoods. This could involve incentivizing grocery stores and markets to establish themselves in underserved areas or enhancing public transportation links to existing food resources. (4) The call for sustainable food systems to support public health highlights the importance of long-term strategies that ensure consistent access to healthy, affordable food. This can influence agricultural policies, support for local food producers, and the promotion of urban agriculture initiatives.Abstract This study examines the link between food deserts and cardiovascular health in older adults in Santiago's Metropolitan Region, Chile. As the population ages and chronic diseases rise, understanding the impact of food accessibility on health is essential. Using multiscale geographically weighted regression, we analyzed data from the Cardiovascular Health Program, socioeconomic indicators, and food desert maps, sourced from the Chilean Ministry of Health and other databases. Spatial analysis, including Voronoi diagrams, assessed the influence of food deserts on health outcomes. Findings show a significant correlation between limited access to healthy foods and higher cardiovascular disease rates, especially in economically disadvantaged areas. The regression model is significant to contribute to the explanation of disease prevalence, emphasizing the impact of food availability on health. This study highlights the importance of considering spatial factors in urban planning and public health policies. By showcasing the role of food environments in health disparities, it advocates for integrated health interventions. Targeted urban planning to address food deserts can enhance access to healthy foods, improving cardiovascular health and well-being among Santiago's elderly. The findings provide insights for policymakers to create healthier urban environments and stress the need for sustainable food systems to support public health.</t>
  </si>
  <si>
    <t>2076-3417</t>
  </si>
  <si>
    <t>10.3390/app14177575</t>
  </si>
  <si>
    <t>WOS:001311044500001</t>
  </si>
  <si>
    <t>Nakamura, E; Asami, Y</t>
  </si>
  <si>
    <t>Nakamura, Emi; Asami, Yasushi</t>
  </si>
  <si>
    <t>Progression mechanism of urban food desert and categorization of high-risk blocks through the analysis of changes in food intake demand-A case study of Azabu and Takanawa districts of Minato-ku, Tokyo, where the prices of grocery stores is rising due to redevelopment</t>
  </si>
  <si>
    <t>JAPAN ARCHITECTURAL REVIEW</t>
  </si>
  <si>
    <t>We analyzed the mechanism of urban food desert expansion based on data at the block level. According to the food demand curve, elasticity was high, and the nutritional food dietary decreased as store prices increased. The store prices within 500 m of the redevelopment site would tend to increase because luxury supermarkets would dominate, while over 500 m they would often tend to decrease because new non-luxury supermarkets would compete for opening. There are two types of blocks with a high risk of food desert: A block surrounded by multiple redevelopments or a block whose store price has gone up considerably.</t>
  </si>
  <si>
    <t>2475-8876</t>
  </si>
  <si>
    <t>e12439</t>
  </si>
  <si>
    <t>10.1002/2475-8876.12439</t>
  </si>
  <si>
    <t>WOS:001221235700001</t>
  </si>
  <si>
    <t>Field, C; Grobman, WA; Yee, LM; Johnson, J; Wu, JQ; Mcneil, B; Mercer, B; Simhan, H; Reddy, U; Silver, RM; Parry, S; Saade, G; Chung, JD; Wapner, R; Lynch, CD; Venkatesh, KK</t>
  </si>
  <si>
    <t>Field, Christine; Grobman, William A.; Yee, Lynn M.; Johnson, Jasmine; Wu, Jiqiang; Mcneil, Becky; Mercer, Brian; Simhan, Hyagriv; Reddy, Uma; Silver, Robert M.; Parry, Samuel; Saade, George; Chung, Judith; Wapner, Ronald; Lynch, Courtney D.; Venkatesh, Kartik K.</t>
  </si>
  <si>
    <t>Community-level social determinants of health and pregestational and gestational diabetes</t>
  </si>
  <si>
    <t>BACKGROUND: Individual adverse social determinants of health are associated with increased risk of diabetes in pregnancy, but the relative influence of neighborhood or community-level social determinants of health is unknown. OBJECTIVE: This study aimed to determine whether living in neighborhoods with greater socioeconomic disadvantage, food deserts, or less walkability was associated with having pregestational diabetes and developing gestational diabetes. STUDY DESIGN: We conducted a secondary analysis of the prospective Nulliparous Pregnancy Outcomes Study: Monitoring Mothers-To-Be. Home addresses in the first trimester were geocoded at the census tract level. The exposures (modeled separately) were the following 3 neighborhood-level measures of adverse social determinants of health: (1) socioeconomic disadvantage, defined by the Area Deprivation Index and measured in tertiles from the lowest tertile (ie, least disadvantage [T1]) to the highest (ie, most disadvantage [T3]); (2) food desert, defined by the United States Department of Agriculture Food Access Research Atlas (yes/ no by low income and low access criteria); and (3) less walkability, defined by the Environmental Protection Agency National Walkability Index (most walkable score [15.26-20.0] vs less walkable score [&lt;15.26]). Multinomial logistic regression was used to model the odds of gestational diabetes or pregestational diabetes relative to no diabetes as the reference, adjusted for age at delivery, chronic hypertension, Medicaid insurance status, and low household income (&lt;130% of the US poverty level). RESULTS: Among the 9155 assessed individuals, the mean Area Deprivation Index score was 39.0 (interquartile range, 19.0-71.0), 37.0% lived in a food desert, and 41.0% lived in a less walkable neighborhood. The frequency of pregestational and gestational diabetes diagnosis was 1.5% and 4.2%, respectively. Individuals living in a community in the highest tertile of socioeconomic disadvantage had increased odds of entering pregnancy with pregestational diabetes compared with those in the lowest tertile (T3 vs T1: 2.6% vs 0.8%; adjusted odds ratio, 2.52; 95% confidence interval, 1.41-4.48). Individuals living in a food desert (4.8% vs 4.0%; adjusted odds ratio, 1.37; 95% confidence interval, 1.06-1.77) and in a less walkable neighborhood (4.4% vs 3.8%; adjusted odds ratio, 1.33; 95% confidence interval, 1.04-1.71) had increased odds of gestational diabetes. There was no significant association between living in a food desert or a less walkable neighborhood and pregestational diabetes, or between socioeconomic disadvantage and gestational diabetes. CONCLUSION: Nulliparous individuals living in a neighborhood with higher socioeconomic disadvantage were at increased odds of entering pregnancy with pregestational diabetes, and those living in a food desert or a less walkable neighborhood were at increased odds of developing gestational diabetes, after controlling for known covariates.</t>
  </si>
  <si>
    <t>Field, Christine/0000-0001-8206-5235; WU, JIQIANG/0000-0003-2088-925X</t>
  </si>
  <si>
    <t>10.1016/j.ajogmf.2023.101249</t>
  </si>
  <si>
    <t>WOS:001154007600001</t>
  </si>
  <si>
    <t>Bhurosy, T; Rasul, R; Chung, T; McPartland, D; Sepulveda, I; Plotecher, M; Hackett, M; Fragleasso, J; Kyriacou, C</t>
  </si>
  <si>
    <t>Bhurosy, Trishnee; Rasul, Rehana; Chung, Tammy; McPartland, Diane; Sepulveda, Irina; Plotecher, May; Hackett, Martine; Fragleasso, Jennifer; Kyriacou, Corinne</t>
  </si>
  <si>
    <t>Using a healthy snacks program on a campus with limited food access: Implications for implementing a sustainable safety net program</t>
  </si>
  <si>
    <t>JOURNAL OF AMERICAN COLLEGE HEALTH</t>
  </si>
  <si>
    <t>ObjectiveThis study explored the user experiences and satisfaction levels of students who participated in a healthy snacks program over eight months on a campus located in a food desert.ParticipantsStudents at a suburban private university (N = 51).MethodsUsing a descriptive cross-sectional design, participants scanned a Quick-Response code and responded to an online questionnaire. Mixed methods analyses were conducted.ResultsMost participants took snacks in the morning (44.4%). Satisfaction levels were highest [Mean (Standard deviation): 6.58 (0.90) out of 7.00 = high] among those feeling stressed. Five major themes from the open-ended responses were identified: (1) Being thankful; (2) Finding snacks to be tasty; (3) Inexpensive and healthy alternatives; (4) Feeling better; and (5) Needing better and additional snacks.ConclusionsFuture research is needed to assess the long-term feasibility and effectiveness of this program and develop similar programs on other college campuses located in food deserts.</t>
  </si>
  <si>
    <t>Bhurosy, Trishnee/JTK-2849-2023; Hackett, Martine/AAG-4005-2020</t>
  </si>
  <si>
    <t>Bhurosy, Trishnee/0000-0003-2603-2839</t>
  </si>
  <si>
    <t>0744-8481</t>
  </si>
  <si>
    <t>1940-3208</t>
  </si>
  <si>
    <t>2024 MAY 28</t>
  </si>
  <si>
    <t>10.1080/07448481.2024.2361314</t>
  </si>
  <si>
    <t>WOS:001238084500001</t>
  </si>
  <si>
    <t>Endo, Y; Tsilimigras, DI; Khalil, M; Yang, J; Woldesenbet, S; Sasaki, K; Limkemann, A; Schenk, A; Pawlik, TM</t>
  </si>
  <si>
    <t>Endo, Yutaka; Tsilimigras, Diamantis I.; Khalil, Mujtaba; Yang, Jason; Woldesenbet, Selamawit; Sasaki, Kazunari; Limkemann, Ashley; Schenk, Austin; Pawlik, Timothy M.</t>
  </si>
  <si>
    <t>The impact of county-level food access on the mortality and post-transplant survival among patients with steatotic liver disease</t>
  </si>
  <si>
    <t>SURGERY</t>
  </si>
  <si>
    <t>Background: The impact of county-level food access on mortality associated with steatotic liver disease, as well as post-liver transplant outcomes among individuals with steatotic liver disease, have not been characterized. Methods: Data on steatotic liver disease-related mortality and outcomes of liver transplant recipients with steatotic liver disease between 2010 and 2020 were obtained from the Centers for Disease Control Prevention mortality as well as the Scientific Registry of Transplant Recipients databases. These data were linked to the food desert score, defined as the proportion of the total population in each county characterized as having both low income and limited access to grocery stores. Results: Among 2,710 counties included in the analytic cohort, median steatotic liver disease-related mortality was 27.3 per 100,000 population (interquartile range 24.9-32.1). Of note, patients residing in counties with high steatotic liver disease death rates were more likely to have higher food desert scores (low: 5.0, interquartile range 3.1-7.8 vs moderate: 6.1, interquartile range, 3.8-9.3 vs high: 7.6, interquartile range 4.1-11.7). Among 28,710 patients who did undergo liver transplantation, 5,310 (18.4%) individuals lived in counties with a high food desert score. Liver transplant recipients who resided in counties with the worst food access were more likely to have a higher body mass index (&gt;35 kg/m(2): low food desert score, 17.3% vs highest food desert score, 20.1%). After transplantation, there was no difference in 2-year graft survival relative to county-level food access (food desert score: low: 88.4% vs high: 88.6%; P = .77). Conclusion: Poor food access was associated with a higher incidence rate of steatotic liver disease-related death, as well as lower utilization of liver transplants. On the other hand, among patients who did receive a liver transplant, there was no difference in 2-year graft survival regardless of food access strata. Policy initiatives should target the expansion of transplantation services to vulnerable communities in which there is a high mortality of steatotic liver disease. (c) 2024 Elsevier Inc. All rights reserved.</t>
  </si>
  <si>
    <t>Endo, Yutaka/AFB-7263-2022; Sasaki, Kazunari/ABF-2853-2020</t>
  </si>
  <si>
    <t>Endo, Yutaka/0000-0001-7187-0124; Sasaki, Kazunari/0000-0003-2514-5778; Yang, Jason/0000-0002-7156-5872; Tsilimigras, Diamantis I./0000-0002-3676-9263; Khalil, Mujtaba/0000-0001-8461-2677; Woldesenbet, Selamawit/0000-0002-5023-3561; Schenk, Austin/0000-0003-4877-1042</t>
  </si>
  <si>
    <t>0039-6060</t>
  </si>
  <si>
    <t>10.1016/j.surg.2024.02.034</t>
  </si>
  <si>
    <t>WOS:001256506800001</t>
  </si>
  <si>
    <t>Parekh, T; Xue, H; Al-Kindi, S; Nasir, K; Cheskin, LJ; Cuellar, AE</t>
  </si>
  <si>
    <t>Parekh, Tarang; Xue, Hong; Al-Kindi, Sadeer; Nasir, Khurram; Cheskin, Lawrence J.; Cuellar, Alison E.</t>
  </si>
  <si>
    <t>Food Environment Quality and Cardiovascular Disease Mortality in the United States: a County-Level Analysis from 2017 to 2019</t>
  </si>
  <si>
    <t>BackgroundUpstream socioeconomic circumstances including food insecurity and food desert are important drivers of community-level health disparities in cardiovascular mortality let alone traditional risk factors. The study assessed the association between differences in food environment quality and cardiovascular mortality in US adults.DesignRetrospective analysis of the association between cardiovascular mortality among US adults aged 45 and above and food environment quality, measured as the food environment index (FEI), in 2615 US counties. FEI was measured by equal weights of food insecurity (limited access to a reliable food source) and food desert (limited access to healthy food), ranging from 0 (worst) to 10 (best). Age-adjusted cardiovascular mortality rates per 100,000 adults aged 45 and above in the calendar year 2017-2019. County-level association between CVD mortality rate and FEI was modeled using generalized linear regression. Data were weighted using county population.ResultMedian CVD deaths per 100,000 population were 645.4 (IQR 561.5, 747.0) among adults aged 45 years and above across US counties in 2017-2019. About 12.8% (IQR 10.7%, 15.1%) of residents were food insecure and 6.3% (IQR 3.6%, 9.9%) were living in food desert areas. Comparing counties by FEI quartiles, the CVD mortality rate was higher in the least healthy FE counties (704.3 vs 598.6 deaths per 100,000 population) compared to the healthiest FE counties. One unit increase in FEI was associated with - 12.95 CVD deaths/100,000 population. In the subgroup analysis of counties with higher income inequality, the healthiest food environment was associated with 46.4 lower CVD deaths/100,000 population than the least healthy food environment. One unit increase in FEI in counties with higher income inequality was associated with a fivefold decrease in CVD mortality difference in African American counties (- 18.4 deaths/100,000 population) when compared to non-African American counties (- 3.63 deaths/100,000 population).ConclusionIn this retrospective multi-county study in the USA, a higher food environment index was significantly associated with lower cardiovascular mortality.</t>
  </si>
  <si>
    <t>Parekh, Tarang/U-3317-2019; Cuellar, Alison/U-7984-2017</t>
  </si>
  <si>
    <t>Parekh, Tarang/0000-0002-3494-0020; Cuellar, Alison/0000-0001-6702-7601</t>
  </si>
  <si>
    <t>10.1007/s11606-023-08335-9</t>
  </si>
  <si>
    <t>WOS:001039761200002</t>
  </si>
  <si>
    <t>Egelko, A; Kahler, D; Donovan, B; Gardella, R; Reddy, S; Jones, C</t>
  </si>
  <si>
    <t>Egelko, Aron; Kahler, Dylan; Donovan, Brienne; Gardella, Rebecca; Reddy, Sai; Jones, Christine</t>
  </si>
  <si>
    <t>Food Desert Residence Is Not Associated With Dietary Adherence or Complication Rates in Patients With Isolated Mandibular Fractures</t>
  </si>
  <si>
    <t>JOURNAL OF ORAL AND MAXILLOFACIAL SURGERY</t>
  </si>
  <si>
    <t>Background: Mandible fracture management requires postoperative dietary modifications to promote healing. Over 20 million Americans live in food deserts, low-income neighborhoods over one mile from a grocery store. The relationship between food desert residence (FDR) and adherence to postoperative dietary instructions remains unexplored. Purpose: This study's purpose is to evaluate the relationships between FDR, known risk factors, dietary adherence, and complications among patients with isolated mandible fractures. Study Design, Setting, Sample: This retrospective cohort study was conducted at a level 1 trauma center and analyzed patients with mandible fractures between January 2015 and December 2020. Inclusion criteria included operative treatment of adult patients for mandible fractures; pregnant, incarcerated, and patients with incomplete data were excluded. Predictor Variable: FDR was the predictor variable of interest. FDR (coded yes or no) was generated by converting patient addresses to census tract GeoIDs and comparing them to the US Department of Agriculture Food Access Research Atlas. Main Outcome Variables: The study examined two outcome variables: dietary adherence and postoperative complications. Dietary adherence was coded as adherent or nonadherent, indicating documented compliance with postoperative dietary modifications. Postoperative complications were coded as present or absent, reflecting infection, hardware failure, and mandible malunion or nonunion. Covariates: The covariates analyzed included age, sex, ethnicity, mechanism of injury, medical and psychiatric comorbidities (including diagnoses such as diabetes, hypertension, and schizophrenia), and tobacco use. Analyses: Relative risks (RRs) and multivariate logistic regression models were generated for both outcome variables. Two-tailed P values &lt; 0.05 were considered statistically significant. Results: During the study period, 143 patients had complete data allowing for FDR and dietary adherence determination, 124 of whom (86.7%) had complication data recorded. Of the cohort, 51/143 (35.7%) resided within a food desert, 30/143 (21.0%) exhibited dietary nonadherence, and 46/124 (37.1%) experienced complications. FDR was not associated with increased risk of dietary nonadherence (RR 0.92, 95% confidence interval [CI] 0.52 to 1.61, P = .76) or complications (RR 1.19, 95% CI 0.75 to 1.89; P = .46). On multivariate regression, dietary nonadherence was associated with increased complications (odds ratio 2.85, 95% CI 1.01 to 8.09, P = .049). Conclusion and Relevance: There was no association between FDR and dietary nonadherence or complications in mandible fracture patients. However, dietary nonadherence was associated with complications, highlighting the need for further research and intervention. (c) 2023 American Association of Oral and Maxillofacial Surgeons</t>
  </si>
  <si>
    <t>Egelko, Aron/0000-0002-2971-132X; Kahler, Dylan/0000-0002-6799-763X</t>
  </si>
  <si>
    <t>0278-2391</t>
  </si>
  <si>
    <t>1531-5053</t>
  </si>
  <si>
    <t>10.1016/j.joms.2023.10.009</t>
  </si>
  <si>
    <t>WOS:001155795900001</t>
  </si>
  <si>
    <t>Oh, JI; Lee, KJ; Hipp, A</t>
  </si>
  <si>
    <t>Oh, Jae In; Lee, KangJae Jerry; Hipp, Aaron</t>
  </si>
  <si>
    <t>Food deserts exposure, density of fast-food restaurants, and park access: Exploring the association of food and recreation environments with obesity and diabetes using global and local regression models</t>
  </si>
  <si>
    <t>To prevent obesity and diabetes environmental interventions such as eliminating food deserts, restricting proliferation of food swamps, and improving park access are essential. In the United States, however, studies that examine the food and park access relationship with obesity and diabetes using both global and local regression are lacking. To guide county, state, and federal policy in combating obesity and diabetes, there is a need for cross-scale analyses to identify that relationship at national and local levels. This study applied spatial regression and geographically weighted regression to the 3,108 counties in the contiguous United States. Global regression show food deserts exposure and density of fast-food restaurants have non-significant association with obesity and diabetes while park access has a significant inverse association with both diseases. Geographically weighted regression that takes into account spatial heterogeneity shows that, among southern states that show high prevalence of obesity and diabetes, Alabama and Mississippi stand out as having opportunity to improve park access. Results suggest food deserts exposure are positively associated with obesity and diabetes in counties close to Alabama, Georgia, and Tennessee while density of fast-food restaurants show positive association with two diseases in counties of western New York and northwestern Pennsylvania. These findings will help policymakers and public health agencies in determining which geographic areas need to be prioritized when implementing public interventions such as promoting healthy food access, limiting unhealthy food options, and increasing park access.</t>
  </si>
  <si>
    <t>Oh, Jae In/0000-0002-0802-0909; Hipp, J. Aaron/0000-0002-2394-7112</t>
  </si>
  <si>
    <t>e0301121</t>
  </si>
  <si>
    <t>10.1371/journal.pone.0301121</t>
  </si>
  <si>
    <t>WOS:001207320100147</t>
  </si>
  <si>
    <t>Rosenheim, NP; Watson, M; Connors, JC; Safayet, M; Peacock, WG</t>
  </si>
  <si>
    <t>Rosenheim, Nathanael P.; Watson, Maria; Casellas Connors, John; Safayet, Mastura; Peacock, Walter Gillis</t>
  </si>
  <si>
    <t>Food Access After Disasters</t>
  </si>
  <si>
    <t>JOURNAL OF THE AMERICAN PLANNING ASSOCIATION</t>
  </si>
  <si>
    <t>Problem, research strategy, and findingsAccess after disasters to resources such as food poses planning problems that affect millions of people each year. Understanding how disasters disrupt and alter food access during the initial steps of the recovery process provides new evidence to inform both food system and disaster planning. Our research took a supply-side focus and explored the results from a survey of food retailers after Hurricane Harvey in three Texas counties. The survey collected information on how the disaster affected a store's property, people, and products and the length of time a store was closed, had reduced hours, and stopped selling fresh food items. We found that a focus only on store closures and property damage would underestimate the number of days residents had limited fresh food access by nearly 2 weeks. Further, stores in lower-income communities with chronically low access to supermarkets (food deserts) were closed longer than other stores, potentially compounding pre-existing inequalities. To plan for a more equitable food supply after a disaster, planners should embrace more dimensions of access, encourage retailer mitigation, and assess the types of retailers and their distribution within their communities.Takeaway for practicePracticing planners aspire to ensure equitable access to resources (e.g., food, education, and health care). In the context of food access, planners should consider that a) common proximity-based measures of accessibility (e.g., food deserts) may underestimate inequality and that the inclusion of multiple dimensions of access may provide a more accurate picture, b) efforts to encourage business resilience can complement food systems planning, and c) targeted engagement with local food retailers, food suppliers, and food aid agencies is important for both day-to-day community needs and for disaster planning.</t>
  </si>
  <si>
    <t>Safayet, Mastura/IZE-2896-2023</t>
  </si>
  <si>
    <t>Peacock, Walter/0000-0002-8726-4505; Rosenheim, Nathanael/0000-0001-5601-0126; Watson, Maria/0000-0002-6392-5081</t>
  </si>
  <si>
    <t>0194-4363</t>
  </si>
  <si>
    <t>1939-0130</t>
  </si>
  <si>
    <t>JUL 2</t>
  </si>
  <si>
    <t>10.1080/01944363.2023.2284160</t>
  </si>
  <si>
    <t>WOS:001139441400001</t>
  </si>
  <si>
    <t>Rocha, LL; Friche, AAD; de Melo, GBV; Cordeiro, NG; Honório, OS; Cardoso, LD; Mendes, LL</t>
  </si>
  <si>
    <t>Rocha, Luana Lara; Friche, Amelia Augusta de Lima; de Melo, Gabriel Borges Vaz; Cordeiro, Nayhanne Gomes; Honorio, Olivia Souza; Cardoso, Leticia de Oliveira; Mendes, Larissa Loures</t>
  </si>
  <si>
    <t>Food retail in favelas of a Brazilian metropolis</t>
  </si>
  <si>
    <t>The inequities of Brazilian society are present in metropolitan favelas in the scope of the provision of basic sanitation, health, and education services. They are also reflected in the food environment and, consequently, in their access to food. Thus, this study aimed to characterize physical access to food establishments in the favelas of Belo Horizonte, Minas Gerais, Brazil. We analyzed the distribution of Public Equipment for Food Security and Nutrition and food establishments registered in the State of Minas Gerais, both for the year 2019, in the census sectors of Belo Horizonte. We calculated food deserts and conducted food swamp analyses for the favelas. We used a buffer network to calculate the nearest neighbor and commute distance. We also calculated accessibility through public transport. Establishments that predominantly offer healthy foods are fewer and farther away from favelas, whereas those that predominantly offer unhealthy foods are widely available in the environment. To reduce inequities in these communities, programs and policies that encourage opening healthy food establishments and planting community gardens in favelas are required.</t>
  </si>
  <si>
    <t>Friche, Amelia/F-6114-2015; Gomes Cordeiro, Nayhanne/JCD-9714-2023; Mendes, Larissa/Q-4817-2017; Lara Rocha, Luana/Y-6026-2018</t>
  </si>
  <si>
    <t>Friche, Amelia Augusta/0000-0002-2463-0539; Loures Mendes, Larissa/0000-0002-0031-3862; Gomes Cordeiro, Nayhanne/0000-0002-1110-8944; Cardoso, Leticia/0000-0003-1312-1808; Vaz de Melo, Gabriel/0000-0002-3323-8635; Lara Rocha, Luana/0000-0002-5963-6033</t>
  </si>
  <si>
    <t>10.1007/s12571-023-01425-w</t>
  </si>
  <si>
    <t>WOS:001135672800001</t>
  </si>
  <si>
    <t>Taylor, DE; Bell, A; Treloar, D; Ajani, A; Alvarez, M; Hamilton, T; Velazquez, J; Nandar, P; Fillwalk, L; Ard, KJ</t>
  </si>
  <si>
    <t>Taylor, Dorceta E.; Bell, Ashley; Treloar, Destiny; Ajani, Ashia; Alvarez, Marco; Hamilton, Tevin; Velazquez, Jayson; Nandar, Pwintphyu; Fillwalk, Lily; Ard, Kerry J.</t>
  </si>
  <si>
    <t>Defying the Food Desert, Food Swamp, and Supermarket Redlining Stereotypes in Detroit: Comparing the Distribution of Food Outlets in 2013 and 2023</t>
  </si>
  <si>
    <t>Despite the numerous food studies conducted in Detroit, none have assessed changes in the food landscape over a decade. No previous study has systematically analyzed food store closures in the city either. We will address these oversights by examining the distribution of food outlets in the city ten years apart. This paper probes the following questions: (1) How has the distribution of Detroit's food outlets changed in the decade between 2013 and 2023? (2) Does Detroit fit the definition of a food desert in 2013 or 2023? (3) Does Detroit fit the definition of a food swamp in 2013 or 2023? (4) Has supermarket redlining occurred in Detroit in 2013 or 2023? (5) How is population decline related to food outlet distribution? (6) How do food store closures impact food store distribution? We conducted exhaustive searches to collect information on thousands of food outlets from Data Axle, Google, and Bing. The data were analyzed and mapped in SPSS 28 and ArcGIS 10.8. We compared 3499 food outlets identified in 2013 with 2884 identified in 2023. We expanded our search for food outlets in 2023 and found an additional 611 food outlets in categories not studied in 2013. The study's findings are significant as they unearth evidence of extensive population decline-driven by Black flight-and a vanishing food infrastructure. Detroit lost more than 600 food outlets between 2013 and 2023, a staggering number that underscores the severity of the issue. Moreover, in 2023, we documented food store closures and found 1305 non-operational or closed food outlets in the city. Regardless of the neighborhood's racial composition, the household median income, or the educational attainment of residents, food store closures were widespread in 2023; 27.3% of the food outlets identified that year were defunct. Despite the massive food store closures, Detroit did not fit the description of a food desert; each of the city's 54 neighborhoods had between 7 and 300 food outlets. The food swamp thesis did not accurately describe the city either, as supermarkets/large grocery stores were intermingled with convenience and corner stores in both study periods. The data did not find evidence of supermarket redlining, as supermarkets/large grocery stores were found in formerly redlined neighborhoods alongside dollar stores and variety stores in both study periods.</t>
  </si>
  <si>
    <t>Taylor, Dorceta E./0000-0003-2847-0779; Treloar, Destiny/0000-0001-6887-9005</t>
  </si>
  <si>
    <t>10.3390/su16167109</t>
  </si>
  <si>
    <t>WOS:001304686500001</t>
  </si>
  <si>
    <t>Karnik, H; Peterson, HH</t>
  </si>
  <si>
    <t>Karnik, Harshada; Peterson, Hikaru Hanawa</t>
  </si>
  <si>
    <t>Promoting healthful food purchases through in-store interventions: Empirical evidence from rural food deserts</t>
  </si>
  <si>
    <t>Effective ways to promote healthful food intake in rural areas are understudied. The paper evaluated whether a two-component, in-store intervention designed to encourage healthy food purchases was associated with improved healthfulness scores of food items purchased by shoppers in rural food deserts. One component introduced a point-of-sales label that assigned a single numerical score to each food item facilitating direct comparisons of the product 's nutrition with those of other products shelved around it. The other component was a one-day nutrition education workshop promoted within the store. Interventions took place in 2015 at two stores in rural counties in the U.S. Midwest. Four stores in similar communities were selected as the control group. We applied a difference-in-difference model to estimate changes in the healthfulness of food items purchased attributable to the intervention among shoppers at the treatment stores (n = 486) and control stores (n = 10,759) using store transaction data. Healthfulness of food items was measured in terms of food scores published by the Environmental Working Group on a 1 -10 scale. Both components had minimal impacts on the scores, although 0.2 and 0.1 points increases in the score per item and score per dollar were statistically significant at the 1% level respectively. A year after the intervention, these small effects of the intervention further diminished compared to the immediately after implementation. Results suggest the average effects of intervention across the study communities had limited practical significance but benefited some rural residents who were exposed to the intervention.</t>
  </si>
  <si>
    <t>10.1016/j.appet.2024.107305</t>
  </si>
  <si>
    <t>MAR 2024</t>
  </si>
  <si>
    <t>WOS:001216818400001</t>
  </si>
  <si>
    <t>Lone, JK; Pandey, R; Gayacharan</t>
  </si>
  <si>
    <t>Lone, Jafar K.; Pandey, Renu; Gayacharan</t>
  </si>
  <si>
    <t>Microgreens on the rise: Expanding our horizons from farm to fork</t>
  </si>
  <si>
    <t>HELIYON</t>
  </si>
  <si>
    <t>Escalating public health concerns necessitate innovative approaches to food sources. Microgreens, nutrient-rich seedlings of vegetables and herbs, have gained recognition as functional foods. This review explores the evolution of microgreens, cultivation methods, biochemical changes during germination, nutritional content, health benefits, and commercial significance. Comprehensive studies have demonstrated that microgreens have an elevated level of various nutrients. Further, in vitro and in vivo research validated their antioxidant, anticancer, antibacterial, antiinflammatory, anti-obesity, and antidiabetic properties. Microgreens, termed desert food, show promise for sustainable food production in climate-vulnerable regions. This paper synthesizes recent research on microgreens, addressing challenges and gaps in understanding their nutritional content and health benefits. It contributes valuable insights for future research, fostering sustainable agriculture and enhancing understanding of microgreens in human health and nutrition.</t>
  </si>
  <si>
    <t>LONE, JAFAR/ABG-7458-2021; , Gayacharan/KLC-6231-2024</t>
  </si>
  <si>
    <t>, Gayacharan/0000-0002-3582-6422</t>
  </si>
  <si>
    <t>2405-8440</t>
  </si>
  <si>
    <t>FEB 29</t>
  </si>
  <si>
    <t>e25870</t>
  </si>
  <si>
    <t>10.1016/j.heliyon.2024.e25870</t>
  </si>
  <si>
    <t>WOS:001200350400001</t>
  </si>
  <si>
    <t>Davies, R; Reid, K</t>
  </si>
  <si>
    <t>Davies, Rebecca; Reid, Kate</t>
  </si>
  <si>
    <t>Supporting each other: Older adults' experiences empowering food security and social inclusion in rural and food desert communities</t>
  </si>
  <si>
    <t>Older adults vulnerable to food insecurity are at risk of poor psychological and physical health. Poor public infrastructure or proximity to food sources can exacerbate risk of food insecurity. Reduced statutory services for social care has heightened the responsibility on third sector organisations and community-led volunteering, essential to supporting healthy ageing in place and reducing the inequalities of ageing. The aim of this qualitative study was to explore how older adults' volunteering with a third sector organisation focused on food access supports food security and builds social capital for socially or economically marginalised older adults within rural and food desert communities. The study aims to bridge the knowledge gap of how volunteering in vulnerable geographies affects food insecurity and community. Semi-structured interviews were conducted with seven older (55+) volunteer 'meal makers' working with the third sector organisation Food Train and its 'Meal Makers' project. Interview recordings were transcribed and thematically analysed. Ecomap methodology was used to illustrate the lived experiences of older adult volunteers as told through the interviews. Two themes were identified by Thematic Analysis: (1) Networks, connectedness, and exposure to social capital, and (2) Supplementary support. This study finds that older adult volunteers are well placed within community interventions supporting food insecure older adults in rural or food desert communities. Ecomaps demonstrated that high social capital volunteers can mediate food access barriers and highlighted points of local knowledge and social connection. Volunteer engagement provides opportunities for food secure older adults to share local knowledge and build networks of food support and social inclusion for food insecure older adults. Older age volunteering should be advocated as a multi-faceted intervention promoting mutual health and wellbeing in volunteer and beneficiary.</t>
  </si>
  <si>
    <t>Davies, Rebecca/0009-0001-3295-9983; Reid, Kate/0000-0003-2353-3830</t>
  </si>
  <si>
    <t>JUL 1</t>
  </si>
  <si>
    <t>10.1016/j.appet.2024.107353</t>
  </si>
  <si>
    <t>WOS:001229825500001</t>
  </si>
  <si>
    <t>Reynolds, TE Jr; Olexa, MT; Toth, GG; Adams, DC; Flocks, JD</t>
  </si>
  <si>
    <t>Reynolds, Thomas E.; Olexa, Michael T.; Toth, Gregory G.; Adams, Damian C.; Flocks, Joan D.</t>
  </si>
  <si>
    <t>Urban Food Deserts: Improving the USDA Identification Methodology Through Inclusion of Neighborhood Racial Attributes</t>
  </si>
  <si>
    <t>JOURNAL OF ECONOMICS RACE AND POLICY</t>
  </si>
  <si>
    <t>Access to healthy food is essential for life and paramount to notions of justice. Neighborhoods without such access are referred to as food deserts (FD) and are often eligible for special government programs designed to alleviate the resultant symptoms. While research shows a correlation between FD and neighborhoods predominately comprised of racial minorities, the USDA methodology does not explicitly account for race as a factor in FD identification. We examined the effect of adding racial neighborhood characteristics to the USDA's methodology. Using geographic information system software, we mapped USDA-identified FD for the four most populous metropolitan statistical areas in Florida (2018) and overlaid racial neighborhood attributes. We found a statistically significant association between neighborhoods with high percentages of minority residents and adjacency to USDA FD. Our findings are consistent with prior studies linking race with FD and enhance the literature by offering a unique and plausible alternative methodology for identifying FD.</t>
  </si>
  <si>
    <t>2520-8411</t>
  </si>
  <si>
    <t>2520-842X</t>
  </si>
  <si>
    <t>10.1007/s41996-023-00130-2</t>
  </si>
  <si>
    <t>WOS:001244003000002</t>
  </si>
  <si>
    <t>Thomas, TW; Cankurt, M</t>
  </si>
  <si>
    <t>Thomas, Terrence W.; Cankurt, Murat</t>
  </si>
  <si>
    <t>Influence of Food Environments on Dietary Habits: Insights from a Quasi-Experimental Research</t>
  </si>
  <si>
    <t>FOODS</t>
  </si>
  <si>
    <t>Nutrition is a vital factor that exerts a profound and direct impact on health. Food environments significantly influence individuals' dietary behaviors, health outcomes, and overall food security. Individuals in food deserts and food swamps do not have access to healthier food options. And in both cases, the emphasis is primarily on the physical configuration of the environment as it relates to food availability. This quasi-experimental study aims to investigate the impact of two different food environments (defined to include a social component) on food choices. A total of 246 participants were surveyed by telephone, half of whom were primed with Scenario A (a food environment deficient in healthy options and cues that support and reinforce healthier choices) and half were primed with Scenario B (an environment with an abundance of healthy food options and cues that support and reinforce healthy eating). Ordered logit regression was used for analysis. The results show significant differences in likely food consumption between the groups. Individuals in Scenario B were found to be 4.48 times more likely to consume fruits and vegetables. In addition, it was determined that being a woman increases the probability of consuming more fruits and vegetables by 0.92 times (1/0.52-1), and adherence to a healthy diet increases by 3.64 times. Age and race were not significant predictors. This study highlights the crucial role of environmental factors in shaping dietary habits and underscores the importance of the social components of the food environment in promoting the adoption of healthier dietary habits. Based on these findings, policymakers should prioritize developing strategies that go beyond providing physical access and consider social aspects of the environment in promoting healthy eating habits to improve public health and bolster the food security of communities.</t>
  </si>
  <si>
    <t>2304-8158</t>
  </si>
  <si>
    <t>10.3390/foods13132013</t>
  </si>
  <si>
    <t>WOS:001269733400001</t>
  </si>
  <si>
    <t>Bailey, J; Baker, E; Schechter, MS; Robinson, KJ; Powers, KE; Dasenbrook, E; Hossain, M; Durham, D; Brown, G; Clemm, C; Reno, K; Oates, GR</t>
  </si>
  <si>
    <t>Bailey, Julianna; Baker, Elizabeth; Schechter, Michael S.; Robinson, Keith J.; Powers, Kate E.; Dasenbrook, Elliot; Hossain, Monir; Durham, Dixie; Brown, Georgia; Clemm, Cristen; Reno, Kim; Oates, Gabriela R.</t>
  </si>
  <si>
    <t>Food insecurity screening and local food access: Contributions to nutritional outcomes among children and adults with cystic fibrosis in the United States</t>
  </si>
  <si>
    <t>JOURNAL OF CYSTIC FIBROSIS</t>
  </si>
  <si>
    <t>Background: As the nutritional status of people with CF (PwCF) is associated with their socioeconomic status, it is important to understand factors related to food security and food access that play a role in the nutritional outcomes of this population. We assessed the contributions of CF program-level food insecurity screening practices and area-level food access for nutritional outcomes among PwCF. Methods: We conducted a cross-sectional analysis of 2019 data from the U.S. CF Patient Registry (CFFPR), linked to survey data on CF program-level food insecurity screening and 2019 patient zip code-level food access. Pediatric and adult populations were analyzed separately. Nutritional outcomes were assessed with annualized BMI percentiles (CDC charts) for children and BMI (kg/m(2)) for adults, with underweight status defined as BMIp &lt;10% for children and BMI &lt;18.5 kg/m(2) for adults, and overweight or obese status defined as BMIp &gt;85% for children and BMI &gt;25 kg/m(2) for adults. Analyses were adjusted for patient sociodemographic and clinical characteristics. Results: The study population included 11,971 pediatric and 14,817 adult PwCF. A total of 137 CF programs responded to the survey, representing 71% of the pediatric sample and 45% of the CFFPR adult sample. The joint models of nutritional status as a function of both program-level food insecurity screening and area-level food access produced the following findings. Among children with CF, screening at every visit vs less frequently was associated with 39% lower odds of being underweight (OR 0.61, p = 0.019), and the effect remained the same and statistically significant after adjusting for all covariates (aOR 0.61, p = 0.047). Residence in a food desert was associated both with higher odds of being underweight (OR 1.66, p = 0.036; aOR 1.58, p = 0.008) and with lower BMIp (-4.81%, p = 0.004; adjusted -3.73%, p = 0.014). Among adults with CF, screening in writing vs verbally was associated with higher odds of being overweight (OR 1.22, p = 0.028; aOR 1.36, p = 0.002) and higher BMI (adjusted 0.43 kg/m(2), p = 0.032). Residence in a food desert was associated with higher odds of being underweight (OR 1.48, p = 0.025). Conclusions: Food insecurity screening and local food access are independent predictors of nutritional status among PwCF. More frequent screening is associated with less underweight among children with CF, whereas screening in writing (vs verbally) is associated with higher BMI among adults. Limited food access is associated with higher odds of being underweight in both children and adults with CF, and additionally with lower BMI among children with CF. Study results highlight the need for standardized, evidence-based food insecurity screening across CF care programs and for equitable food access to optimize the nutritional outcomes of PwCF.</t>
  </si>
  <si>
    <t>Baker, Elizabeth/HGC-9161-2022; Oates, Gabriela/AAI-3494-2021; Schechter, Michael/X-5153-2018; Oates, Gabriela/M-3365-2015</t>
  </si>
  <si>
    <t>Oates, Gabriela/0000-0003-4052-1524; Robinson, Keith/0000-0003-2763-5076; Hossain, Monir/0000-0002-4921-9594; Baker, Elizabeth/0000-0002-0600-4198; BROWN, GEORGIA/0000-0002-6520-5344; Bailey, Julianna/0000-0003-1181-4782</t>
  </si>
  <si>
    <t>1569-1993</t>
  </si>
  <si>
    <t>1873-5010</t>
  </si>
  <si>
    <t>10.1016/j.jcf.2023.08.006</t>
  </si>
  <si>
    <t>WOS:001259566000001</t>
  </si>
  <si>
    <t>Xu, MY; Wilson, JP; de Bruin, WB; Lerner, L; Horn, AL; Livings, MS; de la Haye, K</t>
  </si>
  <si>
    <t>Xu, Mengya; Wilson, John P.; de Bruin, Wandi Bruine; Lerner, Leo; Horn, Abigail L.; Livings, Michelle Sarah; de la Haye, Kayla</t>
  </si>
  <si>
    <t>New insights into grocery store visits among east Los Angeles residents using mobility data</t>
  </si>
  <si>
    <t>In this study, we employed spatially aggregated population mobility data, generated from mobile phone locations in 2021, to investigate patterns of grocery store visits among residents east and northeast of Downtown Los Angeles, in which 60% of the census tracts had previously been designated as food deserts. Further, we examined whether the store visits varied with neighborhood sociodemographics and grocery store accessibility. We found that residents averaged 0.4 trips to grocery stores per week, with only 13% of these visits within home census tracts, and 40% within home and neighboring census tracts. The mean distance from home to grocery stores was 2.2 miles. We found that people visited grocery stores more frequently when they lived in neighborhoods with higher percentages of Hispanics/Latinos, renters and foreign -born residents, and a greater number of grocery stores. This research highlights the utility of mobility data in elucidating grocery store use, and factors that may facilitate or be a barrier to store access. The results point to limitations of using geographically constrained metrics of food access like food deserts.</t>
  </si>
  <si>
    <t>BRUINE DE BRUIN, Wandi/0000-0002-1601-789X; /0000-0002-5916-841X; Xu, Mengya/0000-0001-6550-9391</t>
  </si>
  <si>
    <t>10.1016/j.healthplace.2024.103220</t>
  </si>
  <si>
    <t>WOS:001207559800001</t>
  </si>
  <si>
    <t>Gruzauskas, V; Burinskiene, A; Airapetian, A; Urbonaite, N</t>
  </si>
  <si>
    <t>Gruzauskas, Valentas; Burinskiene, Aurelija; Airapetian, Artur; Urbonaite, Neringa</t>
  </si>
  <si>
    <t>A Geospatial Framework of Food Demand Mapping</t>
  </si>
  <si>
    <t>Spatial mapping of food demand is essential for understanding and addressing disparities in food accessibility, which significantly impact public health and nutrition. This research presents an innovative geospatial framework designed to map food demand, integrating individual dietary behaviors with advanced spatial analysis techniques. This study analyzes the spatial distribution of eating habits across Lithuania using a geospatial approach. The methodology involves dividing Lithuania into 60,000 points and interpolating survey data with Shepard's operator, which relies on a weighted average of values at data points. This flexible approach allows for adjusting the number of points based on spatial resolution and sample size, enhancing the reliability and applicability of the generated maps. The procedure includes generating a structured grid system, incorporating measurements into the grid, and applying Shepard's operator for interpolation, resulting in precise representations of food demand. This framework provides a comprehensive understanding of dietary behaviors, informing targeted policy interventions to improve food accessibility and nutrition. Traditional food spatial mapping approaches are often limited to specific polygons and lack the flexibility to achieve high granular detail. By applying advanced interpolation techniques and ensuring respondent location data without breaching privacy concerns, this study creates high-resolution maps that accurately represent regional differences in eating habits. The methodology's flexibility allows for adjustments in spatial resolution and sample size, enhancing the maps' validity and applicability. This novel approach facilitates the creation of detailed food demand maps at any granular level, providing valuable insights for policymakers and stakeholders. These insights enable the development of targeted strategies to improve food accessibility and nutrition. Additionally, the obtained information can be used for computer simulations to further analyze and predict food demand scenarios. By leveraging spatial data integration, this study contributes to a deeper understanding of the complex dynamics of food demand, identifying critical areas such as food deserts and swamps, and paving the way for more effective public health interventions and policies aimed at achieving equitable food distribution and better nutritional outcomes.</t>
  </si>
  <si>
    <t>Burinskiene, Aurelija/JJD-7875-2023</t>
  </si>
  <si>
    <t>Airapetian, Artur/0000-0003-3941-1563; Burinskiene, Aurelija/0000-0002-4369-8870</t>
  </si>
  <si>
    <t>10.3390/app14156677</t>
  </si>
  <si>
    <t>WOS:001287032500001</t>
  </si>
  <si>
    <t>Punjabi, N; Watson, W; Vacaru, A; Martin, S; Levy-Licorish, E; Inman, JC</t>
  </si>
  <si>
    <t>Punjabi, Nihal; Watson, Wayanne; Vacaru, Alexandra; Martin, Samuel; Levy-Licorish, Erica; Inman, Jared C.</t>
  </si>
  <si>
    <t>The Impact of Living in a Low Food Access/Low Income Area on Obstructive Sleep Apnea</t>
  </si>
  <si>
    <t>OTOLARYNGOLOGY-HEAD AND NECK SURGERY</t>
  </si>
  <si>
    <t>Objective To assess differences in obstructive sleep apnea (OSA)-related health parameters between residents of low income/low access (LILA) census tracts-food deserts-and non-LILA residents Study Design Retrospective review. Setting Single institution serving a large region in Southern California from 2017 to 2023. Methods Census tracts are defined as LILA if a significant proportion of residents live below the poverty threshold and far from healthy food vendors. Adults newly diagnosed with OSA on polysomnography were included. Food access status was determined by searching patient addresses in the US Department of Agriculture Food Access Research Atlas. Baseline and 1-year follow-up body mass index (BMI) and vitals were collected and compared based on food access and other demographic variables. Results A total of 379 patients in the LILA+ group and 2281 patients in the LILA- group met inclusion criteria. BMI was higher in the LILA group (36.6 +/- 9.4 vs 35.2 +/- 8.9; P = .006). The effect of food access was most significant in certain demographic groups: patients aged &lt; 65, males, Asian/Pacific Islanders, Hispanics, and patients with Medicaid coverage all had a higher BMI when in the LILA+ group compared to the LILA- group. When considering insurance, LILA+ patients with Medicaid coverage had a significantly higher BMI than LILA- patients with non-Medicaid coverage (40.4 +/- 10.3 vs 34.2 +/- 8.4, P &lt; .001. Blood pressure, heart rate, and apnea-hypopnea index were also significantly higher in LILA+/Medicaid group. BMI change across all demographic groups was minimal at 1-year follow-up. Conclusion Living in a LILA census tract may result in worse OSA-related health parameters. When accounting for insurance status, the effects are even more profound. Intensive counseling on the importance of weight management should begin at the diagnosis of OSA.</t>
  </si>
  <si>
    <t>Vacaru, Alexandra/0009-0005-1678-035X</t>
  </si>
  <si>
    <t>0194-5998</t>
  </si>
  <si>
    <t>1097-6817</t>
  </si>
  <si>
    <t>2024 SEP 10</t>
  </si>
  <si>
    <t>10.1002/ohn.969</t>
  </si>
  <si>
    <t>SEP 2024</t>
  </si>
  <si>
    <t>WOS:001309402600001</t>
  </si>
  <si>
    <t>Wilkerson, AD; Gentle, C; Dewey, EN; Sajankila, N; Buchalter, RB; Strong, AT; Feng, XX; Patti, ME; Asfaw, S; Wilson, R; Aminian, A</t>
  </si>
  <si>
    <t>Wilkerson, Avia D.; Gentle, Corey; Dewey, Elizabeth N.; Sajankila, Nitin; Buchalter, R. Blake; Strong, Andrew T.; Feng, Xiaoxi; Patti, Mary Elizabeth; Asfaw, Sofya; Wilson, Rickesha; Aminian, Ali</t>
  </si>
  <si>
    <t>Association between geospatial disparities in food security with weight loss and nutritional outcomes of metabolic surgery</t>
  </si>
  <si>
    <t>SURGICAL ENDOSCOPY AND OTHER INTERVENTIONAL TECHNIQUES</t>
  </si>
  <si>
    <t>BackgroundFood insecurity has been linked to higher rates of obesity. It has also been shown to diminish the effectiveness of weight loss strategies, including intensive lifestyle interventions. One essential component of food insecurity is having a geospatial disadvantage in access to healthy, affordable food, such as living within a food desert. This study aims to determine if food insecurity also impacts weight loss and nutritional outcomes in patients who underwent Roux-en-Y gastric bypass (RYGB) or sleeve gastrectomy (SG). MethodsClinical outcomes of patients who underwent RYGB or SG at Cleveland Clinic or affiliate regional hospitals in the United States from 2010 to 2018 were collected. Modified Retail Food Environmental Index (mRFEI) data was collected from the Center for Disease Control and merged with patient census tract data, allowing the patient cohort to be divided into those living in areas identified as food secure (mRFEI &gt; 10%), food swamps (mRFEI = 1-10%), or food deserts (mRFEI = 0). Postoperative weight change was evaluated with quadratic growth mixture models and stratified by surgery type. ResultsA total of 5097 patients were included in this study cohort, including 3424 patients who underwent RYGB and 1673 who underwent SG. The median duration of follow-up was 2.3 years (IQR 0.89-3.6 years). Food security status was not associated with postoperative weight change (RYGB p = 0.73, SG p = 0.60), weight loss nadir (RYGB p = 0.60, SG p = 0.79), or weight regain (RYGB p = 0.93, SG p = 0.85). Deficiencies in nutritional markers at 1-2 years after surgery were also not significantly different between food security groups. ConclusionDespite the established relationship between food insecurity and obesity, food insecurity does not negatively impact weight loss or nutritional outcomes following RYGB or SG, demonstrating metabolic surgery as a powerful and equitable tool for treating obesity. Level of EvidenceIV.</t>
  </si>
  <si>
    <t>Strong, Andrew/R-7136-2019; Sajankila, Nitin/KLC-4720-2024</t>
  </si>
  <si>
    <t>Wilkerson, Avia/0000-0002-2185-9557</t>
  </si>
  <si>
    <t>0930-2794</t>
  </si>
  <si>
    <t>1432-2218</t>
  </si>
  <si>
    <t>2024 AUG 21</t>
  </si>
  <si>
    <t>10.1007/s00464-024-11175-1</t>
  </si>
  <si>
    <t>AUG 2024</t>
  </si>
  <si>
    <t>WOS:001295791500005</t>
  </si>
  <si>
    <t>Kharel, S; Sharifiasl, S; Pan, QS</t>
  </si>
  <si>
    <t>Kharel, Subham; Sharifiasl, Seyedsoheil; Pan, Qisheng</t>
  </si>
  <si>
    <t>Examining Food Access Equity by Integrating Grocery Store Pricing into Spatial Accessibility Measures</t>
  </si>
  <si>
    <t>Accessibility to food stores offering nutritious and affordable options is critical to ensure urban residents lead healthy lives. However, the uneven distribution of diverse food options in U.S. cities has raised concerns about marginalized communities' ability to obtain affordable and nutritious food. Transportation-related issues, like car-oriented urban form and sprawl, have created food deserts in cities, making it hard for marginalized communities to access affordable and healthy food. This lack of access has recently drawn the attention of urban planners to address food access-related equity issues. Spatial interaction models can help measure food access by examining how grocery store supply, demand, and proximity affect individuals' access to necessary food. However, these measures do not always consider the pricing of food items, which can significantly affect food access for low-income individuals and families. We use a highly disaggregated measure tailored to measuring inequitable food accessibility by factoring grocery store pricing into various types of supply and demand. Then, using regional socio-demographic thresholds, we identify target population groups and perform a series of equity analyses using our food accessibility measure. Our results show that walking is more inequitable than driving to food stores and that African American and Hispanic minorities, the elderly, and carless households are more burdened than the reference groups (whites). Using our framework, we identify food deserts and provide spatial and empirical insights for policymakers and planners to address food insecurity and promote equitable access to healthy food.</t>
  </si>
  <si>
    <t>Sharifiasl, Seyedsoheil/0000-0002-4517-2725; Kharel, Subham/0000-0001-5216-9607</t>
  </si>
  <si>
    <t>2024 JUL 30</t>
  </si>
  <si>
    <t>10.1177/03611981241254382</t>
  </si>
  <si>
    <t>WOS:001279789400001</t>
  </si>
  <si>
    <t>Wiggs, A; Cesmat, A; Davy-Mendez, T; Simpson, RJ</t>
  </si>
  <si>
    <t>Wiggs, Alleigh; Cesmat, Andrew; Davy-Mendez, Thibaut; Simpson, Ross J.</t>
  </si>
  <si>
    <t>The Association Between Residing in a Food Desert and Hypertension in Victims of Sudden Death</t>
  </si>
  <si>
    <t>MAR 18-21, 2024</t>
  </si>
  <si>
    <t>MAR 19</t>
  </si>
  <si>
    <t>P101</t>
  </si>
  <si>
    <t>10.1161/circ.149.suppl_1.P101</t>
  </si>
  <si>
    <t>WOS:001265904800131</t>
  </si>
  <si>
    <t>Novita, RR; Adimah; Khaerani, Z</t>
  </si>
  <si>
    <t>Novita, Rias Ratri; Adimah; Khaerani, Zahrah</t>
  </si>
  <si>
    <t>Urban Food Deserts in Japan</t>
  </si>
  <si>
    <t>10.1177/00420980241240961</t>
  </si>
  <si>
    <t>WOS:001199860700001</t>
  </si>
  <si>
    <t>Alexander, R; Wade, J; McElroy, A; Jackson, K; Ferguson, J; Gibbs, J; Woods-Giscombé, C</t>
  </si>
  <si>
    <t>Alexander, Ramine; Wade, Jeannette; McElroy, Asha; Jackson, Katia; Ferguson, JaVae; Gibbs, Jasmine; Woods-Giscombe, Cheryl</t>
  </si>
  <si>
    <t>From proximity concerns to constant snacking: Narratives of food access and consumption patterns before and during the COVID-19 pandemic</t>
  </si>
  <si>
    <t>Objective: The goal of this research was to uncover narratives around food access and consumption among Black women who attend HBCUs before and during the COVID-19 pandemic. Participants: Black women, ages 18-25. Methods: Focus groups were used to understand how participants defined healthy foods as well as barriers and facilitators of consumption. During the pandemic follow-up focus groups uncovered how COVID-19 impacted their access and consumption patterns. Results: Findings revealed that HCBU women faced similar and distinct concerns around food access prior to and during the pandemic. Students were limited by price, budgets, proximity to healthy foods, kitchen access, and cooking tools. However, proximity or transportation both before and during the COVID-19 pandemic encouraged students to access healthy foods. Conclusion: For students who are already at a societal disadvantage and attend a university located in a food desert, access to nutritious foods can be an exacerbated plight.</t>
  </si>
  <si>
    <t>Wade, Jeannette/H-4562-2019</t>
  </si>
  <si>
    <t>Wade, Jeannette/0000-0001-9126-5554</t>
  </si>
  <si>
    <t>JUL 23</t>
  </si>
  <si>
    <t>10.1080/07448481.2022.2089845</t>
  </si>
  <si>
    <t>WOS:000836551800001</t>
  </si>
  <si>
    <t>Bevel, M; Tsai, MH; Parham, A; Andrzejak, S; Jones, S; Moore, JX</t>
  </si>
  <si>
    <t>Bevel, Malcolm; Tsai, Meng-Han; Parham, April; Andrzejak, Sydney; Jones, Samantha; Moore, Justin X.</t>
  </si>
  <si>
    <t>The Association between Food Deserts, Food Swamps, and Postmenopausal Breast Cancer Mortality in the United States</t>
  </si>
  <si>
    <t>OCT 19-22, 2023</t>
  </si>
  <si>
    <t>Amer Assoc Cancer Res</t>
  </si>
  <si>
    <t>A075</t>
  </si>
  <si>
    <t>10.1158/1538-7445.ADVBC23-A075</t>
  </si>
  <si>
    <t>WOS:001186317300060</t>
  </si>
  <si>
    <t>de Lima, MS</t>
  </si>
  <si>
    <t>de Lima, Marina Sutile</t>
  </si>
  <si>
    <t>Food deserts and their spatialization in the metropolis of Curitiba, Brazil</t>
  </si>
  <si>
    <t>10.4000/11wvm</t>
  </si>
  <si>
    <t>WOS:001282647900021</t>
  </si>
  <si>
    <t>Mathis, WS; Kahn, PA; Tang, SB; Berenbrok, LA; Hernandez, I</t>
  </si>
  <si>
    <t>Mathis, Walter S.; Kahn, Peter A.; Tang, Shangbin; Berenbrok, Lucas A.; Hernandez, Inmaculada</t>
  </si>
  <si>
    <t>Empirically-derived, locally responsive travel time thresholds for optimal geographic supermarket access using national commuting data</t>
  </si>
  <si>
    <t>This study introduces a novel method for assessing spatial access to supermarkets in the United States, addressing limitations of the US Department of Agriculture Food Access Research Atlas definition. Our method eliminates the food desert poverty requirement and derives empirical time-based thresholds that reflect a nuanced urban/ rural spectrum and regional differences in normative drive times. Using these thresholds, we identify more than 66 million individuals experiencing suboptimal food access, distributed across 30,011 census tracts. Travel time thresholds ranged from 2.93 to 7.17 min (sd = 1.09) in urban blocks, 5.86 to 19.21 min (sd = 1.93) in suburban blocks, 2.68 to 12.98 min (sd = 1.81) in large rural blocks, and 9.74 to 28.13 min (sd = 3.39) in small rural blocks. The shortest thresholds were found in urban centers around New York City, Chicago, and Los Angeles, while the longest were in sparsely populated regions of Northern California, the Southwest, and the Great Plains. Our approach represents a significant methodological advancement in food access research and can be applied to measure variation in geographical access to other community resources and services.</t>
  </si>
  <si>
    <t>Hernandez, Inmaculada/AGZ-4219-2022</t>
  </si>
  <si>
    <t>Hernandez, Inmaculada/0000-0002-0118-4986</t>
  </si>
  <si>
    <t>10.1016/j.jtrangeo.2024.103945</t>
  </si>
  <si>
    <t>WOS:001280921000001</t>
  </si>
  <si>
    <t>Motakhaveri, ML; Chatakondi, RN; Weatherly, L; Baker, M</t>
  </si>
  <si>
    <t>Motakhaveri, M. L.; Chatakondi, R. N.; Weatherly, L.; Baker, M.</t>
  </si>
  <si>
    <t>The Mississippi desert: combating food insecurity with nutrition education</t>
  </si>
  <si>
    <t>AMERICAN JOURNAL OF THE MEDICAL SCIENCES</t>
  </si>
  <si>
    <t>0002-9629</t>
  </si>
  <si>
    <t>1538-2990</t>
  </si>
  <si>
    <t>S439</t>
  </si>
  <si>
    <t>WOS:001283041200700</t>
  </si>
  <si>
    <t>Prasad, A</t>
  </si>
  <si>
    <t>Prasad, Aarathi</t>
  </si>
  <si>
    <t>Arline Geronimus: studying the health effects of social injustice</t>
  </si>
  <si>
    <t>LANCET</t>
  </si>
  <si>
    <t>0140-6736</t>
  </si>
  <si>
    <t>1474-547X</t>
  </si>
  <si>
    <t>JUN 22</t>
  </si>
  <si>
    <t>WOS:001260289700001</t>
  </si>
  <si>
    <t>Mechanism of shopping difficulties for low-income households caused by the increase in high-income households in central Tokyo: A case study of Azabu and Takanawa districts of Minato-ku</t>
  </si>
  <si>
    <t>This study analyzed the mechanism of shopping difficulties for low-income groups in central Tokyo, where economic disparity is progressing due to gentrification. Through questionnaire and interview surveys, as well as analysis of time-series environmental changes, we found that since 2000, shopping difficulties have been induced by the decline of shopping streets and the upgrading of supermarkets in parallel. Furthermore, in the areas where the percentage of high-income groups due to redevelopments has significantly increased, luxury supermarkets opened at the same time as the construction of luxury condominiums, making it difficult for affordable supermarkets to locate. Unaffordable food access areas. image</t>
  </si>
  <si>
    <t>e12440</t>
  </si>
  <si>
    <t>10.1002/2475-8876.12440</t>
  </si>
  <si>
    <t>WOS:001221234700001</t>
  </si>
  <si>
    <t>Bradley, SE; Heuer, JN; Hahm, B; Pettey, K; Besterman-Dahan, K</t>
  </si>
  <si>
    <t>Bradley, Sarah E.; Heuer, Jacquelyn N.; Hahm, Bridget; Pettey, Kristin; Besterman-Dahan, Karen</t>
  </si>
  <si>
    <t>Just Food doesn't Do It: Understanding Food Insecurity Among Rural Veterans in the United States</t>
  </si>
  <si>
    <t>Food security among rural veteran populations is an understudied subject. This study uses qualitative data from 106 semi-structured interviews conducted with staff from programs at the United States Department of Veterans Affairs (VA) and other federal agencies, staff from non-governmental organizations (NGOs), food security researchers, and food insecure veterans to identify the barriers to and facilitators for rural veteran food security. Barriers identified included external, structural barriers that exist in rural areas; internal barriers to using food assistance, such as feeling stigmatized; and barriers related to other social determinants of health, including a lack of education, employment, or housing stability.</t>
  </si>
  <si>
    <t>SEP 2</t>
  </si>
  <si>
    <t>10.1080/03670244.2024.2387339</t>
  </si>
  <si>
    <t>WOS:001283220500001</t>
  </si>
  <si>
    <t>Abeykoon, AMH; Gupta, SD; Engler-Stringer, R; Muhajarine, N</t>
  </si>
  <si>
    <t>Abeykoon, A. M. Hasanthi; Gupta, Suvadra Datta; Engler-Stringer, Rachel; Muhajarine, Nazeem</t>
  </si>
  <si>
    <t>Early impact of a new food store intervention on health-related outcomes</t>
  </si>
  <si>
    <t>This study investigated the early impact of a community-based food intervention, the Good Food Junction (GFJ), a full-service grocery store (September 2012 - January 2016) in a former food desert in Saskatoon, Canada. The hypothesis tested was that frequent shopping at the GFJ improved food security and selected health-related outcomes among shoppers, and the impact was moderated by socioeconomic factors. Longitudinal data were collected from 156 GFJ shoppers, on three occasions: 12-, 18-, and 24-months post-opening. Participants were grouped into three categories based on the frequency of shopping at the GFJ: low, moderate, and high. A generalized estimating equations approach was used for model building; moderating effects were tested. Participants were predominantly female, Indigenous, low-income, and had high school or some post-secondary education. The GFJ use was associated with household food security (OR for high and moderate frequency shoppers reporting less than a high school education were 1.81 and 1.06, respectively), and mental health (OR for high and moderate frequency shoppers reporting high income were 2.82 and 0.87, respectively) exhibiting a dose-response relationship, and indicated that these outcomes were significantly moderated by participants' socioeconomic factors. Shopping at the GFJ had a positive effect on food security and mental health, but to varying levels for those with low incomes, with less than high school or high school or better levels of education.</t>
  </si>
  <si>
    <t>Datta Gupta, Suvadra/GYU-2852-2022</t>
  </si>
  <si>
    <t>JUN 24</t>
  </si>
  <si>
    <t>10.1186/s12889-024-19052-1</t>
  </si>
  <si>
    <t>WOS:001260611700003</t>
  </si>
  <si>
    <t>Libório, MP; Rabiei-Dastjerdi, H; Brunsdon, C; Pinto, MD; Fusco, E; Vidoli, F</t>
  </si>
  <si>
    <t>Liborio, Matheus Pereira; Rabiei-Dastjerdi, Hamidreza; Brunsdon, Chris; Pinto, Marcelo de Rezende; Fusco, Elisa; Vidoli, Francesco</t>
  </si>
  <si>
    <t>Ordered weighted averaging for the evaluation of urban inequality in sao Sebastiao Do Paraíso</t>
  </si>
  <si>
    <t>CITIES</t>
  </si>
  <si>
    <t>Urban inequality is a highly complex and multidimensional phenomenon that involves several aspects, such as education, urban mobility, environment, technological or digital exclusion, food deserts, and inequalities in the distribution of urban facilities. Due to its impact on the living conditions of populations residing in the most deprived and unhealthy areas of cities, inequality in the distribution of urban public services is a particularly relevant issue. The measurement of urban inequality to discuss possible policy implications requires the synthesis of its sub-dimensions. Therefore, this paper applies the multicriteria method called ordered weighted averaging to evaluate the distribution of public goods in census tracts of the city of Sao Sebastiao do Para &amp; iacute;so in Brazil. In particular, ordered weighted averaging, which allows the calibration of different degrees of non-compensability between sub-indicators and considers the heterogeneity of the census tracts, permits the evaluation of both positive and negative aspects of the studied phenomena. Two different composite indicators are calculated: the Tax Index, which analyses the presence of public goods and the benefits in terms of property value and wellbeing that their presence generates, and the Infrastructure Index, which examines the areas with the greatest lack of infrastructure.</t>
  </si>
  <si>
    <t>Libório, Matheus/L-7470-2016; Brunsdon, Chris/G-6700-2011; Vidoli, Francesco/AGR-5192-2022; Fusco, Elisa/HOH-2299-2023; Rabiei, Hamid/AAB-7060-2021</t>
  </si>
  <si>
    <t>Liborio, Matheus Pereira/0000-0003-1411-0553</t>
  </si>
  <si>
    <t>0264-2751</t>
  </si>
  <si>
    <t>1873-6084</t>
  </si>
  <si>
    <t>10.1016/j.cities.2024.104993</t>
  </si>
  <si>
    <t>WOS:001235642200001</t>
  </si>
  <si>
    <t>Hua, SX; Vong, V; Thomas, AE; Mui, Y; Poirier, L</t>
  </si>
  <si>
    <t>Hua, Shuxian; Vong, Vicky; Thomas, Audrey E.; Mui, Yeeli; Poirier, Lisa</t>
  </si>
  <si>
    <t>Barriers and Enablers for Equitable Healthy Food Access in Baltimore Carryout Restaurants: A Qualitative Study in Healthy Food Priority Areas</t>
  </si>
  <si>
    <t>Black neighborhoods in the U.S., historically subjected to redlining, face inequitable access to resources necessary for health, including healthy food options. This study aims to identify the enablers and barriers to promoting equitable healthy food access in small, independently owned carryout restaurants in under-resourced neighborhoods to address health disparities. Thirteen in-depth interviews were conducted with restaurant owners in purposively sampled neighborhoods within Healthy Food Priority Areas (HFPAs) from March to August 2023. The qualitative data were analyzed using inductive coding and thematic analysis with Taguette software (Version 1.4.1). Four key thematic domains emerged: interpersonal, sociocultural, business, and policy drivers. Owners expressed mixed perspectives on customers' preferences for healthy food, with some perceiving a community desire for healthier options, while others did not. Owners' care for the community and their multicultural backgrounds were identified as potential enablers for tailoring culturally diverse menus to meet the dietary needs and preferences of their clientele. Conversely, profit motives and cost-related considerations were identified as barriers to purchasing and promoting healthy food. Additionally, owners voiced concerns about taxation, policy and regulation, information access challenges, and investment disparities affecting small business operations in HFPAs. Small restaurant businesses in under-resourced neighborhoods face both opportunities and challenges in enhancing community health and well-being. Interventions and policies should be culturally sensitive, provide funding, and offer clearer guidance to help these businesses overcome barriers and access resources needed for an equitable, healthy food environment.</t>
  </si>
  <si>
    <t>Hua, Shuxian/JCE-9300-2023</t>
  </si>
  <si>
    <t>Hua, Shuxian/0009-0006-9934-201X; , Yeeli/0000-0002-5101-4096</t>
  </si>
  <si>
    <t>10.3390/nu16173028</t>
  </si>
  <si>
    <t>WOS:001311284200001</t>
  </si>
  <si>
    <t>Lu, ZY; Yang, Y; Ou, DL; Gu, DZ</t>
  </si>
  <si>
    <t>Lu, Zhiying; Yang, Yang; Ou, Danlin; Gu, Dazhi</t>
  </si>
  <si>
    <t>Dynamic changes of food environment: In and out of COVID-19 pandemic</t>
  </si>
  <si>
    <t>The outbreak of the COVID-19 pandemic has precipitated food crises worldwide, prompting a re-examination of the resilience of the urban food environment. While previous research on the urban food environment has predominantly focused on Western contexts, scant attention has been given to China. This study takes Shenzhen, China as an example to establish a food environment evaluation framework centered on accessibility, diversity, and healthiness factors, aiming to analyze the dynamic changes of the food environment during normal and pandemic periods. By using the GA optimization algorithm, some convenience stores are transformed into self-pickup points (SPPs), which is expected to eliminate the deserts risk areas (DRAs) with low cost and high efficiency. The findings reveal a distinctive center-periphery spatial structure characterizing the food environment in Shenzhen, and the improvement of healthiness plays a crucial role in sustaining food oases and ameliorating food swamps. This research provides methods for improving the resilience of the food environment during the pandemic across diverse nations, bolstering the security of urban lifeline systems.</t>
  </si>
  <si>
    <t>lu, zhiying/AAY-7785-2020</t>
  </si>
  <si>
    <t>2024 AUG 6</t>
  </si>
  <si>
    <t>10.1177/23998083241272101</t>
  </si>
  <si>
    <t>WOS:001285912800001</t>
  </si>
  <si>
    <t>de Souza, SV; Shasteen, KC; Seong, J; Kubota, C; Kacira, M; Peterson, HC</t>
  </si>
  <si>
    <t>de Souza, Simone Valle; Shasteen, K. C.; Seong, Joseph; Kubota, Chieri; Kacira, Murat; Peterson, H. Christopher</t>
  </si>
  <si>
    <t>Production planning in an indoor farm: Using time and space requirements to define an efficient production schedule and farm size</t>
  </si>
  <si>
    <t>Indoor agriculture is an innovative and environmentally sustainable approach to high -quality food production, utilizing advanced technology to reduce water usage by 95% and achieve a 100 -fold increase in production per unit of land compared to conventional farming systems. These enclosed systems provide year-round production of pesticide -free fresh food, even in cities with less favourable climates, addressing food deserts and creating employment opportunities in urban areas. However, the industry faces significant challenges, primarily stemming from substantial investment and operating costs, exacerbated by a limited understanding of the input-output relationship within these systems. This study employs a bioeconomic framework to establish a foundational production function based on growth cycle duration (time) and required growing area (space). Through a partial budget analysis, a 19 -day production schedule was identified to provide the highest contribution margin to profits. Results set the minimum size of this hypothetical lettuce indoor farm at 273 m 2 , rendering it suitable for installation in urban areas. The farm harvests 118 kg per day, within an 800 m 2 growing area distributed across four vertically stacked shelves. Estimates of economic output sensitivity to exogenous factors in the US context are also presented, along with a comparison between cost -minimizing and revenue -maximizing strategies.</t>
  </si>
  <si>
    <t>Valle+de+Souza, Simone/AGF-7681-2022</t>
  </si>
  <si>
    <t>10.22434/IFAMR2023.0038</t>
  </si>
  <si>
    <t>WOS:001247039400006</t>
  </si>
  <si>
    <t>Burton, TCJ; Crooks, N; Pezley, L; Hemphill, NO; Li, YQ; Sawatpanich, A; Farrow, V; Erbe, K; Kessee, N; Reed, L; Tussing-Humphreys, L; Koenig, MD</t>
  </si>
  <si>
    <t>Burton, Tristesse Catessa Jasmin; Crooks, Natasha; Pezley, Lacey; Hemphill, Nefertiti OjiNjideka; Li, Yanqiao; Sawatpanich, Arissara; Farrow, Vanessa; Erbe, Katherine; Kessee, Nicollette; Reed, Luecendia; Tussing-Humphreys, Lisa; Koenig, Mary Dawn</t>
  </si>
  <si>
    <t>Food Choice and Dietary Perspectives of Young, Urban, Black Pregnant Women: A Focus Group Study</t>
  </si>
  <si>
    <t>Black pregnant women in Chicago are disproportionately affected by maternal morbidity and mortality and are more likely to reside in neighborhoods that experience greater economic hardships and food apartheid than any other race/ethnicity. Addressing social determinants of health such as structural inequities, economic environment, and food apartheid issues may provide insights into eliminating Black maternal morbidity and mortality disparities. This study explores food choice determinants and dietary perspectives of young, urban, Black pregnant women. Two audio-recorded focus groups were conducted in Chicago, IL between March 2019 and June 2019 to discuss pregnancy experiences and factors affecting maternal nutrition. Thematic analysis was used to identify the codes, themes, and subthemes of the data. Data analysis was guided by the Social Ecological Model (SEM) as a theoretical framework. Eleven, young, Black women were recruited. Three major themes were discussed across the SEM levels that influenced food choice including food access, stress and family influences on eating, and the need for nutritional education during pregnancy. These choices were primarily rooted in the detrimental effects of food apartheid experienced within the participants' neighborhoods. Therefore, acknowledging, understanding, and addressing food apartheid and its impact on Black maternal health disparities is needed in clinical practice, research, and policy change.</t>
  </si>
  <si>
    <t>Koenig, Mary/AAW-6604-2020</t>
  </si>
  <si>
    <t>Koenig, Mary Dawn/0000-0002-2217-1105</t>
  </si>
  <si>
    <t>10.3390/nu16060781</t>
  </si>
  <si>
    <t>WOS:001192454700001</t>
  </si>
  <si>
    <t>Chenarides, L; Çakir, M; Richards, TJ</t>
  </si>
  <si>
    <t>Chenarides, Lauren; Cakir, Metin; Richards, Timothy J.</t>
  </si>
  <si>
    <t>Dynamic model of entry: Dollar stores</t>
  </si>
  <si>
    <t>Dollar stores have become the fastest-growing retail format in the United States. However, there is considerable controversy regarding their entry, particularly into markets without grocery stores, and concerns that dollar-store entry decisions are motivated by preemptive incentives. In this paper, we aim to study the market entry of dollar stores as an equilibrium phenomenon and to examine their impact on competing store formats in a dynamic environment. We use census-tract level data and develop a dynamic model of oligopolistic competition to estimate the impact of dollar store entry on the equilibrium entry decisions of other retailers of the same format and other formats. We find that supermarkets and other large-format owners thrive as dollar-store expansion removes their competitive fringe in shared markets, whereas other small-format stores (other dollar stores, convenience stores, and superettes) do not. Our findings have broad implications for the effect of dollar store entry on consumer welfare, as dollar-store entry is not associated with grocery-store exit but rather the exit of other small-format stores.</t>
  </si>
  <si>
    <t>Richards, Timothy/0000-0001-8832-9609</t>
  </si>
  <si>
    <t>10.1111/ajae.12404</t>
  </si>
  <si>
    <t>WOS:000997716800001</t>
  </si>
  <si>
    <t>Pinheiro, KC; Rockenbach, G; Figueira, RS; Hinnig, PD; Lopes, AAS; Corrêa, EN</t>
  </si>
  <si>
    <t>Pinheiro, Katiany Claudete; Rockenbach, Gabriele; Figueira, Roberta Silveira; Hinnig, Patricia de Fragas; Lopes, Adalberto Aparecido Santos; Correa, Elizabeth Nappi</t>
  </si>
  <si>
    <t>Challenges for obesity prevention: Study of the consumers' food environment around public schools in a small municipality</t>
  </si>
  <si>
    <t>Objective Evaluate the consumer's food environment in food retailers around public schools in the municipality of Governador Celso Ramos, state of Santa Catarina, in southern Brazil. Methods A survey was carried out in the surroundings of three public schools, from March to May 2022. Food retailers located in a pre -established 800m buffer zone were identified. A location system device recorded latitude and longitude. An audit of the establishments was performed using a specific validated instrument for auditing the consumer food environment (AUDITNOVA). These establishments were grouped into: Group 1 - predominantly selling fresh foods, Group 2 - mixed establishments, and Group 3 - predominantly selling ultra -processed foods. These establishments were assessed using a Consumer Food Environment Healthiness Score evaluation system. The data were analyzed using the statistical software Stata version 16.0. Results The study audited 21 establishments, 47.6% of which were small neighborhood food markets, 23.8% bakeries, 14.3% butchers/fishmongers, 9.5% grocery stores and 4.8% supermarkets. It was found that privately -owned vegetable markets had a higher availability of fresh and minimally processed food categories, while the lowest scores for this category were found in bakeries. Regarding ultra -processed foods, the most commonly found items were sugary beverages and candies, chocolates, and filled cookies. Conclusion More audit studies ought to be carried out in the surroundings of schools to broaden the understanding of the relationship between access, availability, prices and food advertisement in order to support the construction of strategies aimed at preventing obesity in the population.</t>
  </si>
  <si>
    <t>; Lopes, Adalberto/K-7929-2017</t>
  </si>
  <si>
    <t>hinnig, patricia/0000-0002-9348-8513; Correa, Elizabeth/0000-0002-2863-4262; Lopes, Adalberto/0000-0002-3001-6412</t>
  </si>
  <si>
    <t>1678-9865</t>
  </si>
  <si>
    <t>e230120</t>
  </si>
  <si>
    <t>10.1590/1678-9865202437e230120</t>
  </si>
  <si>
    <t>WOS:001217882400001</t>
  </si>
  <si>
    <t>Perez, L; Gendelman, S; Kendrick, J</t>
  </si>
  <si>
    <t>Perez, Luis; Gendelman, Sam; Kendrick, Jessica</t>
  </si>
  <si>
    <t>Home-Delivered Medically Tailored Meal Engagement Among Hemodialysis Patients and Providers</t>
  </si>
  <si>
    <t>JOURNAL OF RENAL NUTRITION</t>
  </si>
  <si>
    <t>Objective: Hemodialysis patients face one of the most difficult diets among clinical patient populations. Furthermore, dialysis dietary adherence is generally reported as low with providers generally lacking the time and resources to implement effective behavior change. The purpose of this study was to elucidate measures of patient and provider engagement with home-delivered medically tailored meals (MTMs). Methods: We surveyed patients and staff at dialysis centers within the Denver metropolitan area. Surveys focused on 1) patient dietary intake, 2) awareness, support, and utilization of meal programs, and 3) nutritional challenges and barriers (including food security). Results: We surveyed 118 patients (mean age 61.0 +/- 14.2 year, 58.5% male, and dialysis vintage of 4.6 +/- 4.9 years) and 26 staff across the included dialysis facilities. Patients were 20.3% White/Non-Hispanic, 35.6% Hispanic/Latin, and 31.4% Black/African American. Most patients reported eating 2 meals per day (N 5 53, 44.9%) and 52.2% reported difficulty with following a kidney diet. The most cited reasons for not following the diet were behavioral or knowledge (38.5%), taste (26.3%), time/convenience (26.9%) and food autonomy (16.9%). Sixty participants (52.2%) reported living in a food desert and 26.3% reported food insecurity. Seventy-one patients (61.2%) were aware of MTMs but only 40.5% had been referred. Most (76.9%) dialysis providers were aware of MTMs but only 15 (57.7%) had actually referred patients to such a service. Black individuals were less likely to be referred for MTMs than White or Hispanics/Latin (29.7% vs 48.1% White and 45.0% Hispanic/Latin) individuals. Conclusion: Medically tailored meals (MTMs) represent a potential method to alleviate or bypass some of the many barriers expressed by patients. Our findings reveal a critical need for education around MTMs for both patients and providers. Medically tailored meals (MTMs) could potentially demonstrate health kidney dietary patterns that might translate to altered dietary preferences or toward future behavior change.</t>
  </si>
  <si>
    <t>Perez, Luis/0000-0001-6431-2095</t>
  </si>
  <si>
    <t>1051-2276</t>
  </si>
  <si>
    <t>1532-8503</t>
  </si>
  <si>
    <t>10.1053/j.jrn.2023.08.011</t>
  </si>
  <si>
    <t>WOS:001167864700001</t>
  </si>
  <si>
    <t>Yankey, O; Lee, JY; Gardenhire, R; Borawski, E</t>
  </si>
  <si>
    <t>Yankey, Ortis; Lee, Jay; Gardenhire, Rachel; Borawski, Elaine</t>
  </si>
  <si>
    <t>Neighborhood Racial Segregation Predict the Spatial Distribution of Supermarkets and Grocery Stores Better than Socioeconomic Factors in Cleveland, Ohio: a Bayesian Spatial Approach</t>
  </si>
  <si>
    <t>IntroductionThe food environment influences the availability and affordability of food options for consumers in a given neighborhood. However, disparities in access to healthy food options exist, affecting Black and low-income communities disproportionately. This study investigated whether racial segregation predicted the spatial distribution of supermarkets and grocery stores better than socioeconomic factors or vice versa in Cleveland, Ohio.MethodThe outcome measure was the count of supermarket and grocery stores in each census tract in Cleveland. They were combined with US census bureau data as covariates. We fitted four Bayesian spatial models. The first model was a baseline model with no covariates. The second model accounted for racial segregation alone. The third model looked at only socioeconomic factors, and the final model combined both racial and socioeconomic factors.ResultsOverall model performance was better in the model that considered only racial segregation as a predictor of supermarkets and grocery stores (DIC = 476.29). There was 13% decrease in the number of stores for a census tract with a higher majority of Black people compared to areas with a lower number of Black people. Model 3 that considered only socioeconomic factors was less predictive of the retail outlets (DIC = 484.80).ConclusionsThese findings lead to the conclusion that structural racism evidenced in policies like residential segregation has a significant influence on the spatial distribution of food retail in the city of Cleveland.</t>
  </si>
  <si>
    <t>Yankey, Ortis/0000-0002-0808-884X</t>
  </si>
  <si>
    <t>10.1007/s40615-023-01669-4</t>
  </si>
  <si>
    <t>WOS:001017550400003</t>
  </si>
  <si>
    <t>Mengi, E; Becker, CJ; Sedky, M; Yu, SY; Zohdi, TI</t>
  </si>
  <si>
    <t>Mengi, Emre; Becker, Carla J.; Sedky, Mostafa; Yu, Shao-Yi; Zohdi, Tarek I.</t>
  </si>
  <si>
    <t>A digital-twin and rapid optimization framework for optical design of indoor farming systems</t>
  </si>
  <si>
    <t>COMPUTATIONAL MECHANICS</t>
  </si>
  <si>
    <t>In the face of a changing climate and a rising number of food deserts in both rural and urban areas, there is a demand to supply fresh produce year-round to communities at the end of the traditional agriculture supply chain. Vertical indoor farming is a promising mode of next-generation agriculture that boasts reduced water and pesticide usage, improved yields, more consistent quality, year-round cultivation, and cheaper transportation and harvesting costs. Indoor farms can rival industrial greenhouses in size, but small-scale pod farms can be deployed to smaller communities and areas where large swaths of land are either unavailable or too costly. These pods are often the size of shipping containers with their temperature, humidity, and plant nutrient supply carefully controlled. Plants inside the pods are grown hydroponically with light supplied by panels of LEDs and, thus, this mode of farming is fundamentally different from greenhouse farming. Many indoor farming pods have recently become commercially available claiming high energy efficiency, but little analysis and optimization work has been done to prove these claims. To drive innovation in the design of these physical systems, we have developed a digital-twin and genomic optimization framework for the optical design of vertical indoor farming pods. We model a completely enclosed indoor farming pod with plants in the three mutually-orthogonal planes and illuminated by LED walls. We employ ray-tracing methods and a genetic algorithm to determine the LED source tube area size, beam aperture spread, and power requirements for maximal power absorption by the plants.</t>
  </si>
  <si>
    <t>0178-7675</t>
  </si>
  <si>
    <t>1432-0924</t>
  </si>
  <si>
    <t>10.1007/s00466-023-02421-9</t>
  </si>
  <si>
    <t>WOS:001113173700002</t>
  </si>
  <si>
    <t>Carson, DB; Johansson, AB; Carson, DA</t>
  </si>
  <si>
    <t>Carson, Dean Bradley; Johansson, Albert Brunet; Carson, Doris Anna</t>
  </si>
  <si>
    <t>Who Gives? Non-Commercial Distribution Networks in Domestic Food Production in the Inland North of Sweden</t>
  </si>
  <si>
    <t>This paper examines the social context of domestic food production (dfp) in the inland North of Sweden, with a focus on understanding the contributions of non-commercial food distribution to local food security and sustainable rural community-building. We report on the findings of an exploratory pilot study that included an online survey of 305 people who engaged in at least one dfp activity (hunting, fishing, foraging, or farming). The aims were to uncover common social practices of dfp, as well as to identify key values attached to dfp, the extent of commercial and non-commercial distribution of home-produced food, and motivations to give away food. The main findings emphasize the social nature of dfp activities, with the vast majority of respondents undertaking dfp in groups or as part of formal clubs. Key values attached to dfp included social and community-related aspects, while commercial interests were limited. Respondents were more likely to engage in non-commercial distribution networks, usually involving close family and friends. Food givers mostly cited social factors as their main motivations rather than other food-related aspects (such as food security, health benefits, or food waste). Food givers were also likely to receive food from others, emphasizing the relatively narrow and reciprocal character of non-commercial food networks. We conclude that non-commercial dfp networks may be expanded to the broader community by exploiting the social nature of dfp and encouraging generalized reciprocity led by dfp clubs. This could potentially reduce the negative impacts of food deserts whilst also stimulating community interactions, learning and local dfp communities of practice.</t>
  </si>
  <si>
    <t>Carson, Dean/0000-0001-8143-123X</t>
  </si>
  <si>
    <t>10.3390/su16062300</t>
  </si>
  <si>
    <t>WOS:001192996100001</t>
  </si>
  <si>
    <t>Guo, J; Brakewood, C</t>
  </si>
  <si>
    <t>Guo, Jing; Brakewood, Candace</t>
  </si>
  <si>
    <t>Analysis of spatiotemporal transit accessibility and transit inequity of essential services in low-density cities, a case study of Nashville, TN</t>
  </si>
  <si>
    <t>Evaluating the accessibility and equity of transit services to essential services that fulfill people's fundamental needs is critical, especially in lower-density areas with limited transit services. Although numerous studies have analyzed the inequity of transit accessibility in dense, urban areas with robust transit networks, few of them evaluated transit inequity across multiple essential service categories (e.g., food stores, healthcare facilities, schools, etc.). This paper fills this research gap by focusing on a low-density, automobile-oriented city (Nashville, TN) to evaluate spatial transit inequities across essential service deserts and sociodemographic groups. The results of the case study show that many areas with higher transit-dependent demand (i.e., populations with limited personal vehicles, those living in poverty, and minority populations) tend to experience more restricted transit access to food, healthcare, school, and childcare facilities; interestingly, this is not the case for transit access to green space (specifically, parks). This study further identified essential service deserts by Local Indicator of Spatial Association (LISA) clustering and analyzed the correlation among them. The correlation results suggest that food deserts, healthcare deserts, school deserts, and childcare deserts are highly correlated with each other, while they have a lower correlation with park deserts. The findings of spatial transit inequity and the identification of essential service deserts provide crucial policy implications that can be used by transit agencies and local planning departments to prioritize their resources and target interventions to improve transit equity. This study contributes to the existing literature by proposing a systematic process that utilizes publicly available datasets to measure spatiotemporal transit supply, identify essential service deserts, and explore the correlation among these areas in a low-density city.</t>
  </si>
  <si>
    <t>Guo, Jing/0000-0002-3489-3746; Brakewood, Candace/0000-0003-2769-7808</t>
  </si>
  <si>
    <t>10.1016/j.tra.2023.103931</t>
  </si>
  <si>
    <t>WOS:001160471900001</t>
  </si>
  <si>
    <t>Andres, UM; Mansker, BL; Suttles, S; Naramore, SK</t>
  </si>
  <si>
    <t>Andres, Unai Miguel; Mansker, Beau L.; Suttles, Shellye; Naramore, Sara K.</t>
  </si>
  <si>
    <t>Understanding the relationship between limited neighbourhood food access and health outcomes of children with obesity</t>
  </si>
  <si>
    <t>PEDIATRIC OBESITY</t>
  </si>
  <si>
    <t>Background: Childhood obesity is a growing worldwide epidemic that requires a biopsychosocial treatment approach to achieve a healthy lifestyle. This study on children in a weight management program examines the relationship between obesity, disease complications, and social determinants of health. We expect that children with higher degrees of obesity are more likely to live in areas lacking access to healthy food and have similar behavioural and socioeconomic characteristics. Methods: Program participants were identified by neighbourhood food access status based on their home address. The prevalence of comorbidities in the participants was analyzed according to neighbourhood food accessibility. Multivariate regressions evaluated the association between participants' health outcomes and their sociodemographic and geographical characteristics. Results: A total of 283 (98.3%) participants had a BMI &gt;= 95th percentile for their age and sex and 68 (23.6%) lived in neighbourhoods with limited food access. Almost a third (Adj. R-2 = 0.3302; p &lt; 0.01) of the variability in study population's BMI was driven by sociodemographic factors, self-reported eating and physical activity behaviours, and had a positive relationship with access to healthy food. Nonetheless, HbA1c had a negative relationship with access to healthy food given the limited variation in the sample of participants with HbA1c levels indicating diabetes. Conclusion: Children living in neighbourhoods with limited food access had higher BMIs than other program participants. Thus, it is critical to identify children with limited neighbourhood food accessibility and promote societal and legislative change to improve access to healthy food.</t>
  </si>
  <si>
    <t>Suttles, Shellye/0000-0003-4100-8431</t>
  </si>
  <si>
    <t>2047-6310</t>
  </si>
  <si>
    <t>2047-6302</t>
  </si>
  <si>
    <t>2024 AUG 2</t>
  </si>
  <si>
    <t>10.1111/ijpo.13151</t>
  </si>
  <si>
    <t>WOS:001282938200001</t>
  </si>
  <si>
    <t>Kisselgoff, M; Champagne, MR; Dubois, R; Turnbull, L; Laplante, J; Schultz, A; Bombak, A; Riediger, N</t>
  </si>
  <si>
    <t>Kisselgoff, Maria; Champagne, Michael Redhead; Dubois, Riel; Turnbull, Lorna; Laplante, Jeff; Schultz, Annette; Bombak, Andrea; Riediger, Natalie</t>
  </si>
  <si>
    <t>Balancing on the redline: a qualitative study of the experiences purchasing sugar-sweetened beverages among Indigenous adults in a Canadian urban neighbourhood</t>
  </si>
  <si>
    <t>ObjectiveGrowing evidence suggests that inner-city residents actively navigate their food landscape to meet a wide range of socio-economic needs. Given the increasing focus of health policies on sugar-sweetened beverages (SSB) through price-based strategies, it is critical to understand purchasing habits of populations with higher SSB intake. This study examined urban Indigenous adults' SSB shopping behaviour and experiences.MethodsWe conducted a community-based participatory research study using semi-structured interviews with a purposive sample of Indigenous adults (&gt;= 18 years old) from the North End neighbourhood of Winnipeg. Interviews were audio recorded, transcribed verbatim, and thematically analyzed.ResultsAll 20 participants (women = 10; men = 8; two-spirit = 2) consumed SSB on a regular, daily basis either at the time of the interview or at a prior period in their lives. Themes defining residents' SSB shopping behaviour and experiences of shopping for SSB included balancing on the redline, specifically (1) balancing SSB purchasing constraints and facilitators with savvy shopping approaches and (2) balancing (stereo)typical reactions with resilient coping approaches. Residents procured SSB in various stores within and beyond the boundaries of the North End neighbourhood. SSB is a considerable, reoccurring expense, requiring savvy price-shopping strategies in order to access. Indigenous adults experience judgement and stereotyping when purchasing SSB, including intersecting racial, class, and weight stigma.ConclusionPurchasing SSB is perceived as a source of judgement when outside of inner-city neighbourhoods. Policymakers should consider how policies directed at SSB, which are consumed by Indigenous and food-insecure populations in greater quantities, may magnify existing racial, class, and weight-based discrimination. ObjectifDe l'evidence grandissante suggere que les residents urbains naviguent activement leur environnement alimentaire pour rejoindre multiples niveaux socio-economiques. etant donne l'interet grandissant envers nos principes de sante pour boissons sucrees (BS) en travers des strategies a base de prix, il est critique de comprendre les habitudes d'achat des populations qui consomment le plus de BS. Cette etude a examine les habitudes et experiences d'achats de BS d'adultes urbains Indigenes.MethodeNous avons fait une recherche participative dans une communaute utilisant des interviews semi-structures utilisant un echantillon d'adultes Indigenes (&gt;= 18 ans) de la communaute &lt;&lt; North End &gt;&gt; a Winnipeg. Les interviews ont ete enregistres, transcrits verbatim et analyses thematiquement.ResultatsTous les 20 participants (femmes = 10; hommes = 8, bispirituel = 2) ont consomme des BS regulierement, a tous les jours, soit au temps de l'interview ou a un temps passe dans leur vie. Les themes qui definissent les habitudes d'achat de BS des residents et leurs experiences d'achat de BS incluent : balancer sur la ligne rouge, en particulier (1) balancer les contraintes et facilitateurs d'achat de BS avec des approches d'achats astucieux et (2) balancer les reactions (stereo)typiques aves des approches d'adaptation resilientes. Les residents se procurent des BS dans multiples magasins a l'interieur et a l'exterieur des limites de la communaute &lt;&lt; North End &gt;&gt;. Les BS sont une depense considerable et recurrentes qui requiert des strategies de prix d'achats astucieux. Les adultes indigenes experience du jugement et des stereotypes lors d'achats de BS, qui incluent des stigmatismes raciaux, classistes et a base de poids.ConclusionL'achat de BS est percu comme une source de jugement lorsqu'on sort des communautes du centre-ville. Les decideurs politiques devraient considerer que leur politique envers les BS, qui sont disproportionnellement consommes par les populations radicalisees et alimentairement insecures, peuvent aggraver les discriminations raciaux, classistes ou basees sur le poids.</t>
  </si>
  <si>
    <t>10.17269/s41997-023-00831-z</t>
  </si>
  <si>
    <t>WOS:001110656900001</t>
  </si>
  <si>
    <t>Randriamiadana, I</t>
  </si>
  <si>
    <t>Randriamiadana, Irina</t>
  </si>
  <si>
    <t>Halal, le nouveau voile ? Représentation du désert alimentaire et vestimentaire façonné par l'universalisme républicain dans deux romans de Faïza Guène</t>
  </si>
  <si>
    <t>CONTEMPORARY FRENCH AND FRANCOPHONE STUDIES</t>
  </si>
  <si>
    <t>Has halal food become the new headscarf revealing France's hostility towards Muslims? From political discourse to legislative measures dictated by the so-called republican universalism, from aggressive policies aimed at Muslims' diet to the reduction of public spaces for veiled Muslim women, the principles of Liberty, Equality and Fraternity seem to shrink to simple mirages. In this article, I analyze how Fa &amp; iuml;za Gu &amp; egrave;ne's novels Kiffe Kiffe Demain (2004) and La Discr &amp; eacute;tion (2020) engage with the stigmatization of Muslims due to their food and clothing choices. Based on DeSoucey's work on gastronationalism and foie-gras I argue that, despite the cruelty of force-feeding, foie gras has its uncontested place on French tables while some politicians attempt to outlaw halal slaughter under the cover of animal cruelty concerns, thus reviving the clich &amp; eacute; of the savage Saracen. Despite this food and clothing desert targeting a specific part of the French population, the development of social media and the creativity of chefs like Djamel Bouhadda are creating an oasis allowing Muslims to have access to haute cuisine and one day, perhaps, to add their halal cuisine to the French culinary heritage that Cohen describes as white and normative.</t>
  </si>
  <si>
    <t>1740-9292</t>
  </si>
  <si>
    <t>1740-9306</t>
  </si>
  <si>
    <t>AUG 7</t>
  </si>
  <si>
    <t>10.1080/17409292.2024.2384794</t>
  </si>
  <si>
    <t>WOS:001310003300001</t>
  </si>
  <si>
    <t>Ayuya, OI</t>
  </si>
  <si>
    <t>Ayuya, Oscar Ingasia</t>
  </si>
  <si>
    <t>Ethnicity, social connectedness, and the rural-urban food continuum: Food security among urban informal settlement dwellers in Kenya</t>
  </si>
  <si>
    <t>Rapid urbanization in developing countries is increasingly becoming an important development issue due to its negative effects on poverty and food insecurity in cities. This study investigated the determinants of the food insecurity gap among urban households living in informal settlements in Nairobi, Kenya, and the role of social connectedness and the rural-urban food continuum. Using panel data collected from 385 households using a two-stage cluster sample design, the study applied panel data regression and decomposition models to understand the factors affecting food insecurity access scores and weekly household food consumption expenditure. Descriptive results showed a score of 8.00 for the pooled sample on the household food access scale, with households from other regions having a lower score (7.94) than those from the Western region (8.32). 43 % of households from Western Kenya engaged in farming in rural areas (43 %) and had higher social connectedness (45 %) than households from other regions. The results indicate that dependency ratio, income, savings, social connectedness, rural visits, and dietary knowledge are significant factors impacting food security. Decomposition of levels and change in food insecurity revealed that endowments from the random effects model contributed to reducing the food insecurity gap between households originating from the Western region and those from other regions. The study highlights the importance of considering regional factors and promoting social connectedness and rural-urban linkages in addressing food insecurity in informal urban settlements.</t>
  </si>
  <si>
    <t>Ingasia ayuya, oscar/0000-0001-9555-1697</t>
  </si>
  <si>
    <t>e30481</t>
  </si>
  <si>
    <t>10.1016/j.heliyon.2024.e30481</t>
  </si>
  <si>
    <t>WOS:001239319100001</t>
  </si>
  <si>
    <t>Bell, A; Taylor, DE</t>
  </si>
  <si>
    <t>Bell, Ashley; Taylor, Dorceta E.</t>
  </si>
  <si>
    <t>A Vanishing Food Infrastructure: The Closure of Food Outlets in Flint in a Pandemic Era</t>
  </si>
  <si>
    <t>Most food access studies focus on large cities, examine traditional grocery stores, and only consider operational food outlets. This siloed approach exposes a gap in food access literature. Therefore, as a part of our assessment of Flint's food landscape, we examined closed food outlets in the city and surrounding townships. We investigated the relationship between the racial composition of census tracts and the number and type of defunct food outlets identified. We used Data Axle to collect and verify data on open and closed food outlets between September 2020 and December 2021. We made a final verification of the food outlet closures in June 2022. We used ArcGIS 10.8.1 and SPSS Version 28 to map and analyze the data. We used negative binomial regression models to determine differences in the likelihood of having an additional closed food outlet in census tracts with low and high percentages of Black residents. We also investigated the relationship between a census tract's median income and the likelihood of having an additional closed food outlet. There were 173 closed food outlets; 81 were in Flint, and 92 were in surrounding townships. The most frequently closed food outlets were restaurants; they accounted for 45.1% of the closures. The mean number of closed food venues in census tracts where less than 40% of the residents were Black was 1.5. The mean was similar in census tracts where 40% or more of the residents were Black; it was 1.6. This difference was not significant. However, the median income of a census tract was a significant predictor of the likelihood of having an additional closed food outlet. Every one-thousand-dollar increase in median income resulted in a 2% less likelihood of having an additional closed food outlet. The results of this study show that there is more to the food landscape of a city than its operational food outlets. Focusing exclusively on active food outlets does not accurately depict a city's food infrastructure.</t>
  </si>
  <si>
    <t>10.1177/00027642221142202</t>
  </si>
  <si>
    <t>WOS:000908140800001</t>
  </si>
  <si>
    <t>Odoms-Young, A; Brown, AGM; Agurs-Collins, T; Glanz, K</t>
  </si>
  <si>
    <t>Odoms-Young, Angela; Brown, Alison G. M.; Agurs-Collins, Tanya; Glanz, Karen</t>
  </si>
  <si>
    <t>Food Insecurity, Neighborhood Food Environment, and Health Disparities: State of the Science, Research Gaps and Opportunities</t>
  </si>
  <si>
    <t>AMERICAN JOURNAL OF CLINICAL NUTRITION</t>
  </si>
  <si>
    <t>Food insecurity and the lack of access to affordable, nutritious food are associated with poor dietary quality and an increased risk of diet -related diseases, including cardiovascular disease, diabetes, and certain types of cancer. Those of lower socioeconomic status and racial and ethnic minority groups experience higher rates of food insecurity, are more likely to live in under-resourced food environments, and continue to bear the greatest burden of dietrelated chronic diseases in the United States. Despite the growing body of literature in this area, there are still significant gaps in our understanding of the various pathways that link food insecurity and neighborhood food environments to racial/ethnic and socioeconomic disparities in health and the most effective intervention strategies to address these disparities. To better understand the science in this area, the National Institutes of Health, in collaboration with the Centers for Disease Control (CDC) and Prevention and the United States Department of Agriculture (USDA), convened a virtual 3-d workshop 21-23 September 2021: Food Insecurity, Neighborhood Food Environment, and Nutrition Health Disparities: State of the Science. The workshop brought together a diverse group of researchers, practitioners, policymakers, and federal partners with expertise in nutrition, the food environment, health and social policy, and behavioral and social sciences. The workshop had the following 3 research objectives: 1) summarize the state of the science and knowledge gaps related to food insecurity, neighborhood food environments, and nutrition health disparities, 2) identify research opportunities and strategies to address research gaps, and 3) examine evidence -based interventions and implementation approaches to address food insecurity and neighborhood food environments to promote health equity. This article summarizes workshop proceedings and describes research gaps and future opportunities that emerged from discussions.</t>
  </si>
  <si>
    <t>0002-9165</t>
  </si>
  <si>
    <t>1938-3207</t>
  </si>
  <si>
    <t>10.1016/j.ajcnut.2023.12.019</t>
  </si>
  <si>
    <t>WOS:001209348100001</t>
  </si>
  <si>
    <t>Hua, SX; Tucker, AC; Santos, SR; Thomas, AE; Mui, Y; Velez-Burgess, V; Poirier, L; Cheskin, LJ; Matsuzaki, M; Williamson, S; Colon-Ramos, U; Gittelsohn, J</t>
  </si>
  <si>
    <t>Hua, Shuxian; Tucker, Anna Claire; Santos, Sydney R.; Thomas, Audrey E.; Mui, Yeeli; Velez-Burgess, Veronica; Poirier, Lisa; Cheskin, Lawrence J.; Matsuzaki, Mika; Williamson, Stacey; Colon-Ramos, Uriyoan; Gittelsohn, Joel</t>
  </si>
  <si>
    <t>The Quality of Menu Offerings in Independently Owned Restaurants in Baltimore, Maryland: Results from Mixed-Methods Formative Research for the FRESH Trial</t>
  </si>
  <si>
    <t>(1) Background: Independently owned restaurants (IORs) are prevalent in under-resourced racial and ethnic minority communities in the US and present a unique setting for public health nutrition interventions. (2) Methods: We conducted 14 in-depth interviews with IOR owners in Baltimore about their perceptions of healthy food, and customers' acceptance of healthier menus and cooking methods and concurrent observations of the availability of healthy options on their menus. Qualitative data were coded and analyzed using ATLAS.ti. Observations were analyzed with statistical analysis performed in R. (3) Results: Owners perceived non-fried options, lean proteins, and plant-based meals as healthy. While open to using healthier cooking fats, they had mixed feelings about reducing salt, adopting non-frying methods for cooking, and adding vegetables and whole grains to the menu, and were reluctant to reduce sugar in recipes and beverages. Only 17.5% of 1019 foods and 27.6% of 174 beverages in these IORs were healthy, with no significant differences in the healthfulness of restaurant offerings within low-healthy-food-access/low-income neighborhoods and those outside. (4) Conclusion: Healthy options are generally scarce in Baltimore's IORs. Insights from owners inform future interventions to tailor healthy menu offerings that are well-received by customers and feasible for implementation.</t>
  </si>
  <si>
    <t>Hua, Shuxian/JCE-9300-2023; Poirier, Lisa/AAG-5292-2019</t>
  </si>
  <si>
    <t>Colon-Ramos, Uriyoan/0000-0002-0870-9722; Santos, Sydney/0009-0002-1112-2153; Tucker, Anna Claire/0000-0002-1433-3717; Gittelsohn, Joel/0000-0003-2761-3280; , Yeeli/0000-0002-5101-4096; Hua, Shuxian/0009-0006-9934-201X</t>
  </si>
  <si>
    <t>10.3390/nu16101524</t>
  </si>
  <si>
    <t>WOS:001231635400001</t>
  </si>
  <si>
    <t>Houghton, LC; Adkins-Jackson, PB</t>
  </si>
  <si>
    <t>Houghton, Lauren C.; Adkins-Jackson, Paris B.</t>
  </si>
  <si>
    <t>Mixed-Method, Multilevel Clustered-Randomized Control Trial for Menstrual Health Disparities</t>
  </si>
  <si>
    <t>PREVENTION SCIENCE</t>
  </si>
  <si>
    <t>Menstrual cycle characteristics are largely considered unmodifiable reproductive factors, a framing that prevents exploration of the ways structural factors interfere with menstrual health. Given the role of structural factors like healthy food and healthcare access on reproductive health and the grave need for structural interventions to known reproductive health disparities that disproportionately target cisgender women racialized as Black, it is imperative that science begin to examine how structural factors influence menstrual health. To explore such research, we employ critical race theory and intersectionality to illustrate what a structural intervention to improve menstrual cycle health could look like. Centering those with the greatest need, persons racialized as Black and/or LatinX living in food and healthcare deserts in Northern Manhattan, our illustrative sample includes four groups of persons who menstruate (e.g., cisgender girls and women) that are pre-menarche, pre-parous, postpartum, or perimenopausal. We describe a hypothetical, multilevel clustered-randomized control trial (cRCT) that provides psychoeducation on racism-related trauma and free delivered groceries to both treatment and control groups, while randomizing 30 clusters of housing associations to receive either sexual health clinics at their housing association or free vouchers for healthcare. We embed mixed methods (diaries, interviews, surveys, mobile apps, observation) into the design to evaluate the effectiveness of the 1-year intervention, in addition to determining the impact on participants through their perspectives. Through this illustration, we provide a novel example of how structural interventions can apply mixed methods to evaluate effectiveness while delivering services to populations impacted by multiple structural factors. We demonstrate how qualitative and quantitative approaches can be paired in clustered RCTs and how a living logic model can empirically incorporate the population perspective into more effective interventions. Lastly, we reveal how sensitive menstrual health is to structural factors and how upstream improvements will trickle down to potentially reduce health disparities in reproductive health.</t>
  </si>
  <si>
    <t>Houghton, Lauren/ABC-8638-2021</t>
  </si>
  <si>
    <t>Houghton, Lauren/0000-0002-1432-1580</t>
  </si>
  <si>
    <t>1389-4986</t>
  </si>
  <si>
    <t>1573-6695</t>
  </si>
  <si>
    <t>2024 FEB 15</t>
  </si>
  <si>
    <t>10.1007/s11121-024-01646-1</t>
  </si>
  <si>
    <t>WOS:001162028200001</t>
  </si>
  <si>
    <t>Smith, RB; Baird, MD; Hunter, GP; Ghosh-Dastidar, B; Richardson, AS; Cantor, JH; Dubowitz, T</t>
  </si>
  <si>
    <t>Smith, Rebecca B.; Baird, Matthew D.; Hunter, Gerald P.; Ghosh-Dastidar, Bonnie; Richardson, Andrea S.; Cantor, Jonathan H.; Dubowitz, Tamara</t>
  </si>
  <si>
    <t>Do Publicly Funded Neighborhood Investments Impact Individual-Level Health-Related Outcomes? A Longitudinal Study of Two Neighborhoods in Pittsburgh, PA from 2011 to 2018</t>
  </si>
  <si>
    <t>Research examining the relationship between a neighborhood's built environment and resident health has largely either used a static, cross-sectional research design or focused on the neighborhood in its entirety, making it difficult to understand the relationship between specific dynamic neighborhood characteristics and individual well-being. We use longitudinal data from the Pittsburgh Research on Neighborhood Change and Health (PHRESH) studies to assess the relationship between publicly funded neighborhood investments between 2011 and 2018 and five health-related outcomes: food insecurity, stress, perceived neighborhood safety, neighborhood satisfaction, and dietary quality. We additionally determine whether the distance between an individual's place of residence and the investment affects the magnitude of associations. Using individual and year fixed effects models, we find that when measured at the neighborhood level, an increase by one standard deviation (SD) in investments (about $130 million) is associated with decreased food insecurity (-0.294 SD), increased safety (0.231 SD), and increased neighborhood satisfaction (0.201 SD) among adults who remain in the study for at least two waves of data collection. We also analyze specific investment types and find that commercial investments are largely driving the changes in food insecurity, safety, and neighborhood satisfaction, while business and residential investments are correlated with the decrease in stress.</t>
  </si>
  <si>
    <t>10.1080/10511482.2024.2309952</t>
  </si>
  <si>
    <t>WOS:001164441200001</t>
  </si>
  <si>
    <t>Dubowitz, T; Ghosh-Dastidar, B; Beckman, R; Richardson, AS; Hunter, GP; Burns, RM; Cantor, J; Mendoza-Graf, A; Collins, RL</t>
  </si>
  <si>
    <t>Dubowitz, Tamara; Ghosh-Dastidar, Bonnie; Beckman, Robin; Richardson, Andrea S.; Hunter, Gerald P.; Burns, Rachel M.; Cantor, Jonathan; Mendoza-Graf, Alexandra; Collins, Rebecca L.</t>
  </si>
  <si>
    <t>Community Investments and Diet-Related Outcomes: A Longitudinal Study of Residents of Two Urban Neighborhoods</t>
  </si>
  <si>
    <t>Introduction: Investments in historically oppressed neighborhoods through food retail, housing, and commercial development are hypothesized to improve residents ' health, nutrition, and perceptions of their neighborhood as a place to live. Although place -based development (e.g., housing, retail, business assistance) is happening in many communities, there is little evidence of the longterm correlates of multiple investments such as health and nutrition among residents. Methods: A quasi -experimental longitudinal study was conducted using a cohort of randomly sampled households in two low-income, predominantly African American neighborhoods in Pittsburgh, PA, with surveys assessing residents ' food insecurity, perception of their neighborhood as a place to live, perception of access to healthy foods, and dietary outcomes in 2011 and seven years later (2018), with an interim assessment in 2014. Analyses conducted in 2022 compared changes among residents of one neighborhood which had 2.6 times the investments over a 7 -year period with changes among residents of a socio-demographically similar neighborhood that received fewer investments. Results: It was found that residents in the neighborhood receiving substantial investments demonstrated statistically signi fi cant improvements in neighborhood satisfaction (12.6% improvement compared with a 2.2% decrease) and perceived access to healthy food (52% improvement compared with 18.2% improvement), and marginally signi fi cant change in food security (14% compared with 4.8% improvement) compared with residents in the neighborhood receiving fewer investments. Conclusions: Multiple place -based investments in neighborhoods can potentially induce positive change for residents in health and nutrition outcomes. Am J Prev Med 2024;66(4):681 - 689. (c) 2023 American Journal of Preventive Medicine. Published by Elsevier Inc. All rights reserved.</t>
  </si>
  <si>
    <t>Dubowitz, Tamara/0000-0003-4035-9782; Collins, Rebecca/0000-0003-2459-2306; Richardson, Andrea/0000-0001-6894-8226; Cantor, Jonathan/0000-0003-4468-833X; Mendoza-Graf, Alexandra/0000-0003-2529-7085</t>
  </si>
  <si>
    <t>10.1016/j.amepre.2023.11.005</t>
  </si>
  <si>
    <t>WOS:001217681200001</t>
  </si>
  <si>
    <t>Miranda, R; Carrasco, JA; Astroza, S</t>
  </si>
  <si>
    <t>Miranda, Ruben; Carrasco, Juan Antonio; Astroza, Sebastian</t>
  </si>
  <si>
    <t>Food purchasing and eating patterns: Assessing the role of people's mobility, social networks, and attitudes on healthy diets</t>
  </si>
  <si>
    <t>TRAVEL BEHAVIOUR AND SOCIETY</t>
  </si>
  <si>
    <t>A poor diet has crucial impacts on individuals and society as a whole. In addition to individual preferences, there is evidence that people's diet is related to their social, economic, and geographical environment, including their mobility context. However, few studies have an empirical, integrated perspective of these previous dimensions. This paper presents an empirical effort to understand people's food purchasing and eating preferences concerning their mobility dynamics, social networks, habits, perceptions, activities, and sociodemographics, going beyond a static distance-based food supply perspective. The case study corresponds to the city of Concepcion, Chile, using data that included nutrition, mobility, social networks, habits, perceptions, activities, and sociodemographics. The relationships between people's eating and shopping patterns and these different contextual dimensions were analyzed through joint multivariate statistical modelling. The empirical findings suggest that greater spatial proximity to the purchase of food does not significantly impact the quality of the diet. However, greater proximity to food supply affects the frequency and characteristics of the transport mode to the shopping trips, impacting the diet quality, especially in the case of open street markets. This relationship shows that mobility patterns play an essential role in the impact of spatial accessibility on the purchase of food and the quality of people's diets. The results also confirm that food consumption and purchasing decisions go beyond individual sociodemographics and are influenced by other aspects of people's overall mobility patterns, social capital, and attitudes.</t>
  </si>
  <si>
    <t>Astroza, Sebastian/AHD-5862-2022; Carrasco, Juan Antonio/B-1973-2008</t>
  </si>
  <si>
    <t>Carrasco, Juan Antonio/0000-0001-9662-7550</t>
  </si>
  <si>
    <t>2214-367X</t>
  </si>
  <si>
    <t>2214-3688</t>
  </si>
  <si>
    <t>10.1016/j.tbs.2024.100889</t>
  </si>
  <si>
    <t>WOS:001297754300001</t>
  </si>
  <si>
    <t>Leeds</t>
  </si>
  <si>
    <t>Research site</t>
  </si>
  <si>
    <t>Country</t>
  </si>
  <si>
    <t>Continent</t>
  </si>
  <si>
    <t>Los Angeles</t>
  </si>
  <si>
    <t>USA</t>
  </si>
  <si>
    <t>North America</t>
  </si>
  <si>
    <t>10.22004/ag.econ.164602</t>
  </si>
  <si>
    <t>Michigan</t>
  </si>
  <si>
    <t>Richmond</t>
  </si>
  <si>
    <t>Uncertain</t>
  </si>
  <si>
    <t>Portland, Oregon</t>
  </si>
  <si>
    <t>Belo Horizonte, Minas Gerais</t>
  </si>
  <si>
    <t>South America</t>
  </si>
  <si>
    <t>Wisconsin, Kansas, New Mexico, North Carolina</t>
  </si>
  <si>
    <t>Arkansas</t>
  </si>
  <si>
    <t>Pennsylvania</t>
  </si>
  <si>
    <t>New York State</t>
  </si>
  <si>
    <t>National</t>
  </si>
  <si>
    <t>Winnipeg</t>
  </si>
  <si>
    <t>California</t>
  </si>
  <si>
    <t>Slovakia</t>
  </si>
  <si>
    <t>Europe</t>
  </si>
  <si>
    <t>Detroit</t>
  </si>
  <si>
    <t>Alderson, West Virginia</t>
  </si>
  <si>
    <t>Brazilian Amazon</t>
  </si>
  <si>
    <t>International</t>
  </si>
  <si>
    <t>Texas</t>
  </si>
  <si>
    <t>Vermont</t>
  </si>
  <si>
    <t>Manatee County, Florida</t>
  </si>
  <si>
    <t>Leeds and Lincolnshire</t>
  </si>
  <si>
    <t>UK</t>
  </si>
  <si>
    <t>Philadelphia, Pennsylvania</t>
  </si>
  <si>
    <t>Baltimore City, Maryland</t>
  </si>
  <si>
    <t>Denver</t>
  </si>
  <si>
    <t>Edmonton, Alberta</t>
  </si>
  <si>
    <t>Providence</t>
  </si>
  <si>
    <t>Flanders</t>
  </si>
  <si>
    <t>Ohio</t>
  </si>
  <si>
    <t>Pittsburgh</t>
  </si>
  <si>
    <t>Rio de Janeiro</t>
  </si>
  <si>
    <t>Dundee</t>
  </si>
  <si>
    <t>North Carolina</t>
  </si>
  <si>
    <t>Cape Town (South Africa), Kisumu (Kenya), and Kitwe (Zambia)</t>
  </si>
  <si>
    <t>South Africa</t>
  </si>
  <si>
    <t>Africa</t>
  </si>
  <si>
    <t>Toronto</t>
  </si>
  <si>
    <t>Bratislava</t>
  </si>
  <si>
    <t>Duluth, Minnesota</t>
  </si>
  <si>
    <t>Rutland County, Vermont</t>
  </si>
  <si>
    <t>Mecklenburg-West Pomerania, Brandenburg, Rhineland-Palatinate, and northern Saxony-Anhalt</t>
  </si>
  <si>
    <t>Germany</t>
  </si>
  <si>
    <t>Indiana</t>
  </si>
  <si>
    <t>Chicago, Illinois</t>
  </si>
  <si>
    <t>Edmonton</t>
  </si>
  <si>
    <t>Nairobi and Mexico City</t>
  </si>
  <si>
    <t>Kenya, Mexico</t>
  </si>
  <si>
    <t>Africa, North America</t>
  </si>
  <si>
    <t>North Florida</t>
  </si>
  <si>
    <t>Spain</t>
  </si>
  <si>
    <t>Tehran</t>
  </si>
  <si>
    <t>Iran</t>
  </si>
  <si>
    <t>Asia</t>
  </si>
  <si>
    <t>Austin, Texas</t>
  </si>
  <si>
    <t>South Carolina</t>
  </si>
  <si>
    <t>Quebec</t>
  </si>
  <si>
    <t>Ontario</t>
  </si>
  <si>
    <t>Cape Town</t>
  </si>
  <si>
    <t>New York</t>
  </si>
  <si>
    <t>Maine</t>
  </si>
  <si>
    <t>OREGON</t>
  </si>
  <si>
    <t>Detroit, Michigan</t>
  </si>
  <si>
    <t>Recife</t>
  </si>
  <si>
    <t>Windhoek</t>
  </si>
  <si>
    <t>San Lorenzo</t>
  </si>
  <si>
    <t>Calgary</t>
  </si>
  <si>
    <t>Baltimore, Maryland</t>
  </si>
  <si>
    <t>Boston</t>
  </si>
  <si>
    <t>Mississippi</t>
  </si>
  <si>
    <t>Illinois</t>
  </si>
  <si>
    <t>San Francisco</t>
  </si>
  <si>
    <t>Medellín</t>
  </si>
  <si>
    <t>Colombia</t>
  </si>
  <si>
    <t>Michigan and Ontario</t>
  </si>
  <si>
    <t>USA, Canada</t>
  </si>
  <si>
    <t>Lawrence</t>
  </si>
  <si>
    <t>Seoul</t>
  </si>
  <si>
    <t>South Korea</t>
  </si>
  <si>
    <t>Chicago</t>
  </si>
  <si>
    <t>New York City</t>
  </si>
  <si>
    <t>San Diego, California</t>
  </si>
  <si>
    <t>Philadelphia, Pennsylvania, and Trenton, New Jersey</t>
  </si>
  <si>
    <t>Tennessee</t>
  </si>
  <si>
    <t>Nitra</t>
  </si>
  <si>
    <t>Phoenix, Arizona</t>
  </si>
  <si>
    <t>Minnesota</t>
  </si>
  <si>
    <t>Porto Alegre</t>
  </si>
  <si>
    <t>Bahia</t>
  </si>
  <si>
    <t>Florida</t>
  </si>
  <si>
    <t>Schleswig-Holstein</t>
  </si>
  <si>
    <t>Midwest United States, Mexico</t>
  </si>
  <si>
    <t>USA, Mexico</t>
  </si>
  <si>
    <t>Washington, D.C</t>
  </si>
  <si>
    <t>St. Louis</t>
  </si>
  <si>
    <t>Kolasib</t>
  </si>
  <si>
    <t>India</t>
  </si>
  <si>
    <t>Maputo, Matola</t>
  </si>
  <si>
    <t>Mozambique</t>
  </si>
  <si>
    <t>New Orleans</t>
  </si>
  <si>
    <t>Connecticut</t>
  </si>
  <si>
    <t>Las Palmeras, Córdoba</t>
  </si>
  <si>
    <t>Concepción</t>
  </si>
  <si>
    <t>Petrzalka</t>
  </si>
  <si>
    <t xml:space="preserve">BAHIA </t>
  </si>
  <si>
    <t>Cleveland, Ohio</t>
  </si>
  <si>
    <t>Newcastle</t>
  </si>
  <si>
    <t>Adelaide</t>
  </si>
  <si>
    <t>Austrailia</t>
  </si>
  <si>
    <t>Oceania</t>
  </si>
  <si>
    <t>Arizona</t>
  </si>
  <si>
    <t>Iowa</t>
  </si>
  <si>
    <t>Pittsburgh, Pennsylvania</t>
  </si>
  <si>
    <t>Philadelphia, New York, Detroit, and other urban areas</t>
  </si>
  <si>
    <t>New Jersey</t>
  </si>
  <si>
    <t>Bronx, New York</t>
  </si>
  <si>
    <t>Nashville</t>
  </si>
  <si>
    <t>King County, Washington</t>
  </si>
  <si>
    <t>Cincinnati</t>
  </si>
  <si>
    <t>Wales</t>
  </si>
  <si>
    <t>Santiago</t>
  </si>
  <si>
    <t>Englewood, Chicago, Illinois</t>
  </si>
  <si>
    <t>Erie County, New York</t>
  </si>
  <si>
    <t>Melbourne</t>
  </si>
  <si>
    <t>Mexico</t>
  </si>
  <si>
    <t>Rio Grande do Sul</t>
  </si>
  <si>
    <t xml:space="preserve"> Minnesota,Iowa</t>
  </si>
  <si>
    <t>Shenzhen</t>
  </si>
  <si>
    <t>China</t>
  </si>
  <si>
    <t>Virginia</t>
  </si>
  <si>
    <t>Dallas, Texas</t>
  </si>
  <si>
    <t>Atlanta, Georgia</t>
  </si>
  <si>
    <t>Sheffield</t>
  </si>
  <si>
    <t>New Hampshire</t>
  </si>
  <si>
    <t>Tucson</t>
  </si>
  <si>
    <t>West Virginia</t>
  </si>
  <si>
    <t>Austin</t>
  </si>
  <si>
    <t>Kentucky</t>
  </si>
  <si>
    <t>Milwaukee</t>
  </si>
  <si>
    <t xml:space="preserve">Uncertain </t>
  </si>
  <si>
    <t>Nebraska</t>
  </si>
  <si>
    <t>Liverpool</t>
  </si>
  <si>
    <t xml:space="preserve">Miami </t>
  </si>
  <si>
    <t xml:space="preserve">Baltimore </t>
  </si>
  <si>
    <t>Louisiana</t>
  </si>
  <si>
    <t>Metropolitan Area of the Valley</t>
  </si>
  <si>
    <t>Miami, Florida</t>
  </si>
  <si>
    <t>Belo Horizonte</t>
  </si>
  <si>
    <t xml:space="preserve">Paris </t>
  </si>
  <si>
    <t>France</t>
  </si>
  <si>
    <t>Davis, California</t>
  </si>
  <si>
    <t>Seattle</t>
  </si>
  <si>
    <t>Baltimore'</t>
  </si>
  <si>
    <t>Mexico City</t>
  </si>
  <si>
    <t>Hesse</t>
  </si>
  <si>
    <t>Philadelphia</t>
  </si>
  <si>
    <t>Amsterdam</t>
  </si>
  <si>
    <t>Netherlands</t>
  </si>
  <si>
    <t>Western Massachusetts</t>
  </si>
  <si>
    <t>Albany, New York</t>
  </si>
  <si>
    <t>Alabama</t>
  </si>
  <si>
    <t>Montral</t>
  </si>
  <si>
    <t>Baltimore</t>
  </si>
  <si>
    <t xml:space="preserve">Queensland </t>
  </si>
  <si>
    <t>Poland</t>
  </si>
  <si>
    <t>Buffalo, New York</t>
  </si>
  <si>
    <t>Cardiff, Leeds and Bradford</t>
  </si>
  <si>
    <t>Oakland, California, and Chicago, Illinois</t>
  </si>
  <si>
    <t>Sao Paulo</t>
  </si>
  <si>
    <t>Portsmouth</t>
  </si>
  <si>
    <t>Wisconsin</t>
  </si>
  <si>
    <t>Lyon-Saint-Etienne</t>
  </si>
  <si>
    <t>Kansas City</t>
  </si>
  <si>
    <t>Washington, DC, Chicago, Illinois, and Cincinnati, Ohio</t>
  </si>
  <si>
    <t>Tasmania</t>
  </si>
  <si>
    <t>Chester</t>
  </si>
  <si>
    <t>Auckland</t>
  </si>
  <si>
    <t>New Zealand</t>
  </si>
  <si>
    <t>USA, Europe</t>
  </si>
  <si>
    <t>Washington</t>
  </si>
  <si>
    <t>Columbus, Ohio</t>
  </si>
  <si>
    <t>London</t>
  </si>
  <si>
    <t>Chillán</t>
  </si>
  <si>
    <t>Saskatchewan</t>
  </si>
  <si>
    <t>Atlanta</t>
  </si>
  <si>
    <t>Buffalo, NY</t>
  </si>
  <si>
    <t>Florida, Connecticut, Pennsylvania</t>
  </si>
  <si>
    <t xml:space="preserve">Quebec </t>
  </si>
  <si>
    <t xml:space="preserve">Maryland </t>
  </si>
  <si>
    <t>Tyrol</t>
  </si>
  <si>
    <t>Italy</t>
  </si>
  <si>
    <t>Salt Lake City</t>
  </si>
  <si>
    <t>Phoenix</t>
  </si>
  <si>
    <t>New York City, Los Angeles</t>
  </si>
  <si>
    <t>USA, Canada, Mexico, Denmark</t>
  </si>
  <si>
    <t>North America, Europe</t>
  </si>
  <si>
    <t>Tampa</t>
  </si>
  <si>
    <t>Memphis</t>
  </si>
  <si>
    <t>Leon County, Florida</t>
  </si>
  <si>
    <t>America</t>
  </si>
  <si>
    <t>Lithuania</t>
  </si>
  <si>
    <t>Boston, MA; Oakland, CA; Chapel Hill, NC; San Francisco, CA; Philadelphia, PA</t>
  </si>
  <si>
    <t>Ohio, Arizona, Arkansas</t>
  </si>
  <si>
    <t>Southern California</t>
  </si>
  <si>
    <t>Region of Waterloo</t>
  </si>
  <si>
    <t>Lemesos</t>
  </si>
  <si>
    <t>Cyprus</t>
  </si>
  <si>
    <t>CHICAGO</t>
  </si>
  <si>
    <t>Indianapolis, Indiana</t>
  </si>
  <si>
    <t>Flint</t>
  </si>
  <si>
    <t>Tampa, Houston</t>
  </si>
  <si>
    <t>Ohio, Massachusetts</t>
  </si>
  <si>
    <t>Merced</t>
  </si>
  <si>
    <t>Gainesville</t>
  </si>
  <si>
    <t>Kansas</t>
  </si>
  <si>
    <t>Kansas City, Missouri</t>
  </si>
  <si>
    <t>Buffalo</t>
  </si>
  <si>
    <t>Oakland</t>
  </si>
  <si>
    <t>Gainesville and Tampa</t>
  </si>
  <si>
    <t>Massachusetts</t>
  </si>
  <si>
    <t>Colorado Springs</t>
  </si>
  <si>
    <t>Gulf Coast Region</t>
  </si>
  <si>
    <t>Meadville and Boston</t>
  </si>
  <si>
    <t>Appalachia</t>
  </si>
  <si>
    <t>Minas Gerais</t>
  </si>
  <si>
    <t>Greensboro</t>
  </si>
  <si>
    <t>Boston, Massachusetts</t>
  </si>
  <si>
    <t>Curitiba</t>
  </si>
  <si>
    <t>Los Angeles, California</t>
  </si>
  <si>
    <t>San Francisco, California</t>
  </si>
  <si>
    <t>San Diego</t>
  </si>
  <si>
    <t>Boston (Greater Boston Area), Massachusetts</t>
  </si>
  <si>
    <t>Atlanta, Georgia; Stony Brook, New York; Jackson, Mississippi</t>
  </si>
  <si>
    <t>Bronx</t>
  </si>
  <si>
    <t>Auki</t>
  </si>
  <si>
    <t>Solomon Islands</t>
  </si>
  <si>
    <t>Houston</t>
  </si>
  <si>
    <t xml:space="preserve">Detroit </t>
  </si>
  <si>
    <t>New York City, Chicago, and Los Angeles</t>
  </si>
  <si>
    <t>35 US states, the District of Columbia, and Puerto Rico</t>
  </si>
  <si>
    <t>Berkeley, California; Charlottesville, Virginia</t>
  </si>
  <si>
    <t>Columbus</t>
  </si>
  <si>
    <t xml:space="preserve">Mississippi </t>
  </si>
  <si>
    <t>São Paulo, Salvador, Cuiabá</t>
  </si>
  <si>
    <t>Georgia</t>
  </si>
  <si>
    <t>Columbia, SC; Ann Arbor, MI; Charleston, SC</t>
  </si>
  <si>
    <t>Navajo Nation</t>
  </si>
  <si>
    <t>Glasgow</t>
  </si>
  <si>
    <t>Washington D.C</t>
  </si>
  <si>
    <t>Boston, Cambridge</t>
  </si>
  <si>
    <t>Chicago, Houston, Los Angeles, New York City</t>
  </si>
  <si>
    <t>Gulf Coast region</t>
  </si>
  <si>
    <t>Chapel Hill, NC; Bethesda, MD; Champaign, IL; Buffalo, NY; Minneapolis, MN</t>
  </si>
  <si>
    <t>Montreal, Canada; University Park, Pennsylvania, USA</t>
  </si>
  <si>
    <t xml:space="preserve">Nairobi </t>
  </si>
  <si>
    <t>Kenya</t>
  </si>
  <si>
    <t>Atlanta, GA</t>
  </si>
  <si>
    <t>Rockford, Illinois</t>
  </si>
  <si>
    <t>Saskatoon</t>
  </si>
  <si>
    <t>Chicago (Englewood community)</t>
  </si>
  <si>
    <t>São Paulo</t>
  </si>
  <si>
    <t>Campinas</t>
  </si>
  <si>
    <t>Zagreb</t>
  </si>
  <si>
    <t>Croatia</t>
  </si>
  <si>
    <t>Travis County</t>
  </si>
  <si>
    <t>Cleveland, OH; Columbia, SC</t>
  </si>
  <si>
    <t>Beijing, Shanghai, Wuhan, Chengdu</t>
  </si>
  <si>
    <t>São Sebastião do Paraíso</t>
  </si>
  <si>
    <t>Uncertian</t>
  </si>
  <si>
    <t>Franklin County, Ohio</t>
  </si>
  <si>
    <t>Memphis, Tennessee</t>
  </si>
  <si>
    <t>Concepción, La Serena</t>
  </si>
  <si>
    <t>Kentucky, Maryland, and North Carolina</t>
  </si>
  <si>
    <t>Manchester</t>
  </si>
  <si>
    <t>Texas, Kansas</t>
  </si>
  <si>
    <t>Minneapolis</t>
  </si>
  <si>
    <t>Braunschweig</t>
  </si>
  <si>
    <t>New Mexico</t>
  </si>
  <si>
    <t>Pullman</t>
  </si>
  <si>
    <t>Portland</t>
  </si>
  <si>
    <t>Los Angeles, Baltimore, Duarte</t>
  </si>
  <si>
    <t>Boston, Washington, D.C.</t>
  </si>
  <si>
    <t>Miami</t>
  </si>
  <si>
    <t>Pittsburgh, New York</t>
  </si>
  <si>
    <t>New York (Troy), Seattle, Shanghai, Stockholm</t>
  </si>
  <si>
    <t>United States, China, Sweden</t>
  </si>
  <si>
    <t>North America, Asia, Europe</t>
  </si>
  <si>
    <t>Irvine</t>
  </si>
  <si>
    <t>Ann Arbor, Gothenburg</t>
  </si>
  <si>
    <t xml:space="preserve">USA, Sweden </t>
  </si>
  <si>
    <t>Pennsylvania, New York, Connecticut</t>
  </si>
  <si>
    <t>Indiana, Ohio</t>
  </si>
  <si>
    <t>Leuven, Kampala</t>
  </si>
  <si>
    <t>Belgium, Uganda</t>
  </si>
  <si>
    <t>Europe, Africa</t>
  </si>
  <si>
    <t>New Haven, Boston</t>
  </si>
  <si>
    <t>Umeå</t>
  </si>
  <si>
    <t>Missouri</t>
  </si>
  <si>
    <t xml:space="preserve">North Carolina </t>
  </si>
  <si>
    <t xml:space="preserve">Boston </t>
  </si>
  <si>
    <t>Saskatoon and Regina</t>
  </si>
  <si>
    <t>Canberra, Suzhou</t>
  </si>
  <si>
    <t>Austrailia, China</t>
  </si>
  <si>
    <t>Oceania, Asia</t>
  </si>
  <si>
    <t>Washington DC</t>
  </si>
  <si>
    <t xml:space="preserve">Ohio </t>
  </si>
  <si>
    <t>Indianapolis</t>
  </si>
  <si>
    <t>Vermont, Washington, California</t>
  </si>
  <si>
    <t>Victoria</t>
  </si>
  <si>
    <t>Czech</t>
  </si>
  <si>
    <t>Nis</t>
  </si>
  <si>
    <t>Serbia</t>
  </si>
  <si>
    <t xml:space="preserve">Minnesota </t>
  </si>
  <si>
    <t>Colorado</t>
  </si>
  <si>
    <t>Hong Kong</t>
  </si>
  <si>
    <t>Nepal</t>
  </si>
  <si>
    <t>Lincoln, Salt Lake City</t>
  </si>
  <si>
    <t>Newark</t>
  </si>
  <si>
    <t xml:space="preserve">Texas </t>
  </si>
  <si>
    <t>Los Angeles County</t>
  </si>
  <si>
    <t>Saltillo, Coahuila</t>
  </si>
  <si>
    <t>Turiec</t>
  </si>
  <si>
    <t>Baghdad</t>
  </si>
  <si>
    <t>Iraq</t>
  </si>
  <si>
    <t>Stockholm, Parma, Pisa, Le Mans</t>
  </si>
  <si>
    <t>Sweden, Italy, France</t>
  </si>
  <si>
    <t>Nairobi</t>
  </si>
  <si>
    <t>Lexington, Ambler, Collegeville</t>
  </si>
  <si>
    <t xml:space="preserve">Pennsylvania </t>
  </si>
  <si>
    <t>Sub-Saharan Africa</t>
  </si>
  <si>
    <t>Senegal, Mali</t>
  </si>
  <si>
    <t>Manhattan</t>
  </si>
  <si>
    <t>Plymouth</t>
  </si>
  <si>
    <t>Uganda</t>
  </si>
  <si>
    <t>Greenville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</si>
</sst>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theme="1"/>
      <name val="Arial"/>
      <scheme val="minor"/>
    </font>
    <font>
      <sz val="10"/>
      <color theme="1"/>
      <name val="Arial"/>
    </font>
    <font>
      <u/>
      <sz val="10"/>
      <color rgb="FF0000FF"/>
      <name val="Arial"/>
    </font>
    <font>
      <u/>
      <sz val="10"/>
      <color rgb="FF0000FF"/>
      <name val="Arial"/>
    </font>
    <font>
      <u/>
      <sz val="10"/>
      <color rgb="FF0000FF"/>
      <name val="Arial"/>
    </font>
    <font>
      <sz val="9"/>
      <color rgb="FF1F1F1F"/>
      <name val="&quot;Google Sans&quot;"/>
    </font>
    <font>
      <u/>
      <sz val="10"/>
      <color rgb="FF0000FF"/>
      <name val="Arial"/>
      <family val="2"/>
    </font>
    <font>
      <u/>
      <sz val="10"/>
      <color rgb="FF0000FF"/>
      <name val="Arial"/>
      <family val="2"/>
    </font>
    <font>
      <sz val="9"/>
      <color rgb="FF1B1B1B"/>
      <name val="Cambria"/>
      <family val="1"/>
    </font>
    <font>
      <sz val="10"/>
      <color theme="1"/>
      <name val="Arial"/>
      <family val="2"/>
    </font>
    <font>
      <sz val="12"/>
      <color rgb="FF474747"/>
      <name val="Arial"/>
      <family val="2"/>
    </font>
    <font>
      <sz val="8"/>
      <name val="Arial"/>
      <family val="3"/>
      <charset val="129"/>
      <scheme val="minor"/>
    </font>
  </fonts>
  <fills count="6">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3" borderId="0" xfId="0" applyFont="1" applyFill="1" applyAlignment="1"/>
    <xf numFmtId="0" fontId="3" fillId="3" borderId="0" xfId="0" applyFont="1" applyFill="1" applyAlignment="1"/>
    <xf numFmtId="0" fontId="2" fillId="2" borderId="0" xfId="0" applyFont="1" applyFill="1" applyAlignment="1"/>
    <xf numFmtId="0" fontId="2" fillId="4" borderId="0" xfId="0" applyFont="1" applyFill="1" applyAlignment="1"/>
    <xf numFmtId="0" fontId="2" fillId="2" borderId="0" xfId="0" applyFont="1" applyFill="1" applyAlignment="1"/>
    <xf numFmtId="0" fontId="4" fillId="2" borderId="0" xfId="0" applyFont="1" applyFill="1" applyAlignment="1"/>
    <xf numFmtId="0" fontId="2" fillId="4" borderId="0" xfId="0" applyFont="1" applyFill="1" applyAlignment="1"/>
    <xf numFmtId="0" fontId="5" fillId="4" borderId="0" xfId="0" applyFont="1" applyFill="1" applyAlignment="1"/>
    <xf numFmtId="0" fontId="2" fillId="3" borderId="0" xfId="0" applyFont="1" applyFill="1" applyAlignment="1"/>
    <xf numFmtId="0" fontId="6" fillId="4" borderId="0" xfId="0" applyFont="1" applyFill="1" applyAlignment="1"/>
    <xf numFmtId="0" fontId="1" fillId="3" borderId="0" xfId="0" applyFont="1" applyFill="1" applyAlignment="1"/>
    <xf numFmtId="0" fontId="7" fillId="0" borderId="0" xfId="0" applyFont="1" applyAlignment="1"/>
    <xf numFmtId="0" fontId="2" fillId="5" borderId="0" xfId="0" applyFont="1" applyFill="1" applyAlignment="1"/>
    <xf numFmtId="0" fontId="2" fillId="5" borderId="0" xfId="0" applyFont="1" applyFill="1" applyAlignment="1"/>
    <xf numFmtId="0" fontId="8" fillId="0" borderId="0" xfId="0" applyFont="1" applyAlignment="1"/>
    <xf numFmtId="0" fontId="9" fillId="4" borderId="0" xfId="0" applyFont="1" applyFill="1" applyAlignment="1"/>
    <xf numFmtId="0" fontId="10" fillId="0" borderId="0" xfId="0" applyFont="1" applyAlignment="1"/>
    <xf numFmtId="0" fontId="11" fillId="4" borderId="0" xfId="0" applyFont="1" applyFill="1" applyAlignment="1"/>
  </cellXfs>
  <cellStyles count="1">
    <cellStyle name="표준"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x.doi.org/10.22004/ag.econ.164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848"/>
  <sheetViews>
    <sheetView tabSelected="1" topLeftCell="A548" workbookViewId="0">
      <selection activeCell="BI561" sqref="BI561"/>
    </sheetView>
  </sheetViews>
  <sheetFormatPr defaultColWidth="12.5703125" defaultRowHeight="15" customHeight="1"/>
  <cols>
    <col min="1" max="2" width="8" customWidth="1"/>
    <col min="3" max="3" width="1" customWidth="1"/>
    <col min="4" max="4" width="0.85546875" customWidth="1"/>
    <col min="5" max="5" width="1.42578125" customWidth="1"/>
    <col min="6" max="6" width="1.7109375" customWidth="1"/>
    <col min="7" max="7" width="1" customWidth="1"/>
    <col min="8" max="8" width="8" customWidth="1"/>
    <col min="9" max="9" width="59" customWidth="1"/>
    <col min="10" max="10" width="8.42578125" hidden="1" customWidth="1"/>
    <col min="11" max="17" width="0.42578125" hidden="1" customWidth="1"/>
    <col min="18" max="19" width="8" hidden="1" customWidth="1"/>
    <col min="20" max="20" width="11.28515625" hidden="1" customWidth="1"/>
    <col min="21" max="21" width="0.7109375" hidden="1" customWidth="1"/>
    <col min="22" max="22" width="0.42578125" hidden="1" customWidth="1"/>
    <col min="23" max="23" width="0.5703125" hidden="1" customWidth="1"/>
    <col min="24" max="24" width="0.42578125" hidden="1" customWidth="1"/>
    <col min="25" max="25" width="1.140625" hidden="1" customWidth="1"/>
    <col min="26" max="35" width="0.42578125" hidden="1" customWidth="1"/>
    <col min="36" max="36" width="2.7109375" hidden="1" customWidth="1"/>
    <col min="37" max="37" width="3.140625" hidden="1" customWidth="1"/>
    <col min="38" max="38" width="0.42578125" hidden="1" customWidth="1"/>
    <col min="39" max="39" width="3.85546875" hidden="1" customWidth="1"/>
    <col min="40" max="40" width="4.42578125" hidden="1" customWidth="1"/>
    <col min="41" max="41" width="4.28515625" hidden="1" customWidth="1"/>
    <col min="42" max="43" width="0.42578125" hidden="1" customWidth="1"/>
    <col min="44" max="47" width="8" hidden="1" customWidth="1"/>
    <col min="48" max="51" width="0.42578125" hidden="1" customWidth="1"/>
    <col min="52" max="52" width="8" hidden="1" customWidth="1"/>
    <col min="53" max="53" width="12" hidden="1" customWidth="1"/>
    <col min="54" max="54" width="14.140625" hidden="1" customWidth="1"/>
    <col min="55" max="55" width="9.28515625" hidden="1" customWidth="1"/>
    <col min="56" max="57" width="9" hidden="1" customWidth="1"/>
    <col min="58" max="58" width="10" hidden="1" customWidth="1"/>
    <col min="59" max="59" width="12" hidden="1" customWidth="1"/>
    <col min="60" max="60" width="14.42578125" hidden="1" customWidth="1"/>
    <col min="61" max="61" width="14.42578125" customWidth="1"/>
    <col min="62" max="72" width="0.42578125" customWidth="1"/>
    <col min="73" max="75" width="16.42578125" customWidth="1"/>
  </cols>
  <sheetData>
    <row r="1" spans="1:75" ht="12.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c r="BL1" s="3"/>
      <c r="BM1" s="3"/>
      <c r="BN1" s="3"/>
      <c r="BO1" s="3"/>
      <c r="BP1" s="3"/>
      <c r="BQ1" s="3"/>
      <c r="BR1" s="3"/>
      <c r="BS1" s="3"/>
      <c r="BT1" s="3"/>
      <c r="BU1" s="2" t="s">
        <v>7184</v>
      </c>
      <c r="BV1" s="2" t="s">
        <v>7185</v>
      </c>
      <c r="BW1" s="2" t="s">
        <v>7186</v>
      </c>
    </row>
    <row r="2" spans="1:75" ht="12.75" customHeight="1">
      <c r="A2" s="4" t="s">
        <v>63</v>
      </c>
      <c r="B2" s="4" t="s">
        <v>2636</v>
      </c>
      <c r="C2" s="4"/>
      <c r="D2" s="4"/>
      <c r="E2" s="4"/>
      <c r="F2" s="4" t="s">
        <v>2637</v>
      </c>
      <c r="G2" s="4"/>
      <c r="H2" s="4"/>
      <c r="I2" s="4" t="s">
        <v>2638</v>
      </c>
      <c r="J2" s="4" t="s">
        <v>2639</v>
      </c>
      <c r="K2" s="4"/>
      <c r="L2" s="4"/>
      <c r="M2" s="4"/>
      <c r="N2" s="4"/>
      <c r="O2" s="4"/>
      <c r="P2" s="4"/>
      <c r="Q2" s="4"/>
      <c r="R2" s="4"/>
      <c r="S2" s="4"/>
      <c r="T2" s="4" t="s">
        <v>2640</v>
      </c>
      <c r="U2" s="4"/>
      <c r="V2" s="4"/>
      <c r="W2" s="4"/>
      <c r="X2" s="4"/>
      <c r="Y2" s="4"/>
      <c r="Z2" s="4"/>
      <c r="AA2" s="4"/>
      <c r="AB2" s="4"/>
      <c r="AC2" s="4"/>
      <c r="AD2" s="4"/>
      <c r="AE2" s="4"/>
      <c r="AF2" s="4"/>
      <c r="AG2" s="4"/>
      <c r="AH2" s="4"/>
      <c r="AI2" s="4"/>
      <c r="AJ2" s="4"/>
      <c r="AK2" s="4"/>
      <c r="AL2" s="4"/>
      <c r="AM2" s="4" t="s">
        <v>2641</v>
      </c>
      <c r="AN2" s="4" t="s">
        <v>2642</v>
      </c>
      <c r="AO2" s="4"/>
      <c r="AP2" s="4"/>
      <c r="AQ2" s="4"/>
      <c r="AR2" s="4" t="s">
        <v>92</v>
      </c>
      <c r="AS2" s="4">
        <v>2017</v>
      </c>
      <c r="AT2" s="4">
        <v>42</v>
      </c>
      <c r="AU2" s="4">
        <v>3</v>
      </c>
      <c r="AV2" s="4"/>
      <c r="AW2" s="4"/>
      <c r="AX2" s="4"/>
      <c r="AY2" s="4"/>
      <c r="AZ2" s="4">
        <v>310</v>
      </c>
      <c r="BA2" s="4">
        <v>328</v>
      </c>
      <c r="BB2" s="4"/>
      <c r="BC2" s="4"/>
      <c r="BD2" s="4"/>
      <c r="BE2" s="4"/>
      <c r="BF2" s="4"/>
      <c r="BG2" s="4"/>
      <c r="BH2" s="4"/>
      <c r="BI2" s="4"/>
      <c r="BJ2" s="4" t="s">
        <v>2643</v>
      </c>
      <c r="BK2" s="4"/>
      <c r="BL2" s="4"/>
      <c r="BM2" s="4"/>
      <c r="BN2" s="4"/>
      <c r="BO2" s="4"/>
      <c r="BP2" s="4"/>
      <c r="BQ2" s="4"/>
      <c r="BR2" s="4"/>
      <c r="BS2" s="4"/>
      <c r="BT2" s="4"/>
      <c r="BU2" s="12" t="s">
        <v>7187</v>
      </c>
      <c r="BV2" s="12" t="s">
        <v>7188</v>
      </c>
      <c r="BW2" s="12" t="s">
        <v>7189</v>
      </c>
    </row>
    <row r="3" spans="1:75" ht="12.75" customHeight="1">
      <c r="A3" s="6" t="s">
        <v>63</v>
      </c>
      <c r="B3" s="6" t="s">
        <v>1323</v>
      </c>
      <c r="C3" s="6"/>
      <c r="D3" s="6"/>
      <c r="E3" s="6"/>
      <c r="F3" s="6" t="s">
        <v>1324</v>
      </c>
      <c r="G3" s="6"/>
      <c r="H3" s="6"/>
      <c r="I3" s="6" t="s">
        <v>1325</v>
      </c>
      <c r="J3" s="6" t="s">
        <v>1326</v>
      </c>
      <c r="K3" s="6"/>
      <c r="L3" s="6"/>
      <c r="M3" s="6"/>
      <c r="N3" s="6"/>
      <c r="O3" s="6"/>
      <c r="P3" s="6"/>
      <c r="Q3" s="6"/>
      <c r="R3" s="6"/>
      <c r="S3" s="6"/>
      <c r="T3" s="6" t="s">
        <v>1327</v>
      </c>
      <c r="U3" s="6"/>
      <c r="V3" s="6"/>
      <c r="W3" s="6"/>
      <c r="X3" s="6"/>
      <c r="Y3" s="6"/>
      <c r="Z3" s="6" t="s">
        <v>1328</v>
      </c>
      <c r="AA3" s="6"/>
      <c r="AB3" s="6"/>
      <c r="AC3" s="6"/>
      <c r="AD3" s="6"/>
      <c r="AE3" s="6"/>
      <c r="AF3" s="6"/>
      <c r="AG3" s="6"/>
      <c r="AH3" s="6"/>
      <c r="AI3" s="6"/>
      <c r="AJ3" s="6"/>
      <c r="AK3" s="6"/>
      <c r="AL3" s="6"/>
      <c r="AM3" s="6" t="s">
        <v>1329</v>
      </c>
      <c r="AN3" s="6"/>
      <c r="AO3" s="6"/>
      <c r="AP3" s="6"/>
      <c r="AQ3" s="6"/>
      <c r="AR3" s="6"/>
      <c r="AS3" s="6">
        <v>2014</v>
      </c>
      <c r="AT3" s="6">
        <v>17</v>
      </c>
      <c r="AU3" s="6" t="s">
        <v>1330</v>
      </c>
      <c r="AV3" s="6"/>
      <c r="AW3" s="6"/>
      <c r="AX3" s="6" t="s">
        <v>569</v>
      </c>
      <c r="AY3" s="6"/>
      <c r="AZ3" s="6">
        <v>147</v>
      </c>
      <c r="BA3" s="6">
        <v>170</v>
      </c>
      <c r="BB3" s="6"/>
      <c r="BC3" s="6"/>
      <c r="BD3" s="18" t="s">
        <v>7190</v>
      </c>
      <c r="BE3" s="6"/>
      <c r="BF3" s="6"/>
      <c r="BG3" s="6"/>
      <c r="BH3" s="6"/>
      <c r="BI3" s="6"/>
      <c r="BJ3" s="6" t="s">
        <v>1331</v>
      </c>
      <c r="BK3" s="6"/>
      <c r="BL3" s="6"/>
      <c r="BM3" s="6"/>
      <c r="BN3" s="6"/>
      <c r="BO3" s="6"/>
      <c r="BP3" s="6"/>
      <c r="BQ3" s="6"/>
      <c r="BR3" s="6"/>
      <c r="BS3" s="6"/>
      <c r="BT3" s="6"/>
      <c r="BU3" s="8" t="s">
        <v>7191</v>
      </c>
      <c r="BV3" s="8" t="s">
        <v>7188</v>
      </c>
      <c r="BW3" s="8" t="s">
        <v>7189</v>
      </c>
    </row>
    <row r="4" spans="1:75" ht="12.75" customHeight="1">
      <c r="A4" s="6" t="s">
        <v>63</v>
      </c>
      <c r="B4" s="6" t="s">
        <v>2644</v>
      </c>
      <c r="C4" s="6"/>
      <c r="D4" s="6"/>
      <c r="E4" s="6"/>
      <c r="F4" s="6" t="s">
        <v>2645</v>
      </c>
      <c r="G4" s="6"/>
      <c r="H4" s="6"/>
      <c r="I4" s="6" t="s">
        <v>2646</v>
      </c>
      <c r="J4" s="6" t="s">
        <v>2647</v>
      </c>
      <c r="K4" s="6"/>
      <c r="L4" s="6"/>
      <c r="M4" s="6"/>
      <c r="N4" s="6"/>
      <c r="O4" s="6"/>
      <c r="P4" s="6"/>
      <c r="Q4" s="6"/>
      <c r="R4" s="6"/>
      <c r="S4" s="6"/>
      <c r="T4" s="6" t="s">
        <v>2648</v>
      </c>
      <c r="U4" s="6"/>
      <c r="V4" s="6"/>
      <c r="W4" s="6"/>
      <c r="X4" s="6"/>
      <c r="Y4" s="6" t="s">
        <v>2649</v>
      </c>
      <c r="Z4" s="6" t="s">
        <v>2650</v>
      </c>
      <c r="AA4" s="6"/>
      <c r="AB4" s="6"/>
      <c r="AC4" s="6"/>
      <c r="AD4" s="6"/>
      <c r="AE4" s="6"/>
      <c r="AF4" s="6"/>
      <c r="AG4" s="6"/>
      <c r="AH4" s="6"/>
      <c r="AI4" s="6"/>
      <c r="AJ4" s="6"/>
      <c r="AK4" s="6"/>
      <c r="AL4" s="6"/>
      <c r="AM4" s="6" t="s">
        <v>2651</v>
      </c>
      <c r="AN4" s="6" t="s">
        <v>2652</v>
      </c>
      <c r="AO4" s="6"/>
      <c r="AP4" s="6"/>
      <c r="AQ4" s="6"/>
      <c r="AR4" s="6"/>
      <c r="AS4" s="6">
        <v>2017</v>
      </c>
      <c r="AT4" s="6">
        <v>11</v>
      </c>
      <c r="AU4" s="6">
        <v>2</v>
      </c>
      <c r="AV4" s="6"/>
      <c r="AW4" s="6"/>
      <c r="AX4" s="6" t="s">
        <v>569</v>
      </c>
      <c r="AY4" s="6"/>
      <c r="AZ4" s="6">
        <v>211</v>
      </c>
      <c r="BA4" s="6">
        <v>220</v>
      </c>
      <c r="BB4" s="6"/>
      <c r="BC4" s="6" t="s">
        <v>2653</v>
      </c>
      <c r="BD4" s="9" t="str">
        <f>HYPERLINK("http://dx.doi.org/10.1108/IJPHM-03-2017-0012","http://dx.doi.org/10.1108/IJPHM-03-2017-0012")</f>
        <v>http://dx.doi.org/10.1108/IJPHM-03-2017-0012</v>
      </c>
      <c r="BE4" s="6"/>
      <c r="BF4" s="6"/>
      <c r="BG4" s="6"/>
      <c r="BH4" s="6"/>
      <c r="BI4" s="6"/>
      <c r="BJ4" s="6" t="s">
        <v>2654</v>
      </c>
      <c r="BK4" s="6"/>
      <c r="BL4" s="6"/>
      <c r="BM4" s="6"/>
      <c r="BN4" s="6"/>
      <c r="BO4" s="6"/>
      <c r="BP4" s="6"/>
      <c r="BQ4" s="6"/>
      <c r="BR4" s="6"/>
      <c r="BS4" s="6"/>
      <c r="BT4" s="6"/>
      <c r="BU4" s="8" t="s">
        <v>7192</v>
      </c>
      <c r="BV4" s="8" t="s">
        <v>7188</v>
      </c>
      <c r="BW4" s="8" t="s">
        <v>7189</v>
      </c>
    </row>
    <row r="5" spans="1:75" ht="12.75" customHeight="1">
      <c r="A5" s="6" t="s">
        <v>63</v>
      </c>
      <c r="B5" s="6" t="s">
        <v>2140</v>
      </c>
      <c r="C5" s="6"/>
      <c r="D5" s="6"/>
      <c r="E5" s="6"/>
      <c r="F5" s="6" t="s">
        <v>2141</v>
      </c>
      <c r="G5" s="6"/>
      <c r="H5" s="6"/>
      <c r="I5" s="6" t="s">
        <v>2142</v>
      </c>
      <c r="J5" s="6" t="s">
        <v>177</v>
      </c>
      <c r="K5" s="6"/>
      <c r="L5" s="6"/>
      <c r="M5" s="6"/>
      <c r="N5" s="6"/>
      <c r="O5" s="6"/>
      <c r="P5" s="6"/>
      <c r="Q5" s="6"/>
      <c r="R5" s="6"/>
      <c r="S5" s="6"/>
      <c r="T5" s="6" t="s">
        <v>2143</v>
      </c>
      <c r="U5" s="6"/>
      <c r="V5" s="6"/>
      <c r="W5" s="6"/>
      <c r="X5" s="6"/>
      <c r="Y5" s="6" t="s">
        <v>2144</v>
      </c>
      <c r="Z5" s="6" t="s">
        <v>2145</v>
      </c>
      <c r="AA5" s="6"/>
      <c r="AB5" s="6"/>
      <c r="AC5" s="6"/>
      <c r="AD5" s="6"/>
      <c r="AE5" s="6"/>
      <c r="AF5" s="6"/>
      <c r="AG5" s="6"/>
      <c r="AH5" s="6"/>
      <c r="AI5" s="6"/>
      <c r="AJ5" s="6"/>
      <c r="AK5" s="6"/>
      <c r="AL5" s="6"/>
      <c r="AM5" s="6" t="s">
        <v>179</v>
      </c>
      <c r="AN5" s="6" t="s">
        <v>1136</v>
      </c>
      <c r="AO5" s="6"/>
      <c r="AP5" s="6"/>
      <c r="AQ5" s="6"/>
      <c r="AR5" s="6" t="s">
        <v>133</v>
      </c>
      <c r="AS5" s="6">
        <v>2016</v>
      </c>
      <c r="AT5" s="6">
        <v>98</v>
      </c>
      <c r="AU5" s="6">
        <v>1</v>
      </c>
      <c r="AV5" s="6"/>
      <c r="AW5" s="6"/>
      <c r="AX5" s="6"/>
      <c r="AY5" s="6"/>
      <c r="AZ5" s="6">
        <v>19</v>
      </c>
      <c r="BA5" s="6">
        <v>40</v>
      </c>
      <c r="BB5" s="6"/>
      <c r="BC5" s="6" t="s">
        <v>2146</v>
      </c>
      <c r="BD5" s="9" t="str">
        <f>HYPERLINK("http://dx.doi.org/10.1093/ajae/aav044","http://dx.doi.org/10.1093/ajae/aav044")</f>
        <v>http://dx.doi.org/10.1093/ajae/aav044</v>
      </c>
      <c r="BE5" s="6"/>
      <c r="BF5" s="6"/>
      <c r="BG5" s="6"/>
      <c r="BH5" s="6"/>
      <c r="BI5" s="6"/>
      <c r="BJ5" s="6" t="s">
        <v>2147</v>
      </c>
      <c r="BK5" s="6"/>
      <c r="BL5" s="6"/>
      <c r="BM5" s="6"/>
      <c r="BN5" s="6"/>
      <c r="BO5" s="6"/>
      <c r="BP5" s="6"/>
      <c r="BQ5" s="6"/>
      <c r="BR5" s="6"/>
      <c r="BS5" s="6"/>
      <c r="BT5" s="6"/>
      <c r="BU5" s="8" t="s">
        <v>7193</v>
      </c>
      <c r="BV5" s="8" t="s">
        <v>7188</v>
      </c>
      <c r="BW5" s="8" t="s">
        <v>7189</v>
      </c>
    </row>
    <row r="6" spans="1:75" ht="12.75" customHeight="1">
      <c r="A6" s="6" t="s">
        <v>63</v>
      </c>
      <c r="B6" s="6" t="s">
        <v>4109</v>
      </c>
      <c r="C6" s="6"/>
      <c r="D6" s="6"/>
      <c r="E6" s="6"/>
      <c r="F6" s="6" t="s">
        <v>4110</v>
      </c>
      <c r="G6" s="6"/>
      <c r="H6" s="6"/>
      <c r="I6" s="6" t="s">
        <v>4111</v>
      </c>
      <c r="J6" s="6" t="s">
        <v>4112</v>
      </c>
      <c r="K6" s="6"/>
      <c r="L6" s="6"/>
      <c r="M6" s="6"/>
      <c r="N6" s="6"/>
      <c r="O6" s="6"/>
      <c r="P6" s="6"/>
      <c r="Q6" s="6"/>
      <c r="R6" s="6"/>
      <c r="S6" s="6"/>
      <c r="T6" s="6" t="s">
        <v>4113</v>
      </c>
      <c r="U6" s="6"/>
      <c r="V6" s="6"/>
      <c r="W6" s="6"/>
      <c r="X6" s="6"/>
      <c r="Y6" s="6"/>
      <c r="Z6" s="6"/>
      <c r="AA6" s="6"/>
      <c r="AB6" s="6"/>
      <c r="AC6" s="6"/>
      <c r="AD6" s="6"/>
      <c r="AE6" s="6"/>
      <c r="AF6" s="6"/>
      <c r="AG6" s="6"/>
      <c r="AH6" s="6"/>
      <c r="AI6" s="6"/>
      <c r="AJ6" s="6"/>
      <c r="AK6" s="6"/>
      <c r="AL6" s="6"/>
      <c r="AM6" s="6" t="s">
        <v>4114</v>
      </c>
      <c r="AN6" s="6" t="s">
        <v>4115</v>
      </c>
      <c r="AO6" s="6"/>
      <c r="AP6" s="6"/>
      <c r="AQ6" s="6"/>
      <c r="AR6" s="6" t="s">
        <v>65</v>
      </c>
      <c r="AS6" s="6">
        <v>2020</v>
      </c>
      <c r="AT6" s="6">
        <v>7</v>
      </c>
      <c r="AU6" s="6">
        <v>6</v>
      </c>
      <c r="AV6" s="6"/>
      <c r="AW6" s="6"/>
      <c r="AX6" s="6"/>
      <c r="AY6" s="6"/>
      <c r="AZ6" s="6">
        <v>563</v>
      </c>
      <c r="BA6" s="6">
        <v>581</v>
      </c>
      <c r="BB6" s="6"/>
      <c r="BC6" s="6" t="s">
        <v>4116</v>
      </c>
      <c r="BD6" s="9" t="str">
        <f>HYPERLINK("http://dx.doi.org/10.1177/2329496520928428","http://dx.doi.org/10.1177/2329496520928428")</f>
        <v>http://dx.doi.org/10.1177/2329496520928428</v>
      </c>
      <c r="BE6" s="6"/>
      <c r="BF6" s="6"/>
      <c r="BG6" s="6"/>
      <c r="BH6" s="6"/>
      <c r="BI6" s="6"/>
      <c r="BJ6" s="6" t="s">
        <v>4117</v>
      </c>
      <c r="BK6" s="6"/>
      <c r="BL6" s="6"/>
      <c r="BM6" s="6"/>
      <c r="BN6" s="6"/>
      <c r="BO6" s="6"/>
      <c r="BP6" s="6"/>
      <c r="BQ6" s="6"/>
      <c r="BR6" s="6"/>
      <c r="BS6" s="6"/>
      <c r="BT6" s="6"/>
      <c r="BU6" s="8" t="s">
        <v>7193</v>
      </c>
      <c r="BV6" s="8" t="s">
        <v>7188</v>
      </c>
      <c r="BW6" s="8" t="s">
        <v>7189</v>
      </c>
    </row>
    <row r="7" spans="1:75" ht="12.75" customHeight="1">
      <c r="A7" s="7" t="s">
        <v>63</v>
      </c>
      <c r="B7" s="7" t="s">
        <v>5972</v>
      </c>
      <c r="C7" s="7"/>
      <c r="D7" s="7"/>
      <c r="E7" s="7"/>
      <c r="F7" s="7" t="s">
        <v>5973</v>
      </c>
      <c r="G7" s="7"/>
      <c r="H7" s="7"/>
      <c r="I7" s="7" t="s">
        <v>5974</v>
      </c>
      <c r="J7" s="7" t="s">
        <v>2917</v>
      </c>
      <c r="K7" s="7"/>
      <c r="L7" s="7"/>
      <c r="M7" s="7"/>
      <c r="N7" s="7"/>
      <c r="O7" s="7"/>
      <c r="P7" s="7"/>
      <c r="Q7" s="7"/>
      <c r="R7" s="7"/>
      <c r="S7" s="7"/>
      <c r="T7" s="7" t="s">
        <v>5975</v>
      </c>
      <c r="U7" s="7"/>
      <c r="V7" s="7"/>
      <c r="W7" s="7"/>
      <c r="X7" s="7"/>
      <c r="Y7" s="7"/>
      <c r="Z7" s="7"/>
      <c r="AA7" s="7"/>
      <c r="AB7" s="7"/>
      <c r="AC7" s="7"/>
      <c r="AD7" s="7"/>
      <c r="AE7" s="7"/>
      <c r="AF7" s="7"/>
      <c r="AG7" s="7"/>
      <c r="AH7" s="7"/>
      <c r="AI7" s="7"/>
      <c r="AJ7" s="7"/>
      <c r="AK7" s="7"/>
      <c r="AL7" s="7"/>
      <c r="AM7" s="7" t="s">
        <v>2919</v>
      </c>
      <c r="AN7" s="7" t="s">
        <v>2920</v>
      </c>
      <c r="AO7" s="7"/>
      <c r="AP7" s="7"/>
      <c r="AQ7" s="7"/>
      <c r="AR7" s="7" t="s">
        <v>445</v>
      </c>
      <c r="AS7" s="7">
        <v>2023</v>
      </c>
      <c r="AT7" s="7">
        <v>83</v>
      </c>
      <c r="AU7" s="7">
        <v>4</v>
      </c>
      <c r="AV7" s="7"/>
      <c r="AW7" s="7"/>
      <c r="AX7" s="7"/>
      <c r="AY7" s="7"/>
      <c r="AZ7" s="7">
        <v>389</v>
      </c>
      <c r="BA7" s="7">
        <v>396</v>
      </c>
      <c r="BB7" s="7"/>
      <c r="BC7" s="7" t="s">
        <v>5976</v>
      </c>
      <c r="BD7" s="11" t="str">
        <f>HYPERLINK("http://dx.doi.org/10.1111/jphd.12593","http://dx.doi.org/10.1111/jphd.12593")</f>
        <v>http://dx.doi.org/10.1111/jphd.12593</v>
      </c>
      <c r="BE7" s="7"/>
      <c r="BF7" s="7"/>
      <c r="BG7" s="7"/>
      <c r="BH7" s="7"/>
      <c r="BI7" s="7">
        <v>38073040</v>
      </c>
      <c r="BJ7" s="7" t="s">
        <v>5977</v>
      </c>
      <c r="BK7" s="7"/>
      <c r="BL7" s="7"/>
      <c r="BM7" s="7"/>
      <c r="BN7" s="7"/>
      <c r="BO7" s="7"/>
      <c r="BP7" s="7"/>
      <c r="BQ7" s="7"/>
      <c r="BR7" s="7"/>
      <c r="BS7" s="7"/>
      <c r="BT7" s="7"/>
      <c r="BU7" s="10" t="s">
        <v>7193</v>
      </c>
      <c r="BV7" s="10" t="s">
        <v>7188</v>
      </c>
      <c r="BW7" s="10" t="s">
        <v>7189</v>
      </c>
    </row>
    <row r="8" spans="1:75" ht="12.75" customHeight="1">
      <c r="A8" s="6" t="s">
        <v>63</v>
      </c>
      <c r="B8" s="6" t="s">
        <v>741</v>
      </c>
      <c r="C8" s="6"/>
      <c r="D8" s="6"/>
      <c r="E8" s="6"/>
      <c r="F8" s="6" t="s">
        <v>742</v>
      </c>
      <c r="G8" s="6"/>
      <c r="H8" s="6"/>
      <c r="I8" s="6" t="s">
        <v>743</v>
      </c>
      <c r="J8" s="6" t="s">
        <v>250</v>
      </c>
      <c r="K8" s="6"/>
      <c r="L8" s="6"/>
      <c r="M8" s="6"/>
      <c r="N8" s="6"/>
      <c r="O8" s="6"/>
      <c r="P8" s="6"/>
      <c r="Q8" s="6"/>
      <c r="R8" s="6"/>
      <c r="S8" s="6"/>
      <c r="T8" s="6" t="s">
        <v>744</v>
      </c>
      <c r="U8" s="6"/>
      <c r="V8" s="6"/>
      <c r="W8" s="6"/>
      <c r="X8" s="6"/>
      <c r="Y8" s="6"/>
      <c r="Z8" s="6"/>
      <c r="AA8" s="6"/>
      <c r="AB8" s="6"/>
      <c r="AC8" s="6"/>
      <c r="AD8" s="6"/>
      <c r="AE8" s="6"/>
      <c r="AF8" s="6"/>
      <c r="AG8" s="6"/>
      <c r="AH8" s="6"/>
      <c r="AI8" s="6"/>
      <c r="AJ8" s="6"/>
      <c r="AK8" s="6"/>
      <c r="AL8" s="6"/>
      <c r="AM8" s="6" t="s">
        <v>253</v>
      </c>
      <c r="AN8" s="6"/>
      <c r="AO8" s="6"/>
      <c r="AP8" s="6"/>
      <c r="AQ8" s="6"/>
      <c r="AR8" s="6" t="s">
        <v>66</v>
      </c>
      <c r="AS8" s="6">
        <v>2012</v>
      </c>
      <c r="AT8" s="6">
        <v>32</v>
      </c>
      <c r="AU8" s="6">
        <v>2</v>
      </c>
      <c r="AV8" s="6"/>
      <c r="AW8" s="6"/>
      <c r="AX8" s="6"/>
      <c r="AY8" s="6"/>
      <c r="AZ8" s="6">
        <v>204</v>
      </c>
      <c r="BA8" s="6">
        <v>218</v>
      </c>
      <c r="BB8" s="6"/>
      <c r="BC8" s="6" t="s">
        <v>745</v>
      </c>
      <c r="BD8" s="9" t="str">
        <f>HYPERLINK("http://dx.doi.org/10.1177/0739456X11427145","http://dx.doi.org/10.1177/0739456X11427145")</f>
        <v>http://dx.doi.org/10.1177/0739456X11427145</v>
      </c>
      <c r="BE8" s="6"/>
      <c r="BF8" s="6"/>
      <c r="BG8" s="6"/>
      <c r="BH8" s="6"/>
      <c r="BI8" s="6"/>
      <c r="BJ8" s="6" t="s">
        <v>746</v>
      </c>
      <c r="BK8" s="6"/>
      <c r="BL8" s="6"/>
      <c r="BM8" s="6"/>
      <c r="BN8" s="6"/>
      <c r="BO8" s="6"/>
      <c r="BP8" s="6"/>
      <c r="BQ8" s="6"/>
      <c r="BR8" s="6"/>
      <c r="BS8" s="6"/>
      <c r="BT8" s="6"/>
      <c r="BU8" s="8" t="s">
        <v>7194</v>
      </c>
      <c r="BV8" s="8" t="s">
        <v>7188</v>
      </c>
      <c r="BW8" s="8" t="s">
        <v>7189</v>
      </c>
    </row>
    <row r="9" spans="1:75" ht="12.75" customHeight="1">
      <c r="A9" s="6" t="s">
        <v>63</v>
      </c>
      <c r="B9" s="6" t="s">
        <v>4118</v>
      </c>
      <c r="C9" s="6"/>
      <c r="D9" s="6"/>
      <c r="E9" s="6"/>
      <c r="F9" s="6" t="s">
        <v>4119</v>
      </c>
      <c r="G9" s="6"/>
      <c r="H9" s="6"/>
      <c r="I9" s="6" t="s">
        <v>4120</v>
      </c>
      <c r="J9" s="6" t="s">
        <v>87</v>
      </c>
      <c r="K9" s="6"/>
      <c r="L9" s="6"/>
      <c r="M9" s="6"/>
      <c r="N9" s="6"/>
      <c r="O9" s="6"/>
      <c r="P9" s="6"/>
      <c r="Q9" s="6"/>
      <c r="R9" s="6"/>
      <c r="S9" s="6"/>
      <c r="T9" s="6" t="s">
        <v>4121</v>
      </c>
      <c r="U9" s="6"/>
      <c r="V9" s="6"/>
      <c r="W9" s="6"/>
      <c r="X9" s="6"/>
      <c r="Y9" s="6" t="s">
        <v>4122</v>
      </c>
      <c r="Z9" s="6" t="s">
        <v>4123</v>
      </c>
      <c r="AA9" s="6"/>
      <c r="AB9" s="6"/>
      <c r="AC9" s="6"/>
      <c r="AD9" s="6"/>
      <c r="AE9" s="6"/>
      <c r="AF9" s="6"/>
      <c r="AG9" s="6"/>
      <c r="AH9" s="6"/>
      <c r="AI9" s="6"/>
      <c r="AJ9" s="6"/>
      <c r="AK9" s="6"/>
      <c r="AL9" s="6"/>
      <c r="AM9" s="6" t="s">
        <v>91</v>
      </c>
      <c r="AN9" s="6" t="s">
        <v>113</v>
      </c>
      <c r="AO9" s="6"/>
      <c r="AP9" s="6"/>
      <c r="AQ9" s="6"/>
      <c r="AR9" s="6" t="s">
        <v>66</v>
      </c>
      <c r="AS9" s="6">
        <v>2020</v>
      </c>
      <c r="AT9" s="6">
        <v>57</v>
      </c>
      <c r="AU9" s="6">
        <v>8</v>
      </c>
      <c r="AV9" s="6"/>
      <c r="AW9" s="6"/>
      <c r="AX9" s="6"/>
      <c r="AY9" s="6"/>
      <c r="AZ9" s="6">
        <v>1660</v>
      </c>
      <c r="BA9" s="6">
        <v>1675</v>
      </c>
      <c r="BB9" s="6"/>
      <c r="BC9" s="6" t="s">
        <v>4124</v>
      </c>
      <c r="BD9" s="9" t="str">
        <f>HYPERLINK("http://dx.doi.org/10.1177/0042098019841540","http://dx.doi.org/10.1177/0042098019841540")</f>
        <v>http://dx.doi.org/10.1177/0042098019841540</v>
      </c>
      <c r="BE9" s="6"/>
      <c r="BF9" s="6"/>
      <c r="BG9" s="6"/>
      <c r="BH9" s="6"/>
      <c r="BI9" s="6"/>
      <c r="BJ9" s="6" t="s">
        <v>4125</v>
      </c>
      <c r="BK9" s="6"/>
      <c r="BL9" s="6"/>
      <c r="BM9" s="6"/>
      <c r="BN9" s="6"/>
      <c r="BO9" s="6"/>
      <c r="BP9" s="6"/>
      <c r="BQ9" s="6"/>
      <c r="BR9" s="6"/>
      <c r="BS9" s="6"/>
      <c r="BT9" s="6"/>
      <c r="BU9" s="8" t="s">
        <v>7193</v>
      </c>
      <c r="BV9" s="8" t="s">
        <v>7188</v>
      </c>
      <c r="BW9" s="8" t="s">
        <v>7189</v>
      </c>
    </row>
    <row r="10" spans="1:75" ht="12.75" customHeight="1">
      <c r="A10" s="6" t="s">
        <v>63</v>
      </c>
      <c r="B10" s="6" t="s">
        <v>4708</v>
      </c>
      <c r="C10" s="6"/>
      <c r="D10" s="6"/>
      <c r="E10" s="6"/>
      <c r="F10" s="6" t="s">
        <v>4709</v>
      </c>
      <c r="G10" s="6"/>
      <c r="H10" s="6"/>
      <c r="I10" s="6" t="s">
        <v>4710</v>
      </c>
      <c r="J10" s="6" t="s">
        <v>4711</v>
      </c>
      <c r="K10" s="6"/>
      <c r="L10" s="6"/>
      <c r="M10" s="6"/>
      <c r="N10" s="6"/>
      <c r="O10" s="6"/>
      <c r="P10" s="6"/>
      <c r="Q10" s="6"/>
      <c r="R10" s="6"/>
      <c r="S10" s="6"/>
      <c r="T10" s="6" t="s">
        <v>4712</v>
      </c>
      <c r="U10" s="6"/>
      <c r="V10" s="6"/>
      <c r="W10" s="6"/>
      <c r="X10" s="6"/>
      <c r="Y10" s="6" t="s">
        <v>4713</v>
      </c>
      <c r="Z10" s="6" t="s">
        <v>4714</v>
      </c>
      <c r="AA10" s="6"/>
      <c r="AB10" s="6"/>
      <c r="AC10" s="6"/>
      <c r="AD10" s="6"/>
      <c r="AE10" s="6"/>
      <c r="AF10" s="6"/>
      <c r="AG10" s="6"/>
      <c r="AH10" s="6"/>
      <c r="AI10" s="6"/>
      <c r="AJ10" s="6"/>
      <c r="AK10" s="6"/>
      <c r="AL10" s="6"/>
      <c r="AM10" s="6"/>
      <c r="AN10" s="6" t="s">
        <v>4715</v>
      </c>
      <c r="AO10" s="6"/>
      <c r="AP10" s="6"/>
      <c r="AQ10" s="6"/>
      <c r="AR10" s="6" t="s">
        <v>4716</v>
      </c>
      <c r="AS10" s="6">
        <v>2021</v>
      </c>
      <c r="AT10" s="6">
        <v>20</v>
      </c>
      <c r="AU10" s="6">
        <v>1</v>
      </c>
      <c r="AV10" s="6"/>
      <c r="AW10" s="6"/>
      <c r="AX10" s="6"/>
      <c r="AY10" s="6"/>
      <c r="AZ10" s="6"/>
      <c r="BA10" s="6"/>
      <c r="BB10" s="6">
        <v>168</v>
      </c>
      <c r="BC10" s="6" t="s">
        <v>4717</v>
      </c>
      <c r="BD10" s="9" t="str">
        <f>HYPERLINK("http://dx.doi.org/10.1186/s12939-021-01501-7","http://dx.doi.org/10.1186/s12939-021-01501-7")</f>
        <v>http://dx.doi.org/10.1186/s12939-021-01501-7</v>
      </c>
      <c r="BE10" s="6"/>
      <c r="BF10" s="6"/>
      <c r="BG10" s="6"/>
      <c r="BH10" s="6"/>
      <c r="BI10" s="6">
        <v>34289857</v>
      </c>
      <c r="BJ10" s="6" t="s">
        <v>4718</v>
      </c>
      <c r="BK10" s="6"/>
      <c r="BL10" s="6"/>
      <c r="BM10" s="6"/>
      <c r="BN10" s="6"/>
      <c r="BO10" s="6"/>
      <c r="BP10" s="6"/>
      <c r="BQ10" s="6"/>
      <c r="BR10" s="6"/>
      <c r="BS10" s="6"/>
      <c r="BT10" s="6"/>
      <c r="BU10" s="8" t="s">
        <v>7195</v>
      </c>
      <c r="BV10" s="8" t="s">
        <v>3516</v>
      </c>
      <c r="BW10" s="8" t="s">
        <v>7196</v>
      </c>
    </row>
    <row r="11" spans="1:75" ht="12.75" customHeight="1">
      <c r="A11" s="6" t="s">
        <v>63</v>
      </c>
      <c r="B11" s="6" t="s">
        <v>3256</v>
      </c>
      <c r="C11" s="6"/>
      <c r="D11" s="6"/>
      <c r="E11" s="6"/>
      <c r="F11" s="6" t="s">
        <v>3257</v>
      </c>
      <c r="G11" s="6"/>
      <c r="H11" s="6"/>
      <c r="I11" s="6" t="s">
        <v>3258</v>
      </c>
      <c r="J11" s="6" t="s">
        <v>3259</v>
      </c>
      <c r="K11" s="6"/>
      <c r="L11" s="6"/>
      <c r="M11" s="6"/>
      <c r="N11" s="6"/>
      <c r="O11" s="6"/>
      <c r="P11" s="6"/>
      <c r="Q11" s="6"/>
      <c r="R11" s="6"/>
      <c r="S11" s="6"/>
      <c r="T11" s="6" t="s">
        <v>3260</v>
      </c>
      <c r="U11" s="6"/>
      <c r="V11" s="6"/>
      <c r="W11" s="6"/>
      <c r="X11" s="6"/>
      <c r="Y11" s="6"/>
      <c r="Z11" s="6" t="s">
        <v>1052</v>
      </c>
      <c r="AA11" s="6"/>
      <c r="AB11" s="6"/>
      <c r="AC11" s="6"/>
      <c r="AD11" s="6"/>
      <c r="AE11" s="6"/>
      <c r="AF11" s="6"/>
      <c r="AG11" s="6"/>
      <c r="AH11" s="6"/>
      <c r="AI11" s="6"/>
      <c r="AJ11" s="6"/>
      <c r="AK11" s="6"/>
      <c r="AL11" s="6"/>
      <c r="AM11" s="6" t="s">
        <v>3261</v>
      </c>
      <c r="AN11" s="6" t="s">
        <v>3262</v>
      </c>
      <c r="AO11" s="6"/>
      <c r="AP11" s="6"/>
      <c r="AQ11" s="6"/>
      <c r="AR11" s="6" t="s">
        <v>445</v>
      </c>
      <c r="AS11" s="6">
        <v>2018</v>
      </c>
      <c r="AT11" s="6">
        <v>49</v>
      </c>
      <c r="AU11" s="6">
        <v>5</v>
      </c>
      <c r="AV11" s="6"/>
      <c r="AW11" s="6"/>
      <c r="AX11" s="6"/>
      <c r="AY11" s="6"/>
      <c r="AZ11" s="6">
        <v>587</v>
      </c>
      <c r="BA11" s="6">
        <v>597</v>
      </c>
      <c r="BB11" s="6"/>
      <c r="BC11" s="6" t="s">
        <v>3263</v>
      </c>
      <c r="BD11" s="9" t="str">
        <f>HYPERLINK("http://dx.doi.org/10.1111/agec.12444","http://dx.doi.org/10.1111/agec.12444")</f>
        <v>http://dx.doi.org/10.1111/agec.12444</v>
      </c>
      <c r="BE11" s="6"/>
      <c r="BF11" s="6"/>
      <c r="BG11" s="6"/>
      <c r="BH11" s="6"/>
      <c r="BI11" s="6"/>
      <c r="BJ11" s="6" t="s">
        <v>3264</v>
      </c>
      <c r="BK11" s="6"/>
      <c r="BL11" s="6"/>
      <c r="BM11" s="6"/>
      <c r="BN11" s="6"/>
      <c r="BO11" s="6"/>
      <c r="BP11" s="6"/>
      <c r="BQ11" s="6"/>
      <c r="BR11" s="6"/>
      <c r="BS11" s="6"/>
      <c r="BT11" s="6"/>
      <c r="BU11" s="8" t="s">
        <v>7193</v>
      </c>
      <c r="BV11" s="8" t="s">
        <v>7188</v>
      </c>
      <c r="BW11" s="8" t="s">
        <v>7189</v>
      </c>
    </row>
    <row r="12" spans="1:75" ht="12.75" customHeight="1">
      <c r="A12" s="6" t="s">
        <v>63</v>
      </c>
      <c r="B12" s="6" t="s">
        <v>5978</v>
      </c>
      <c r="C12" s="6"/>
      <c r="D12" s="6"/>
      <c r="E12" s="6"/>
      <c r="F12" s="6" t="s">
        <v>5979</v>
      </c>
      <c r="G12" s="6"/>
      <c r="H12" s="6"/>
      <c r="I12" s="6" t="s">
        <v>5980</v>
      </c>
      <c r="J12" s="6" t="s">
        <v>5981</v>
      </c>
      <c r="K12" s="6"/>
      <c r="L12" s="6"/>
      <c r="M12" s="6"/>
      <c r="N12" s="6"/>
      <c r="O12" s="6"/>
      <c r="P12" s="6"/>
      <c r="Q12" s="6"/>
      <c r="R12" s="6"/>
      <c r="S12" s="6"/>
      <c r="T12" s="6" t="s">
        <v>5982</v>
      </c>
      <c r="U12" s="6"/>
      <c r="V12" s="6"/>
      <c r="W12" s="6"/>
      <c r="X12" s="6"/>
      <c r="Y12" s="6"/>
      <c r="Z12" s="6" t="s">
        <v>5983</v>
      </c>
      <c r="AA12" s="6"/>
      <c r="AB12" s="6"/>
      <c r="AC12" s="6"/>
      <c r="AD12" s="6"/>
      <c r="AE12" s="6"/>
      <c r="AF12" s="6"/>
      <c r="AG12" s="6"/>
      <c r="AH12" s="6"/>
      <c r="AI12" s="6"/>
      <c r="AJ12" s="6"/>
      <c r="AK12" s="6"/>
      <c r="AL12" s="6"/>
      <c r="AM12" s="6" t="s">
        <v>5984</v>
      </c>
      <c r="AN12" s="6"/>
      <c r="AO12" s="6"/>
      <c r="AP12" s="6"/>
      <c r="AQ12" s="6"/>
      <c r="AR12" s="6" t="s">
        <v>173</v>
      </c>
      <c r="AS12" s="6">
        <v>2023</v>
      </c>
      <c r="AT12" s="6">
        <v>31</v>
      </c>
      <c r="AU12" s="6"/>
      <c r="AV12" s="6"/>
      <c r="AW12" s="6"/>
      <c r="AX12" s="6"/>
      <c r="AY12" s="6"/>
      <c r="AZ12" s="6"/>
      <c r="BA12" s="6"/>
      <c r="BB12" s="6">
        <v>101627</v>
      </c>
      <c r="BC12" s="6" t="s">
        <v>5985</v>
      </c>
      <c r="BD12" s="9" t="str">
        <f>HYPERLINK("http://dx.doi.org/10.1016/j.jth.2023.101627","http://dx.doi.org/10.1016/j.jth.2023.101627")</f>
        <v>http://dx.doi.org/10.1016/j.jth.2023.101627</v>
      </c>
      <c r="BE12" s="6"/>
      <c r="BF12" s="6" t="s">
        <v>5986</v>
      </c>
      <c r="BG12" s="6"/>
      <c r="BH12" s="6"/>
      <c r="BI12" s="6">
        <v>38783915</v>
      </c>
      <c r="BJ12" s="6" t="s">
        <v>5987</v>
      </c>
      <c r="BK12" s="6"/>
      <c r="BL12" s="6"/>
      <c r="BM12" s="6"/>
      <c r="BN12" s="6"/>
      <c r="BO12" s="6"/>
      <c r="BP12" s="6"/>
      <c r="BQ12" s="6"/>
      <c r="BR12" s="6"/>
      <c r="BS12" s="6"/>
      <c r="BT12" s="6"/>
      <c r="BU12" s="8" t="s">
        <v>7197</v>
      </c>
      <c r="BV12" s="8" t="s">
        <v>7188</v>
      </c>
      <c r="BW12" s="8" t="s">
        <v>7189</v>
      </c>
    </row>
    <row r="13" spans="1:75" ht="12.75" customHeight="1">
      <c r="A13" s="7" t="s">
        <v>63</v>
      </c>
      <c r="B13" s="7" t="s">
        <v>2148</v>
      </c>
      <c r="C13" s="7"/>
      <c r="D13" s="7"/>
      <c r="E13" s="7"/>
      <c r="F13" s="7" t="s">
        <v>2149</v>
      </c>
      <c r="G13" s="7"/>
      <c r="H13" s="7"/>
      <c r="I13" s="7" t="s">
        <v>2150</v>
      </c>
      <c r="J13" s="7" t="s">
        <v>177</v>
      </c>
      <c r="K13" s="7"/>
      <c r="L13" s="7"/>
      <c r="M13" s="7"/>
      <c r="N13" s="7"/>
      <c r="O13" s="7"/>
      <c r="P13" s="7"/>
      <c r="Q13" s="7"/>
      <c r="R13" s="7"/>
      <c r="S13" s="7"/>
      <c r="T13" s="7" t="s">
        <v>2151</v>
      </c>
      <c r="U13" s="7"/>
      <c r="V13" s="7"/>
      <c r="W13" s="7"/>
      <c r="X13" s="7"/>
      <c r="Y13" s="7"/>
      <c r="Z13" s="7" t="s">
        <v>2152</v>
      </c>
      <c r="AA13" s="7"/>
      <c r="AB13" s="7"/>
      <c r="AC13" s="7"/>
      <c r="AD13" s="7"/>
      <c r="AE13" s="7"/>
      <c r="AF13" s="7"/>
      <c r="AG13" s="7"/>
      <c r="AH13" s="7"/>
      <c r="AI13" s="7"/>
      <c r="AJ13" s="7"/>
      <c r="AK13" s="7"/>
      <c r="AL13" s="7"/>
      <c r="AM13" s="7" t="s">
        <v>179</v>
      </c>
      <c r="AN13" s="7" t="s">
        <v>1136</v>
      </c>
      <c r="AO13" s="7"/>
      <c r="AP13" s="7"/>
      <c r="AQ13" s="7"/>
      <c r="AR13" s="7" t="s">
        <v>133</v>
      </c>
      <c r="AS13" s="7">
        <v>2016</v>
      </c>
      <c r="AT13" s="7">
        <v>98</v>
      </c>
      <c r="AU13" s="7">
        <v>1</v>
      </c>
      <c r="AV13" s="7"/>
      <c r="AW13" s="7"/>
      <c r="AX13" s="7"/>
      <c r="AY13" s="7"/>
      <c r="AZ13" s="7">
        <v>1</v>
      </c>
      <c r="BA13" s="7">
        <v>18</v>
      </c>
      <c r="BB13" s="7"/>
      <c r="BC13" s="7" t="s">
        <v>2153</v>
      </c>
      <c r="BD13" s="11" t="str">
        <f>HYPERLINK("http://dx.doi.org/10.1093/ajae/aav039","http://dx.doi.org/10.1093/ajae/aav039")</f>
        <v>http://dx.doi.org/10.1093/ajae/aav039</v>
      </c>
      <c r="BE13" s="7"/>
      <c r="BF13" s="7"/>
      <c r="BG13" s="7"/>
      <c r="BH13" s="7"/>
      <c r="BI13" s="7"/>
      <c r="BJ13" s="7" t="s">
        <v>2154</v>
      </c>
      <c r="BK13" s="7"/>
      <c r="BL13" s="7"/>
      <c r="BM13" s="7"/>
      <c r="BN13" s="7"/>
      <c r="BO13" s="7"/>
      <c r="BP13" s="7"/>
      <c r="BQ13" s="7"/>
      <c r="BR13" s="7"/>
      <c r="BS13" s="7"/>
      <c r="BT13" s="7"/>
      <c r="BU13" s="1" t="s">
        <v>7198</v>
      </c>
      <c r="BV13" s="10" t="s">
        <v>7188</v>
      </c>
      <c r="BW13" s="10" t="s">
        <v>7189</v>
      </c>
    </row>
    <row r="14" spans="1:75" ht="12.75" customHeight="1">
      <c r="A14" s="6" t="s">
        <v>63</v>
      </c>
      <c r="B14" s="6" t="s">
        <v>420</v>
      </c>
      <c r="C14" s="6"/>
      <c r="D14" s="6"/>
      <c r="E14" s="6"/>
      <c r="F14" s="6" t="s">
        <v>421</v>
      </c>
      <c r="G14" s="6"/>
      <c r="H14" s="6"/>
      <c r="I14" s="6" t="s">
        <v>422</v>
      </c>
      <c r="J14" s="6" t="s">
        <v>423</v>
      </c>
      <c r="K14" s="6"/>
      <c r="L14" s="6"/>
      <c r="M14" s="6"/>
      <c r="N14" s="6"/>
      <c r="O14" s="6"/>
      <c r="P14" s="6"/>
      <c r="Q14" s="6"/>
      <c r="R14" s="6"/>
      <c r="S14" s="6"/>
      <c r="T14" s="6" t="s">
        <v>424</v>
      </c>
      <c r="U14" s="6"/>
      <c r="V14" s="6"/>
      <c r="W14" s="6"/>
      <c r="X14" s="6"/>
      <c r="Y14" s="6" t="s">
        <v>425</v>
      </c>
      <c r="Z14" s="6" t="s">
        <v>426</v>
      </c>
      <c r="AA14" s="6"/>
      <c r="AB14" s="6"/>
      <c r="AC14" s="6"/>
      <c r="AD14" s="6"/>
      <c r="AE14" s="6"/>
      <c r="AF14" s="6"/>
      <c r="AG14" s="6"/>
      <c r="AH14" s="6"/>
      <c r="AI14" s="6"/>
      <c r="AJ14" s="6"/>
      <c r="AK14" s="6"/>
      <c r="AL14" s="6"/>
      <c r="AM14" s="6" t="s">
        <v>427</v>
      </c>
      <c r="AN14" s="6" t="s">
        <v>428</v>
      </c>
      <c r="AO14" s="6"/>
      <c r="AP14" s="6"/>
      <c r="AQ14" s="6"/>
      <c r="AR14" s="6"/>
      <c r="AS14" s="6">
        <v>2010</v>
      </c>
      <c r="AT14" s="6">
        <v>5</v>
      </c>
      <c r="AU14" s="6">
        <v>4</v>
      </c>
      <c r="AV14" s="6"/>
      <c r="AW14" s="6"/>
      <c r="AX14" s="6"/>
      <c r="AY14" s="6"/>
      <c r="AZ14" s="6">
        <v>454</v>
      </c>
      <c r="BA14" s="6">
        <v>470</v>
      </c>
      <c r="BB14" s="6"/>
      <c r="BC14" s="6" t="s">
        <v>429</v>
      </c>
      <c r="BD14" s="9" t="str">
        <f>HYPERLINK("http://dx.doi.org/10.1080/19320248.2010.530549","http://dx.doi.org/10.1080/19320248.2010.530549")</f>
        <v>http://dx.doi.org/10.1080/19320248.2010.530549</v>
      </c>
      <c r="BE14" s="6"/>
      <c r="BF14" s="6"/>
      <c r="BG14" s="6"/>
      <c r="BH14" s="6"/>
      <c r="BI14" s="6"/>
      <c r="BJ14" s="6" t="s">
        <v>430</v>
      </c>
      <c r="BK14" s="6"/>
      <c r="BL14" s="6"/>
      <c r="BM14" s="6"/>
      <c r="BN14" s="6"/>
      <c r="BO14" s="6"/>
      <c r="BP14" s="6"/>
      <c r="BQ14" s="6"/>
      <c r="BR14" s="6"/>
      <c r="BS14" s="6"/>
      <c r="BT14" s="6"/>
      <c r="BU14" s="8" t="s">
        <v>7199</v>
      </c>
      <c r="BV14" s="8" t="s">
        <v>7188</v>
      </c>
      <c r="BW14" s="8" t="s">
        <v>7189</v>
      </c>
    </row>
    <row r="15" spans="1:75" ht="12.75" customHeight="1">
      <c r="A15" s="6" t="s">
        <v>63</v>
      </c>
      <c r="B15" s="6" t="s">
        <v>6580</v>
      </c>
      <c r="C15" s="6"/>
      <c r="D15" s="6"/>
      <c r="E15" s="6"/>
      <c r="F15" s="6" t="s">
        <v>6581</v>
      </c>
      <c r="G15" s="6"/>
      <c r="H15" s="6"/>
      <c r="I15" s="6" t="s">
        <v>6582</v>
      </c>
      <c r="J15" s="6" t="s">
        <v>6583</v>
      </c>
      <c r="K15" s="6"/>
      <c r="L15" s="6"/>
      <c r="M15" s="6"/>
      <c r="N15" s="6"/>
      <c r="O15" s="6"/>
      <c r="P15" s="6"/>
      <c r="Q15" s="6"/>
      <c r="R15" s="6"/>
      <c r="S15" s="6"/>
      <c r="T15" s="6" t="s">
        <v>6584</v>
      </c>
      <c r="U15" s="6"/>
      <c r="V15" s="6"/>
      <c r="W15" s="6"/>
      <c r="X15" s="6"/>
      <c r="Y15" s="6"/>
      <c r="Z15" s="6" t="s">
        <v>6585</v>
      </c>
      <c r="AA15" s="6"/>
      <c r="AB15" s="6"/>
      <c r="AC15" s="6"/>
      <c r="AD15" s="6"/>
      <c r="AE15" s="6"/>
      <c r="AF15" s="6"/>
      <c r="AG15" s="6"/>
      <c r="AH15" s="6"/>
      <c r="AI15" s="6"/>
      <c r="AJ15" s="6"/>
      <c r="AK15" s="6"/>
      <c r="AL15" s="6"/>
      <c r="AM15" s="6" t="s">
        <v>6586</v>
      </c>
      <c r="AN15" s="6" t="s">
        <v>6587</v>
      </c>
      <c r="AO15" s="6"/>
      <c r="AP15" s="6"/>
      <c r="AQ15" s="6"/>
      <c r="AR15" s="6" t="s">
        <v>92</v>
      </c>
      <c r="AS15" s="6">
        <v>2024</v>
      </c>
      <c r="AT15" s="6">
        <v>29</v>
      </c>
      <c r="AU15" s="6">
        <v>10</v>
      </c>
      <c r="AV15" s="6"/>
      <c r="AW15" s="6"/>
      <c r="AX15" s="6"/>
      <c r="AY15" s="6"/>
      <c r="AZ15" s="6"/>
      <c r="BA15" s="6"/>
      <c r="BB15" s="6" t="s">
        <v>6588</v>
      </c>
      <c r="BC15" s="6" t="s">
        <v>6589</v>
      </c>
      <c r="BD15" s="9" t="str">
        <f>HYPERLINK("http://dx.doi.org/10.1590/1413-812320242910.09582023","http://dx.doi.org/10.1590/1413-812320242910.09582023")</f>
        <v>http://dx.doi.org/10.1590/1413-812320242910.09582023</v>
      </c>
      <c r="BE15" s="6"/>
      <c r="BF15" s="6"/>
      <c r="BG15" s="6"/>
      <c r="BH15" s="6"/>
      <c r="BI15" s="6">
        <v>39292043</v>
      </c>
      <c r="BJ15" s="6" t="s">
        <v>6590</v>
      </c>
      <c r="BK15" s="6"/>
      <c r="BL15" s="6"/>
      <c r="BM15" s="6"/>
      <c r="BN15" s="6"/>
      <c r="BO15" s="6"/>
      <c r="BP15" s="6"/>
      <c r="BQ15" s="6"/>
      <c r="BR15" s="6"/>
      <c r="BS15" s="6"/>
      <c r="BT15" s="6"/>
      <c r="BU15" s="8" t="s">
        <v>7195</v>
      </c>
      <c r="BV15" s="8" t="s">
        <v>3516</v>
      </c>
      <c r="BW15" s="8" t="s">
        <v>7196</v>
      </c>
    </row>
    <row r="16" spans="1:75" ht="12.75" customHeight="1">
      <c r="A16" s="6" t="s">
        <v>63</v>
      </c>
      <c r="B16" s="6" t="s">
        <v>1332</v>
      </c>
      <c r="C16" s="6"/>
      <c r="D16" s="6"/>
      <c r="E16" s="6"/>
      <c r="F16" s="6" t="s">
        <v>1333</v>
      </c>
      <c r="G16" s="6"/>
      <c r="H16" s="6"/>
      <c r="I16" s="6" t="s">
        <v>6582</v>
      </c>
      <c r="J16" s="6" t="s">
        <v>1334</v>
      </c>
      <c r="K16" s="6"/>
      <c r="L16" s="6"/>
      <c r="M16" s="6"/>
      <c r="N16" s="6"/>
      <c r="O16" s="6"/>
      <c r="P16" s="6"/>
      <c r="Q16" s="6"/>
      <c r="R16" s="6"/>
      <c r="S16" s="6"/>
      <c r="T16" s="6" t="s">
        <v>1335</v>
      </c>
      <c r="U16" s="6"/>
      <c r="V16" s="6"/>
      <c r="W16" s="6"/>
      <c r="X16" s="6"/>
      <c r="Y16" s="6"/>
      <c r="Z16" s="6" t="s">
        <v>1336</v>
      </c>
      <c r="AA16" s="6"/>
      <c r="AB16" s="6"/>
      <c r="AC16" s="6"/>
      <c r="AD16" s="6"/>
      <c r="AE16" s="6"/>
      <c r="AF16" s="6"/>
      <c r="AG16" s="6"/>
      <c r="AH16" s="6"/>
      <c r="AI16" s="6"/>
      <c r="AJ16" s="6"/>
      <c r="AK16" s="6"/>
      <c r="AL16" s="6"/>
      <c r="AM16" s="6" t="s">
        <v>1337</v>
      </c>
      <c r="AN16" s="6" t="s">
        <v>1338</v>
      </c>
      <c r="AO16" s="6"/>
      <c r="AP16" s="6"/>
      <c r="AQ16" s="6"/>
      <c r="AR16" s="6"/>
      <c r="AS16" s="6">
        <v>2014</v>
      </c>
      <c r="AT16" s="6">
        <v>3</v>
      </c>
      <c r="AU16" s="6">
        <v>3</v>
      </c>
      <c r="AV16" s="6"/>
      <c r="AW16" s="6"/>
      <c r="AX16" s="6"/>
      <c r="AY16" s="6"/>
      <c r="AZ16" s="6">
        <v>130</v>
      </c>
      <c r="BA16" s="6">
        <v>137</v>
      </c>
      <c r="BB16" s="6"/>
      <c r="BC16" s="6" t="s">
        <v>1339</v>
      </c>
      <c r="BD16" s="9" t="str">
        <f>HYPERLINK("http://dx.doi.org/10.4081/jphr.2014.319","http://dx.doi.org/10.4081/jphr.2014.319")</f>
        <v>http://dx.doi.org/10.4081/jphr.2014.319</v>
      </c>
      <c r="BE16" s="6"/>
      <c r="BF16" s="6"/>
      <c r="BG16" s="6"/>
      <c r="BH16" s="6"/>
      <c r="BI16" s="6">
        <v>25553313</v>
      </c>
      <c r="BJ16" s="6" t="s">
        <v>1340</v>
      </c>
      <c r="BK16" s="6"/>
      <c r="BL16" s="6"/>
      <c r="BM16" s="6"/>
      <c r="BN16" s="6"/>
      <c r="BO16" s="6"/>
      <c r="BP16" s="6"/>
      <c r="BQ16" s="6"/>
      <c r="BR16" s="6"/>
      <c r="BS16" s="6"/>
      <c r="BT16" s="6"/>
      <c r="BU16" s="8" t="s">
        <v>7200</v>
      </c>
      <c r="BV16" s="8" t="s">
        <v>7188</v>
      </c>
      <c r="BW16" s="8" t="s">
        <v>7189</v>
      </c>
    </row>
    <row r="17" spans="1:75" ht="12.75" customHeight="1">
      <c r="A17" s="6" t="s">
        <v>63</v>
      </c>
      <c r="B17" s="6" t="s">
        <v>4126</v>
      </c>
      <c r="C17" s="6"/>
      <c r="D17" s="6"/>
      <c r="E17" s="6"/>
      <c r="F17" s="6" t="s">
        <v>4127</v>
      </c>
      <c r="G17" s="6"/>
      <c r="H17" s="6"/>
      <c r="I17" s="6" t="s">
        <v>4128</v>
      </c>
      <c r="J17" s="6" t="s">
        <v>1142</v>
      </c>
      <c r="K17" s="6"/>
      <c r="L17" s="6"/>
      <c r="M17" s="6"/>
      <c r="N17" s="6"/>
      <c r="O17" s="6"/>
      <c r="P17" s="6"/>
      <c r="Q17" s="6"/>
      <c r="R17" s="6"/>
      <c r="S17" s="6"/>
      <c r="T17" s="6" t="s">
        <v>4129</v>
      </c>
      <c r="U17" s="6"/>
      <c r="V17" s="6"/>
      <c r="W17" s="6"/>
      <c r="X17" s="6"/>
      <c r="Y17" s="6" t="s">
        <v>4130</v>
      </c>
      <c r="Z17" s="6" t="s">
        <v>4131</v>
      </c>
      <c r="AA17" s="6"/>
      <c r="AB17" s="6"/>
      <c r="AC17" s="6"/>
      <c r="AD17" s="6"/>
      <c r="AE17" s="6"/>
      <c r="AF17" s="6"/>
      <c r="AG17" s="6"/>
      <c r="AH17" s="6"/>
      <c r="AI17" s="6"/>
      <c r="AJ17" s="6"/>
      <c r="AK17" s="6"/>
      <c r="AL17" s="6"/>
      <c r="AM17" s="6"/>
      <c r="AN17" s="6" t="s">
        <v>1144</v>
      </c>
      <c r="AO17" s="6"/>
      <c r="AP17" s="6"/>
      <c r="AQ17" s="6"/>
      <c r="AR17" s="6" t="s">
        <v>92</v>
      </c>
      <c r="AS17" s="6">
        <v>2020</v>
      </c>
      <c r="AT17" s="6">
        <v>17</v>
      </c>
      <c r="AU17" s="6">
        <v>19</v>
      </c>
      <c r="AV17" s="6"/>
      <c r="AW17" s="6"/>
      <c r="AX17" s="6"/>
      <c r="AY17" s="6"/>
      <c r="AZ17" s="6"/>
      <c r="BA17" s="6"/>
      <c r="BB17" s="6">
        <v>7143</v>
      </c>
      <c r="BC17" s="6" t="s">
        <v>4132</v>
      </c>
      <c r="BD17" s="9" t="str">
        <f>HYPERLINK("http://dx.doi.org/10.3390/ijerph17197143","http://dx.doi.org/10.3390/ijerph17197143")</f>
        <v>http://dx.doi.org/10.3390/ijerph17197143</v>
      </c>
      <c r="BE17" s="6"/>
      <c r="BF17" s="6"/>
      <c r="BG17" s="6"/>
      <c r="BH17" s="6"/>
      <c r="BI17" s="6">
        <v>33003573</v>
      </c>
      <c r="BJ17" s="6" t="s">
        <v>4133</v>
      </c>
      <c r="BK17" s="6"/>
      <c r="BL17" s="6"/>
      <c r="BM17" s="6"/>
      <c r="BN17" s="6"/>
      <c r="BO17" s="6"/>
      <c r="BP17" s="6"/>
      <c r="BQ17" s="6"/>
      <c r="BR17" s="6"/>
      <c r="BS17" s="6"/>
      <c r="BT17" s="6"/>
      <c r="BU17" s="8" t="s">
        <v>7201</v>
      </c>
      <c r="BV17" s="8" t="s">
        <v>7188</v>
      </c>
      <c r="BW17" s="8" t="s">
        <v>7189</v>
      </c>
    </row>
    <row r="18" spans="1:75" ht="12.75" customHeight="1">
      <c r="A18" s="6" t="s">
        <v>63</v>
      </c>
      <c r="B18" s="6" t="s">
        <v>2655</v>
      </c>
      <c r="C18" s="6"/>
      <c r="D18" s="6"/>
      <c r="E18" s="6"/>
      <c r="F18" s="6" t="s">
        <v>2656</v>
      </c>
      <c r="G18" s="6"/>
      <c r="H18" s="6"/>
      <c r="I18" s="6" t="s">
        <v>2657</v>
      </c>
      <c r="J18" s="6" t="s">
        <v>2658</v>
      </c>
      <c r="K18" s="6"/>
      <c r="L18" s="6"/>
      <c r="M18" s="6"/>
      <c r="N18" s="6"/>
      <c r="O18" s="6"/>
      <c r="P18" s="6"/>
      <c r="Q18" s="6"/>
      <c r="R18" s="6"/>
      <c r="S18" s="6"/>
      <c r="T18" s="6" t="s">
        <v>2659</v>
      </c>
      <c r="U18" s="6"/>
      <c r="V18" s="6"/>
      <c r="W18" s="6"/>
      <c r="X18" s="6"/>
      <c r="Y18" s="6" t="s">
        <v>2660</v>
      </c>
      <c r="Z18" s="6" t="s">
        <v>2661</v>
      </c>
      <c r="AA18" s="6"/>
      <c r="AB18" s="6"/>
      <c r="AC18" s="6"/>
      <c r="AD18" s="6"/>
      <c r="AE18" s="6"/>
      <c r="AF18" s="6"/>
      <c r="AG18" s="6"/>
      <c r="AH18" s="6"/>
      <c r="AI18" s="6"/>
      <c r="AJ18" s="6"/>
      <c r="AK18" s="6"/>
      <c r="AL18" s="6"/>
      <c r="AM18" s="6" t="s">
        <v>2662</v>
      </c>
      <c r="AN18" s="6"/>
      <c r="AO18" s="6"/>
      <c r="AP18" s="6"/>
      <c r="AQ18" s="6"/>
      <c r="AR18" s="6" t="s">
        <v>92</v>
      </c>
      <c r="AS18" s="6">
        <v>2017</v>
      </c>
      <c r="AT18" s="6">
        <v>37</v>
      </c>
      <c r="AU18" s="6">
        <v>10</v>
      </c>
      <c r="AV18" s="6"/>
      <c r="AW18" s="6"/>
      <c r="AX18" s="6" t="s">
        <v>569</v>
      </c>
      <c r="AY18" s="6"/>
      <c r="AZ18" s="6">
        <v>350</v>
      </c>
      <c r="BA18" s="6">
        <v>356</v>
      </c>
      <c r="BB18" s="6"/>
      <c r="BC18" s="6" t="s">
        <v>2663</v>
      </c>
      <c r="BD18" s="9" t="str">
        <f>HYPERLINK("http://dx.doi.org/10.24095/hpcdp.37.10.05","http://dx.doi.org/10.24095/hpcdp.37.10.05")</f>
        <v>http://dx.doi.org/10.24095/hpcdp.37.10.05</v>
      </c>
      <c r="BE18" s="6"/>
      <c r="BF18" s="6"/>
      <c r="BG18" s="6"/>
      <c r="BH18" s="6"/>
      <c r="BI18" s="6">
        <v>29043762</v>
      </c>
      <c r="BJ18" s="6" t="s">
        <v>2664</v>
      </c>
      <c r="BK18" s="6"/>
      <c r="BL18" s="6"/>
      <c r="BM18" s="6"/>
      <c r="BN18" s="6"/>
      <c r="BO18" s="6"/>
      <c r="BP18" s="6"/>
      <c r="BQ18" s="6"/>
      <c r="BR18" s="6"/>
      <c r="BS18" s="6"/>
      <c r="BT18" s="6"/>
      <c r="BU18" s="8" t="s">
        <v>7202</v>
      </c>
      <c r="BV18" s="8" t="s">
        <v>2039</v>
      </c>
      <c r="BW18" s="8" t="s">
        <v>7189</v>
      </c>
    </row>
    <row r="19" spans="1:75" ht="12.75" customHeight="1">
      <c r="A19" s="6" t="s">
        <v>63</v>
      </c>
      <c r="B19" s="6" t="s">
        <v>6591</v>
      </c>
      <c r="C19" s="6"/>
      <c r="D19" s="6"/>
      <c r="E19" s="6"/>
      <c r="F19" s="6" t="s">
        <v>6592</v>
      </c>
      <c r="G19" s="6"/>
      <c r="H19" s="6"/>
      <c r="I19" s="6" t="s">
        <v>6593</v>
      </c>
      <c r="J19" s="6" t="s">
        <v>5939</v>
      </c>
      <c r="K19" s="6"/>
      <c r="L19" s="6"/>
      <c r="M19" s="6"/>
      <c r="N19" s="6"/>
      <c r="O19" s="6"/>
      <c r="P19" s="6"/>
      <c r="Q19" s="6"/>
      <c r="R19" s="6"/>
      <c r="S19" s="6"/>
      <c r="T19" s="6" t="s">
        <v>6594</v>
      </c>
      <c r="U19" s="6"/>
      <c r="V19" s="6"/>
      <c r="W19" s="6"/>
      <c r="X19" s="6"/>
      <c r="Y19" s="6"/>
      <c r="Z19" s="6"/>
      <c r="AA19" s="6"/>
      <c r="AB19" s="6"/>
      <c r="AC19" s="6"/>
      <c r="AD19" s="6"/>
      <c r="AE19" s="6"/>
      <c r="AF19" s="6"/>
      <c r="AG19" s="6"/>
      <c r="AH19" s="6"/>
      <c r="AI19" s="6"/>
      <c r="AJ19" s="6"/>
      <c r="AK19" s="6"/>
      <c r="AL19" s="6"/>
      <c r="AM19" s="6" t="s">
        <v>5942</v>
      </c>
      <c r="AN19" s="6" t="s">
        <v>5943</v>
      </c>
      <c r="AO19" s="6"/>
      <c r="AP19" s="6"/>
      <c r="AQ19" s="6"/>
      <c r="AR19" s="6" t="s">
        <v>121</v>
      </c>
      <c r="AS19" s="6">
        <v>2024</v>
      </c>
      <c r="AT19" s="6">
        <v>28</v>
      </c>
      <c r="AU19" s="6">
        <v>8</v>
      </c>
      <c r="AV19" s="6"/>
      <c r="AW19" s="6"/>
      <c r="AX19" s="6"/>
      <c r="AY19" s="6"/>
      <c r="AZ19" s="6">
        <v>1346</v>
      </c>
      <c r="BA19" s="6">
        <v>1353</v>
      </c>
      <c r="BB19" s="6"/>
      <c r="BC19" s="6" t="s">
        <v>6595</v>
      </c>
      <c r="BD19" s="9" t="str">
        <f>HYPERLINK("http://dx.doi.org/10.1007/s10995-024-03949-9","http://dx.doi.org/10.1007/s10995-024-03949-9")</f>
        <v>http://dx.doi.org/10.1007/s10995-024-03949-9</v>
      </c>
      <c r="BE19" s="6"/>
      <c r="BF19" s="6" t="s">
        <v>122</v>
      </c>
      <c r="BG19" s="6"/>
      <c r="BH19" s="6"/>
      <c r="BI19" s="6">
        <v>38907813</v>
      </c>
      <c r="BJ19" s="6" t="s">
        <v>6596</v>
      </c>
      <c r="BK19" s="6"/>
      <c r="BL19" s="6"/>
      <c r="BM19" s="6"/>
      <c r="BN19" s="6"/>
      <c r="BO19" s="6"/>
      <c r="BP19" s="6"/>
      <c r="BQ19" s="6"/>
      <c r="BR19" s="6"/>
      <c r="BS19" s="6"/>
      <c r="BT19" s="6"/>
      <c r="BU19" s="8" t="s">
        <v>7193</v>
      </c>
      <c r="BV19" s="8" t="s">
        <v>7188</v>
      </c>
      <c r="BW19" s="8" t="s">
        <v>7189</v>
      </c>
    </row>
    <row r="20" spans="1:75" ht="12.75" customHeight="1">
      <c r="A20" s="3" t="s">
        <v>63</v>
      </c>
      <c r="B20" s="3" t="s">
        <v>3607</v>
      </c>
      <c r="C20" s="3"/>
      <c r="D20" s="3"/>
      <c r="E20" s="3"/>
      <c r="F20" s="3" t="s">
        <v>3608</v>
      </c>
      <c r="G20" s="3"/>
      <c r="H20" s="3"/>
      <c r="I20" s="3" t="s">
        <v>3609</v>
      </c>
      <c r="J20" s="3" t="s">
        <v>3610</v>
      </c>
      <c r="K20" s="3"/>
      <c r="L20" s="3"/>
      <c r="M20" s="3"/>
      <c r="N20" s="3"/>
      <c r="O20" s="3"/>
      <c r="P20" s="3"/>
      <c r="Q20" s="3"/>
      <c r="R20" s="3"/>
      <c r="S20" s="3"/>
      <c r="T20" s="3" t="s">
        <v>3611</v>
      </c>
      <c r="U20" s="3"/>
      <c r="V20" s="3"/>
      <c r="W20" s="3"/>
      <c r="X20" s="3"/>
      <c r="Y20" s="3"/>
      <c r="Z20" s="3"/>
      <c r="AA20" s="3"/>
      <c r="AB20" s="3"/>
      <c r="AC20" s="3"/>
      <c r="AD20" s="3"/>
      <c r="AE20" s="3"/>
      <c r="AF20" s="3"/>
      <c r="AG20" s="3"/>
      <c r="AH20" s="3"/>
      <c r="AI20" s="3"/>
      <c r="AJ20" s="3"/>
      <c r="AK20" s="3"/>
      <c r="AL20" s="3"/>
      <c r="AM20" s="3" t="s">
        <v>3612</v>
      </c>
      <c r="AN20" s="3" t="s">
        <v>3613</v>
      </c>
      <c r="AO20" s="3"/>
      <c r="AP20" s="3"/>
      <c r="AQ20" s="3"/>
      <c r="AR20" s="3" t="s">
        <v>68</v>
      </c>
      <c r="AS20" s="3">
        <v>2019</v>
      </c>
      <c r="AT20" s="3">
        <v>5</v>
      </c>
      <c r="AU20" s="3">
        <v>2</v>
      </c>
      <c r="AV20" s="3"/>
      <c r="AW20" s="3"/>
      <c r="AX20" s="3"/>
      <c r="AY20" s="3"/>
      <c r="AZ20" s="3">
        <v>128</v>
      </c>
      <c r="BA20" s="3">
        <v>134</v>
      </c>
      <c r="BB20" s="3"/>
      <c r="BC20" s="3" t="s">
        <v>3614</v>
      </c>
      <c r="BD20" s="15" t="str">
        <f>HYPERLINK("http://dx.doi.org/10.1016/j.sleh.2018.11.006","http://dx.doi.org/10.1016/j.sleh.2018.11.006")</f>
        <v>http://dx.doi.org/10.1016/j.sleh.2018.11.006</v>
      </c>
      <c r="BE20" s="3"/>
      <c r="BF20" s="3"/>
      <c r="BG20" s="3"/>
      <c r="BH20" s="3"/>
      <c r="BI20" s="3">
        <v>30928111</v>
      </c>
      <c r="BJ20" s="3" t="s">
        <v>3615</v>
      </c>
      <c r="BK20" s="3"/>
      <c r="BL20" s="3"/>
      <c r="BM20" s="3"/>
      <c r="BN20" s="3"/>
      <c r="BO20" s="3"/>
      <c r="BP20" s="3"/>
      <c r="BQ20" s="3"/>
      <c r="BR20" s="3"/>
      <c r="BS20" s="3"/>
      <c r="BT20" s="3"/>
      <c r="BU20" s="2" t="s">
        <v>7201</v>
      </c>
      <c r="BV20" s="2" t="s">
        <v>7188</v>
      </c>
      <c r="BW20" s="2" t="s">
        <v>7189</v>
      </c>
    </row>
    <row r="21" spans="1:75" ht="12.75" customHeight="1">
      <c r="A21" s="3" t="s">
        <v>201</v>
      </c>
      <c r="B21" s="3" t="s">
        <v>2155</v>
      </c>
      <c r="C21" s="3"/>
      <c r="D21" s="3"/>
      <c r="E21" s="3" t="s">
        <v>2156</v>
      </c>
      <c r="F21" s="3" t="s">
        <v>2157</v>
      </c>
      <c r="G21" s="3"/>
      <c r="H21" s="3"/>
      <c r="I21" s="3" t="s">
        <v>2158</v>
      </c>
      <c r="J21" s="3" t="s">
        <v>2159</v>
      </c>
      <c r="K21" s="3"/>
      <c r="L21" s="3"/>
      <c r="M21" s="3"/>
      <c r="N21" s="3" t="s">
        <v>2160</v>
      </c>
      <c r="O21" s="3" t="s">
        <v>2161</v>
      </c>
      <c r="P21" s="3" t="s">
        <v>2162</v>
      </c>
      <c r="Q21" s="3"/>
      <c r="R21" s="3"/>
      <c r="S21" s="3"/>
      <c r="T21" s="3" t="s">
        <v>2163</v>
      </c>
      <c r="U21" s="3"/>
      <c r="V21" s="3"/>
      <c r="W21" s="3"/>
      <c r="X21" s="3"/>
      <c r="Y21" s="3"/>
      <c r="Z21" s="3" t="s">
        <v>2164</v>
      </c>
      <c r="AA21" s="3"/>
      <c r="AB21" s="3"/>
      <c r="AC21" s="3"/>
      <c r="AD21" s="3"/>
      <c r="AE21" s="3"/>
      <c r="AF21" s="3"/>
      <c r="AG21" s="3"/>
      <c r="AH21" s="3"/>
      <c r="AI21" s="3"/>
      <c r="AJ21" s="3"/>
      <c r="AK21" s="3"/>
      <c r="AL21" s="3"/>
      <c r="AM21" s="3"/>
      <c r="AN21" s="3"/>
      <c r="AO21" s="3" t="s">
        <v>2165</v>
      </c>
      <c r="AP21" s="3"/>
      <c r="AQ21" s="3"/>
      <c r="AR21" s="3"/>
      <c r="AS21" s="3">
        <v>2016</v>
      </c>
      <c r="AT21" s="3"/>
      <c r="AU21" s="3"/>
      <c r="AV21" s="3"/>
      <c r="AW21" s="3"/>
      <c r="AX21" s="3"/>
      <c r="AY21" s="3"/>
      <c r="AZ21" s="3">
        <v>1157</v>
      </c>
      <c r="BA21" s="3">
        <v>1170</v>
      </c>
      <c r="BB21" s="3"/>
      <c r="BC21" s="3" t="s">
        <v>2166</v>
      </c>
      <c r="BD21" s="15" t="str">
        <f>HYPERLINK("http://dx.doi.org/10.1145/2818048.2819956","http://dx.doi.org/10.1145/2818048.2819956")</f>
        <v>http://dx.doi.org/10.1145/2818048.2819956</v>
      </c>
      <c r="BE21" s="3"/>
      <c r="BF21" s="3"/>
      <c r="BG21" s="3"/>
      <c r="BH21" s="3"/>
      <c r="BI21" s="3"/>
      <c r="BJ21" s="3" t="s">
        <v>2167</v>
      </c>
      <c r="BK21" s="3"/>
      <c r="BL21" s="3"/>
      <c r="BM21" s="3"/>
      <c r="BN21" s="3"/>
      <c r="BO21" s="3"/>
      <c r="BP21" s="3"/>
      <c r="BQ21" s="3"/>
      <c r="BR21" s="3"/>
      <c r="BS21" s="3"/>
      <c r="BT21" s="3"/>
      <c r="BU21" s="2" t="s">
        <v>7201</v>
      </c>
      <c r="BV21" s="2" t="s">
        <v>7188</v>
      </c>
      <c r="BW21" s="2" t="s">
        <v>7189</v>
      </c>
    </row>
    <row r="22" spans="1:75" ht="12.75" customHeight="1">
      <c r="A22" s="6" t="s">
        <v>63</v>
      </c>
      <c r="B22" s="6" t="s">
        <v>1341</v>
      </c>
      <c r="C22" s="6"/>
      <c r="D22" s="6"/>
      <c r="E22" s="6"/>
      <c r="F22" s="6" t="s">
        <v>1342</v>
      </c>
      <c r="G22" s="6"/>
      <c r="H22" s="6"/>
      <c r="I22" s="6" t="s">
        <v>1343</v>
      </c>
      <c r="J22" s="6" t="s">
        <v>1344</v>
      </c>
      <c r="K22" s="6"/>
      <c r="L22" s="6"/>
      <c r="M22" s="6"/>
      <c r="N22" s="6"/>
      <c r="O22" s="6"/>
      <c r="P22" s="6"/>
      <c r="Q22" s="6"/>
      <c r="R22" s="6"/>
      <c r="S22" s="6"/>
      <c r="T22" s="6" t="s">
        <v>1345</v>
      </c>
      <c r="U22" s="6"/>
      <c r="V22" s="6"/>
      <c r="W22" s="6"/>
      <c r="X22" s="6"/>
      <c r="Y22" s="6" t="s">
        <v>271</v>
      </c>
      <c r="Z22" s="6" t="s">
        <v>1346</v>
      </c>
      <c r="AA22" s="6"/>
      <c r="AB22" s="6"/>
      <c r="AC22" s="6"/>
      <c r="AD22" s="6"/>
      <c r="AE22" s="6"/>
      <c r="AF22" s="6"/>
      <c r="AG22" s="6"/>
      <c r="AH22" s="6"/>
      <c r="AI22" s="6"/>
      <c r="AJ22" s="6"/>
      <c r="AK22" s="6"/>
      <c r="AL22" s="6"/>
      <c r="AM22" s="6" t="s">
        <v>1347</v>
      </c>
      <c r="AN22" s="6" t="s">
        <v>1348</v>
      </c>
      <c r="AO22" s="6"/>
      <c r="AP22" s="6"/>
      <c r="AQ22" s="6"/>
      <c r="AR22" s="6" t="s">
        <v>92</v>
      </c>
      <c r="AS22" s="6">
        <v>2014</v>
      </c>
      <c r="AT22" s="6">
        <v>9</v>
      </c>
      <c r="AU22" s="6">
        <v>2</v>
      </c>
      <c r="AV22" s="6"/>
      <c r="AW22" s="6"/>
      <c r="AX22" s="6"/>
      <c r="AY22" s="6"/>
      <c r="AZ22" s="6">
        <v>54</v>
      </c>
      <c r="BA22" s="6">
        <v>59</v>
      </c>
      <c r="BB22" s="6"/>
      <c r="BC22" s="6"/>
      <c r="BD22" s="6"/>
      <c r="BE22" s="6"/>
      <c r="BF22" s="6"/>
      <c r="BG22" s="6"/>
      <c r="BH22" s="6"/>
      <c r="BI22" s="6"/>
      <c r="BJ22" s="6" t="s">
        <v>1349</v>
      </c>
      <c r="BK22" s="6"/>
      <c r="BL22" s="6"/>
      <c r="BM22" s="6"/>
      <c r="BN22" s="6"/>
      <c r="BO22" s="6"/>
      <c r="BP22" s="6"/>
      <c r="BQ22" s="6"/>
      <c r="BR22" s="6"/>
      <c r="BS22" s="6"/>
      <c r="BT22" s="6"/>
      <c r="BU22" s="8" t="s">
        <v>7193</v>
      </c>
      <c r="BV22" s="8" t="s">
        <v>7204</v>
      </c>
      <c r="BW22" s="8" t="s">
        <v>7205</v>
      </c>
    </row>
    <row r="23" spans="1:75" ht="12.75" customHeight="1">
      <c r="A23" s="4" t="s">
        <v>63</v>
      </c>
      <c r="B23" s="4" t="s">
        <v>2665</v>
      </c>
      <c r="C23" s="4"/>
      <c r="D23" s="4"/>
      <c r="E23" s="4"/>
      <c r="F23" s="4" t="s">
        <v>2666</v>
      </c>
      <c r="G23" s="4"/>
      <c r="H23" s="4"/>
      <c r="I23" s="4" t="s">
        <v>2667</v>
      </c>
      <c r="J23" s="4" t="s">
        <v>2668</v>
      </c>
      <c r="K23" s="4"/>
      <c r="L23" s="4"/>
      <c r="M23" s="4"/>
      <c r="N23" s="4"/>
      <c r="O23" s="4"/>
      <c r="P23" s="4"/>
      <c r="Q23" s="4"/>
      <c r="R23" s="4"/>
      <c r="S23" s="4"/>
      <c r="T23" s="4" t="s">
        <v>2669</v>
      </c>
      <c r="U23" s="4"/>
      <c r="V23" s="4"/>
      <c r="W23" s="4"/>
      <c r="X23" s="4"/>
      <c r="Y23" s="4"/>
      <c r="Z23" s="4" t="s">
        <v>2670</v>
      </c>
      <c r="AA23" s="4"/>
      <c r="AB23" s="4"/>
      <c r="AC23" s="4"/>
      <c r="AD23" s="4"/>
      <c r="AE23" s="4"/>
      <c r="AF23" s="4"/>
      <c r="AG23" s="4"/>
      <c r="AH23" s="4"/>
      <c r="AI23" s="4"/>
      <c r="AJ23" s="4"/>
      <c r="AK23" s="4"/>
      <c r="AL23" s="4"/>
      <c r="AM23" s="4" t="s">
        <v>2671</v>
      </c>
      <c r="AN23" s="4" t="s">
        <v>2672</v>
      </c>
      <c r="AO23" s="4"/>
      <c r="AP23" s="4"/>
      <c r="AQ23" s="4"/>
      <c r="AR23" s="4"/>
      <c r="AS23" s="4">
        <v>2017</v>
      </c>
      <c r="AT23" s="4">
        <v>25</v>
      </c>
      <c r="AU23" s="4">
        <v>3</v>
      </c>
      <c r="AV23" s="4"/>
      <c r="AW23" s="4"/>
      <c r="AX23" s="4"/>
      <c r="AY23" s="4"/>
      <c r="AZ23" s="4">
        <v>228</v>
      </c>
      <c r="BA23" s="4">
        <v>246</v>
      </c>
      <c r="BB23" s="4"/>
      <c r="BC23" s="4" t="s">
        <v>2673</v>
      </c>
      <c r="BD23" s="5" t="str">
        <f>HYPERLINK("http://dx.doi.org/10.1080/07409710.2017.1348112","http://dx.doi.org/10.1080/07409710.2017.1348112")</f>
        <v>http://dx.doi.org/10.1080/07409710.2017.1348112</v>
      </c>
      <c r="BE23" s="4"/>
      <c r="BF23" s="4"/>
      <c r="BG23" s="4"/>
      <c r="BH23" s="4"/>
      <c r="BI23" s="4"/>
      <c r="BJ23" s="4" t="s">
        <v>2674</v>
      </c>
      <c r="BK23" s="4"/>
      <c r="BL23" s="4"/>
      <c r="BM23" s="4"/>
      <c r="BN23" s="4"/>
      <c r="BO23" s="4"/>
      <c r="BP23" s="4"/>
      <c r="BQ23" s="4"/>
      <c r="BR23" s="4"/>
      <c r="BS23" s="4"/>
      <c r="BT23" s="4"/>
      <c r="BU23" s="12" t="s">
        <v>7206</v>
      </c>
      <c r="BV23" s="12" t="s">
        <v>7188</v>
      </c>
      <c r="BW23" s="12" t="s">
        <v>7189</v>
      </c>
    </row>
    <row r="24" spans="1:75" ht="12.75" customHeight="1">
      <c r="A24" s="6" t="s">
        <v>151</v>
      </c>
      <c r="B24" s="6" t="s">
        <v>4719</v>
      </c>
      <c r="C24" s="6"/>
      <c r="D24" s="6" t="s">
        <v>4720</v>
      </c>
      <c r="E24" s="6"/>
      <c r="F24" s="6" t="s">
        <v>4721</v>
      </c>
      <c r="G24" s="6"/>
      <c r="H24" s="6"/>
      <c r="I24" s="6" t="s">
        <v>4722</v>
      </c>
      <c r="J24" s="6" t="s">
        <v>4723</v>
      </c>
      <c r="K24" s="6" t="s">
        <v>4724</v>
      </c>
      <c r="L24" s="6"/>
      <c r="M24" s="6"/>
      <c r="N24" s="6"/>
      <c r="O24" s="6"/>
      <c r="P24" s="6"/>
      <c r="Q24" s="6"/>
      <c r="R24" s="6"/>
      <c r="S24" s="6"/>
      <c r="T24" s="6" t="s">
        <v>4725</v>
      </c>
      <c r="U24" s="6"/>
      <c r="V24" s="6"/>
      <c r="W24" s="6"/>
      <c r="X24" s="6"/>
      <c r="Y24" s="6"/>
      <c r="Z24" s="6"/>
      <c r="AA24" s="6"/>
      <c r="AB24" s="6"/>
      <c r="AC24" s="6"/>
      <c r="AD24" s="6"/>
      <c r="AE24" s="6"/>
      <c r="AF24" s="6"/>
      <c r="AG24" s="6"/>
      <c r="AH24" s="6"/>
      <c r="AI24" s="6"/>
      <c r="AJ24" s="6"/>
      <c r="AK24" s="6"/>
      <c r="AL24" s="6"/>
      <c r="AM24" s="6" t="s">
        <v>4726</v>
      </c>
      <c r="AN24" s="6" t="s">
        <v>4727</v>
      </c>
      <c r="AO24" s="6" t="s">
        <v>4728</v>
      </c>
      <c r="AP24" s="6"/>
      <c r="AQ24" s="6"/>
      <c r="AR24" s="6"/>
      <c r="AS24" s="6">
        <v>2021</v>
      </c>
      <c r="AT24" s="6">
        <v>13</v>
      </c>
      <c r="AU24" s="6"/>
      <c r="AV24" s="6"/>
      <c r="AW24" s="6"/>
      <c r="AX24" s="6"/>
      <c r="AY24" s="6"/>
      <c r="AZ24" s="6">
        <v>109</v>
      </c>
      <c r="BA24" s="6">
        <v>129</v>
      </c>
      <c r="BB24" s="6"/>
      <c r="BC24" s="6" t="s">
        <v>4729</v>
      </c>
      <c r="BD24" s="9" t="str">
        <f>HYPERLINK("http://dx.doi.org/10.1146/annurev-resource-101620-080307","http://dx.doi.org/10.1146/annurev-resource-101620-080307")</f>
        <v>http://dx.doi.org/10.1146/annurev-resource-101620-080307</v>
      </c>
      <c r="BE24" s="6"/>
      <c r="BF24" s="6"/>
      <c r="BG24" s="6"/>
      <c r="BH24" s="6"/>
      <c r="BI24" s="6"/>
      <c r="BJ24" s="6" t="s">
        <v>4730</v>
      </c>
      <c r="BK24" s="6"/>
      <c r="BL24" s="6"/>
      <c r="BM24" s="6"/>
      <c r="BN24" s="6"/>
      <c r="BO24" s="6"/>
      <c r="BP24" s="6"/>
      <c r="BQ24" s="6"/>
      <c r="BR24" s="6"/>
      <c r="BS24" s="6"/>
      <c r="BT24" s="6"/>
      <c r="BU24" s="8" t="s">
        <v>7193</v>
      </c>
      <c r="BV24" s="8" t="s">
        <v>7188</v>
      </c>
      <c r="BW24" s="8" t="s">
        <v>7189</v>
      </c>
    </row>
    <row r="25" spans="1:75" ht="12.75" customHeight="1">
      <c r="A25" s="3" t="s">
        <v>63</v>
      </c>
      <c r="B25" s="3" t="s">
        <v>2168</v>
      </c>
      <c r="C25" s="3"/>
      <c r="D25" s="3"/>
      <c r="E25" s="3"/>
      <c r="F25" s="3" t="s">
        <v>2169</v>
      </c>
      <c r="G25" s="3"/>
      <c r="H25" s="3"/>
      <c r="I25" s="3" t="s">
        <v>2170</v>
      </c>
      <c r="J25" s="3" t="s">
        <v>599</v>
      </c>
      <c r="K25" s="3"/>
      <c r="L25" s="3"/>
      <c r="M25" s="3"/>
      <c r="N25" s="3"/>
      <c r="O25" s="3"/>
      <c r="P25" s="3"/>
      <c r="Q25" s="3"/>
      <c r="R25" s="3"/>
      <c r="S25" s="3"/>
      <c r="T25" s="3" t="s">
        <v>2171</v>
      </c>
      <c r="U25" s="3"/>
      <c r="V25" s="3"/>
      <c r="W25" s="3"/>
      <c r="X25" s="3"/>
      <c r="Y25" s="3"/>
      <c r="Z25" s="3"/>
      <c r="AA25" s="3"/>
      <c r="AB25" s="3"/>
      <c r="AC25" s="3"/>
      <c r="AD25" s="3"/>
      <c r="AE25" s="3"/>
      <c r="AF25" s="3"/>
      <c r="AG25" s="3"/>
      <c r="AH25" s="3"/>
      <c r="AI25" s="3"/>
      <c r="AJ25" s="3"/>
      <c r="AK25" s="3"/>
      <c r="AL25" s="3"/>
      <c r="AM25" s="3" t="s">
        <v>601</v>
      </c>
      <c r="AN25" s="3"/>
      <c r="AO25" s="3"/>
      <c r="AP25" s="3"/>
      <c r="AQ25" s="3"/>
      <c r="AR25" s="3" t="s">
        <v>2172</v>
      </c>
      <c r="AS25" s="3">
        <v>2016</v>
      </c>
      <c r="AT25" s="3">
        <v>16</v>
      </c>
      <c r="AU25" s="3">
        <v>4</v>
      </c>
      <c r="AV25" s="3"/>
      <c r="AW25" s="3"/>
      <c r="AX25" s="3"/>
      <c r="AY25" s="3"/>
      <c r="AZ25" s="3"/>
      <c r="BA25" s="3"/>
      <c r="BB25" s="3">
        <v>3901</v>
      </c>
      <c r="BC25" s="3"/>
      <c r="BD25" s="3"/>
      <c r="BE25" s="3"/>
      <c r="BF25" s="3"/>
      <c r="BG25" s="3"/>
      <c r="BH25" s="3"/>
      <c r="BI25" s="3">
        <v>27814451</v>
      </c>
      <c r="BJ25" s="3" t="s">
        <v>2173</v>
      </c>
      <c r="BK25" s="3"/>
      <c r="BL25" s="3"/>
      <c r="BM25" s="3"/>
      <c r="BN25" s="3"/>
      <c r="BO25" s="3"/>
      <c r="BP25" s="3"/>
      <c r="BQ25" s="3"/>
      <c r="BR25" s="3"/>
      <c r="BS25" s="3"/>
      <c r="BT25" s="3"/>
      <c r="BU25" s="1" t="s">
        <v>7207</v>
      </c>
      <c r="BV25" s="2" t="s">
        <v>7188</v>
      </c>
      <c r="BW25" s="2" t="s">
        <v>7189</v>
      </c>
    </row>
    <row r="26" spans="1:75" ht="12.75" customHeight="1">
      <c r="A26" s="6" t="s">
        <v>63</v>
      </c>
      <c r="B26" s="6" t="s">
        <v>2675</v>
      </c>
      <c r="C26" s="6"/>
      <c r="D26" s="6"/>
      <c r="E26" s="6"/>
      <c r="F26" s="6" t="s">
        <v>2676</v>
      </c>
      <c r="G26" s="6"/>
      <c r="H26" s="6"/>
      <c r="I26" s="6" t="s">
        <v>2677</v>
      </c>
      <c r="J26" s="6" t="s">
        <v>2251</v>
      </c>
      <c r="K26" s="6"/>
      <c r="L26" s="6"/>
      <c r="M26" s="6"/>
      <c r="N26" s="6"/>
      <c r="O26" s="6"/>
      <c r="P26" s="6"/>
      <c r="Q26" s="6"/>
      <c r="R26" s="6"/>
      <c r="S26" s="6"/>
      <c r="T26" s="6" t="s">
        <v>2678</v>
      </c>
      <c r="U26" s="6"/>
      <c r="V26" s="6"/>
      <c r="W26" s="6"/>
      <c r="X26" s="6"/>
      <c r="Y26" s="6" t="s">
        <v>2679</v>
      </c>
      <c r="Z26" s="6" t="s">
        <v>2680</v>
      </c>
      <c r="AA26" s="6"/>
      <c r="AB26" s="6"/>
      <c r="AC26" s="6"/>
      <c r="AD26" s="6"/>
      <c r="AE26" s="6"/>
      <c r="AF26" s="6"/>
      <c r="AG26" s="6"/>
      <c r="AH26" s="6"/>
      <c r="AI26" s="6"/>
      <c r="AJ26" s="6"/>
      <c r="AK26" s="6"/>
      <c r="AL26" s="6"/>
      <c r="AM26" s="6" t="s">
        <v>2253</v>
      </c>
      <c r="AN26" s="6" t="s">
        <v>2254</v>
      </c>
      <c r="AO26" s="6"/>
      <c r="AP26" s="6"/>
      <c r="AQ26" s="6"/>
      <c r="AR26" s="6"/>
      <c r="AS26" s="6">
        <v>2017</v>
      </c>
      <c r="AT26" s="6">
        <v>107</v>
      </c>
      <c r="AU26" s="6">
        <v>4</v>
      </c>
      <c r="AV26" s="6"/>
      <c r="AW26" s="6"/>
      <c r="AX26" s="6"/>
      <c r="AY26" s="6"/>
      <c r="AZ26" s="6">
        <v>794</v>
      </c>
      <c r="BA26" s="6">
        <v>811</v>
      </c>
      <c r="BB26" s="6"/>
      <c r="BC26" s="6" t="s">
        <v>2681</v>
      </c>
      <c r="BD26" s="9" t="str">
        <f>HYPERLINK("http://dx.doi.org/10.1080/24694452.2016.1271307","http://dx.doi.org/10.1080/24694452.2016.1271307")</f>
        <v>http://dx.doi.org/10.1080/24694452.2016.1271307</v>
      </c>
      <c r="BE26" s="6"/>
      <c r="BF26" s="6"/>
      <c r="BG26" s="6"/>
      <c r="BH26" s="6"/>
      <c r="BI26" s="6"/>
      <c r="BJ26" s="6" t="s">
        <v>2682</v>
      </c>
      <c r="BK26" s="6"/>
      <c r="BL26" s="6"/>
      <c r="BM26" s="6"/>
      <c r="BN26" s="6"/>
      <c r="BO26" s="6"/>
      <c r="BP26" s="6"/>
      <c r="BQ26" s="6"/>
      <c r="BR26" s="6"/>
      <c r="BS26" s="6"/>
      <c r="BT26" s="6"/>
      <c r="BU26" s="8" t="s">
        <v>7208</v>
      </c>
      <c r="BV26" s="8" t="s">
        <v>3516</v>
      </c>
      <c r="BW26" s="8" t="s">
        <v>7196</v>
      </c>
    </row>
    <row r="27" spans="1:75" ht="12.75" customHeight="1">
      <c r="A27" s="4" t="s">
        <v>63</v>
      </c>
      <c r="B27" s="4" t="s">
        <v>2174</v>
      </c>
      <c r="C27" s="4"/>
      <c r="D27" s="4"/>
      <c r="E27" s="4"/>
      <c r="F27" s="4" t="s">
        <v>2175</v>
      </c>
      <c r="G27" s="4"/>
      <c r="H27" s="4"/>
      <c r="I27" s="4" t="s">
        <v>2176</v>
      </c>
      <c r="J27" s="4" t="s">
        <v>2177</v>
      </c>
      <c r="K27" s="4"/>
      <c r="L27" s="4"/>
      <c r="M27" s="4"/>
      <c r="N27" s="4"/>
      <c r="O27" s="4"/>
      <c r="P27" s="4"/>
      <c r="Q27" s="4"/>
      <c r="R27" s="4"/>
      <c r="S27" s="4"/>
      <c r="T27" s="4" t="s">
        <v>2178</v>
      </c>
      <c r="U27" s="4"/>
      <c r="V27" s="4"/>
      <c r="W27" s="4"/>
      <c r="X27" s="4"/>
      <c r="Y27" s="4"/>
      <c r="Z27" s="4"/>
      <c r="AA27" s="4"/>
      <c r="AB27" s="4"/>
      <c r="AC27" s="4"/>
      <c r="AD27" s="4"/>
      <c r="AE27" s="4"/>
      <c r="AF27" s="4"/>
      <c r="AG27" s="4"/>
      <c r="AH27" s="4"/>
      <c r="AI27" s="4"/>
      <c r="AJ27" s="4"/>
      <c r="AK27" s="4"/>
      <c r="AL27" s="4"/>
      <c r="AM27" s="4" t="s">
        <v>2179</v>
      </c>
      <c r="AN27" s="4" t="s">
        <v>2180</v>
      </c>
      <c r="AO27" s="4"/>
      <c r="AP27" s="4"/>
      <c r="AQ27" s="4"/>
      <c r="AR27" s="4" t="s">
        <v>78</v>
      </c>
      <c r="AS27" s="4">
        <v>2016</v>
      </c>
      <c r="AT27" s="4">
        <v>17</v>
      </c>
      <c r="AU27" s="4">
        <v>2</v>
      </c>
      <c r="AV27" s="4"/>
      <c r="AW27" s="4"/>
      <c r="AX27" s="4"/>
      <c r="AY27" s="4"/>
      <c r="AZ27" s="4">
        <v>178</v>
      </c>
      <c r="BA27" s="4">
        <v>190</v>
      </c>
      <c r="BB27" s="4"/>
      <c r="BC27" s="4" t="s">
        <v>2181</v>
      </c>
      <c r="BD27" s="5" t="str">
        <f>HYPERLINK("http://dx.doi.org/10.1080/19452829.2015.1019433","http://dx.doi.org/10.1080/19452829.2015.1019433")</f>
        <v>http://dx.doi.org/10.1080/19452829.2015.1019433</v>
      </c>
      <c r="BE27" s="4"/>
      <c r="BF27" s="4"/>
      <c r="BG27" s="4"/>
      <c r="BH27" s="4"/>
      <c r="BI27" s="4"/>
      <c r="BJ27" s="4" t="s">
        <v>2182</v>
      </c>
      <c r="BK27" s="4"/>
      <c r="BL27" s="4"/>
      <c r="BM27" s="4"/>
      <c r="BN27" s="4"/>
      <c r="BO27" s="4"/>
      <c r="BP27" s="4"/>
      <c r="BQ27" s="4"/>
      <c r="BR27" s="4"/>
      <c r="BS27" s="4"/>
      <c r="BT27" s="4"/>
      <c r="BU27" s="12" t="s">
        <v>7209</v>
      </c>
      <c r="BV27" s="12" t="s">
        <v>7209</v>
      </c>
      <c r="BW27" s="12" t="s">
        <v>7209</v>
      </c>
    </row>
    <row r="28" spans="1:75" ht="12.75" customHeight="1">
      <c r="A28" s="3" t="s">
        <v>63</v>
      </c>
      <c r="B28" s="3" t="s">
        <v>2683</v>
      </c>
      <c r="C28" s="3"/>
      <c r="D28" s="3"/>
      <c r="E28" s="3"/>
      <c r="F28" s="3" t="s">
        <v>2684</v>
      </c>
      <c r="G28" s="3"/>
      <c r="H28" s="3"/>
      <c r="I28" s="3" t="s">
        <v>2685</v>
      </c>
      <c r="J28" s="3" t="s">
        <v>2686</v>
      </c>
      <c r="K28" s="3"/>
      <c r="L28" s="3"/>
      <c r="M28" s="3"/>
      <c r="N28" s="3"/>
      <c r="O28" s="3"/>
      <c r="P28" s="3"/>
      <c r="Q28" s="3"/>
      <c r="R28" s="3"/>
      <c r="S28" s="3"/>
      <c r="T28" s="3" t="s">
        <v>2687</v>
      </c>
      <c r="U28" s="3"/>
      <c r="V28" s="3"/>
      <c r="W28" s="3"/>
      <c r="X28" s="3"/>
      <c r="Y28" s="3"/>
      <c r="Z28" s="3"/>
      <c r="AA28" s="3"/>
      <c r="AB28" s="3"/>
      <c r="AC28" s="3"/>
      <c r="AD28" s="3"/>
      <c r="AE28" s="3"/>
      <c r="AF28" s="3"/>
      <c r="AG28" s="3"/>
      <c r="AH28" s="3"/>
      <c r="AI28" s="3"/>
      <c r="AJ28" s="3"/>
      <c r="AK28" s="3"/>
      <c r="AL28" s="3"/>
      <c r="AM28" s="3" t="s">
        <v>2688</v>
      </c>
      <c r="AN28" s="3"/>
      <c r="AO28" s="3"/>
      <c r="AP28" s="3"/>
      <c r="AQ28" s="3"/>
      <c r="AR28" s="3"/>
      <c r="AS28" s="3">
        <v>2017</v>
      </c>
      <c r="AT28" s="3">
        <v>16</v>
      </c>
      <c r="AU28" s="3">
        <v>4</v>
      </c>
      <c r="AV28" s="3"/>
      <c r="AW28" s="3"/>
      <c r="AX28" s="3"/>
      <c r="AY28" s="3"/>
      <c r="AZ28" s="3">
        <v>740</v>
      </c>
      <c r="BA28" s="3">
        <v>760</v>
      </c>
      <c r="BB28" s="3"/>
      <c r="BC28" s="3"/>
      <c r="BD28" s="3"/>
      <c r="BE28" s="3"/>
      <c r="BF28" s="3"/>
      <c r="BG28" s="3"/>
      <c r="BH28" s="3"/>
      <c r="BI28" s="3"/>
      <c r="BJ28" s="3" t="s">
        <v>2689</v>
      </c>
      <c r="BK28" s="3"/>
      <c r="BL28" s="3"/>
      <c r="BM28" s="3"/>
      <c r="BN28" s="3"/>
      <c r="BO28" s="3"/>
      <c r="BP28" s="3"/>
      <c r="BQ28" s="3"/>
      <c r="BR28" s="3"/>
      <c r="BS28" s="3"/>
      <c r="BT28" s="3"/>
      <c r="BU28" s="1" t="s">
        <v>7193</v>
      </c>
      <c r="BV28" s="1" t="s">
        <v>7193</v>
      </c>
      <c r="BW28" s="1" t="s">
        <v>7193</v>
      </c>
    </row>
    <row r="29" spans="1:75" ht="12.75" customHeight="1">
      <c r="A29" s="6" t="s">
        <v>63</v>
      </c>
      <c r="B29" s="6" t="s">
        <v>4731</v>
      </c>
      <c r="C29" s="6"/>
      <c r="D29" s="6"/>
      <c r="E29" s="6"/>
      <c r="F29" s="6" t="s">
        <v>4732</v>
      </c>
      <c r="G29" s="6"/>
      <c r="H29" s="6"/>
      <c r="I29" s="6" t="s">
        <v>4733</v>
      </c>
      <c r="J29" s="6" t="s">
        <v>434</v>
      </c>
      <c r="K29" s="6"/>
      <c r="L29" s="6"/>
      <c r="M29" s="6"/>
      <c r="N29" s="6"/>
      <c r="O29" s="6"/>
      <c r="P29" s="6"/>
      <c r="Q29" s="6"/>
      <c r="R29" s="6"/>
      <c r="S29" s="6"/>
      <c r="T29" s="6" t="s">
        <v>4734</v>
      </c>
      <c r="U29" s="6"/>
      <c r="V29" s="6"/>
      <c r="W29" s="6"/>
      <c r="X29" s="6"/>
      <c r="Y29" s="6" t="s">
        <v>4735</v>
      </c>
      <c r="Z29" s="6" t="s">
        <v>4736</v>
      </c>
      <c r="AA29" s="6"/>
      <c r="AB29" s="6"/>
      <c r="AC29" s="6"/>
      <c r="AD29" s="6"/>
      <c r="AE29" s="6"/>
      <c r="AF29" s="6"/>
      <c r="AG29" s="6"/>
      <c r="AH29" s="6"/>
      <c r="AI29" s="6"/>
      <c r="AJ29" s="6"/>
      <c r="AK29" s="6"/>
      <c r="AL29" s="6"/>
      <c r="AM29" s="6" t="s">
        <v>436</v>
      </c>
      <c r="AN29" s="6" t="s">
        <v>568</v>
      </c>
      <c r="AO29" s="6"/>
      <c r="AP29" s="6"/>
      <c r="AQ29" s="6"/>
      <c r="AR29" s="6" t="s">
        <v>445</v>
      </c>
      <c r="AS29" s="6">
        <v>2021</v>
      </c>
      <c r="AT29" s="6">
        <v>134</v>
      </c>
      <c r="AU29" s="6"/>
      <c r="AV29" s="6"/>
      <c r="AW29" s="6"/>
      <c r="AX29" s="6"/>
      <c r="AY29" s="6"/>
      <c r="AZ29" s="6"/>
      <c r="BA29" s="6"/>
      <c r="BB29" s="6">
        <v>102529</v>
      </c>
      <c r="BC29" s="6" t="s">
        <v>4737</v>
      </c>
      <c r="BD29" s="9" t="str">
        <f>HYPERLINK("http://dx.doi.org/10.1016/j.apgeog.2021.102529","http://dx.doi.org/10.1016/j.apgeog.2021.102529")</f>
        <v>http://dx.doi.org/10.1016/j.apgeog.2021.102529</v>
      </c>
      <c r="BE29" s="6"/>
      <c r="BF29" s="6" t="s">
        <v>4738</v>
      </c>
      <c r="BG29" s="6"/>
      <c r="BH29" s="6"/>
      <c r="BI29" s="6"/>
      <c r="BJ29" s="6" t="s">
        <v>4739</v>
      </c>
      <c r="BK29" s="6"/>
      <c r="BL29" s="6"/>
      <c r="BM29" s="6"/>
      <c r="BN29" s="6"/>
      <c r="BO29" s="6"/>
      <c r="BP29" s="6"/>
      <c r="BQ29" s="6"/>
      <c r="BR29" s="6"/>
      <c r="BS29" s="6"/>
      <c r="BT29" s="6"/>
      <c r="BU29" s="8" t="s">
        <v>7210</v>
      </c>
      <c r="BV29" s="8" t="s">
        <v>7188</v>
      </c>
      <c r="BW29" s="8" t="s">
        <v>7189</v>
      </c>
    </row>
    <row r="30" spans="1:75" ht="12.75" customHeight="1">
      <c r="A30" s="6" t="s">
        <v>63</v>
      </c>
      <c r="B30" s="6" t="s">
        <v>1708</v>
      </c>
      <c r="C30" s="6"/>
      <c r="D30" s="6"/>
      <c r="E30" s="6"/>
      <c r="F30" s="6" t="s">
        <v>1709</v>
      </c>
      <c r="G30" s="6"/>
      <c r="H30" s="6"/>
      <c r="I30" s="6" t="s">
        <v>1710</v>
      </c>
      <c r="J30" s="6" t="s">
        <v>87</v>
      </c>
      <c r="K30" s="6"/>
      <c r="L30" s="6"/>
      <c r="M30" s="6"/>
      <c r="N30" s="6"/>
      <c r="O30" s="6"/>
      <c r="P30" s="6"/>
      <c r="Q30" s="6"/>
      <c r="R30" s="6"/>
      <c r="S30" s="6"/>
      <c r="T30" s="6" t="s">
        <v>1711</v>
      </c>
      <c r="U30" s="6"/>
      <c r="V30" s="6"/>
      <c r="W30" s="6"/>
      <c r="X30" s="6"/>
      <c r="Y30" s="6"/>
      <c r="Z30" s="6"/>
      <c r="AA30" s="6"/>
      <c r="AB30" s="6"/>
      <c r="AC30" s="6"/>
      <c r="AD30" s="6"/>
      <c r="AE30" s="6"/>
      <c r="AF30" s="6"/>
      <c r="AG30" s="6"/>
      <c r="AH30" s="6"/>
      <c r="AI30" s="6"/>
      <c r="AJ30" s="6"/>
      <c r="AK30" s="6"/>
      <c r="AL30" s="6"/>
      <c r="AM30" s="6" t="s">
        <v>91</v>
      </c>
      <c r="AN30" s="6" t="s">
        <v>113</v>
      </c>
      <c r="AO30" s="6"/>
      <c r="AP30" s="6"/>
      <c r="AQ30" s="6"/>
      <c r="AR30" s="6" t="s">
        <v>68</v>
      </c>
      <c r="AS30" s="6">
        <v>2015</v>
      </c>
      <c r="AT30" s="6">
        <v>52</v>
      </c>
      <c r="AU30" s="6">
        <v>5</v>
      </c>
      <c r="AV30" s="6"/>
      <c r="AW30" s="6"/>
      <c r="AX30" s="6"/>
      <c r="AY30" s="6"/>
      <c r="AZ30" s="6">
        <v>960</v>
      </c>
      <c r="BA30" s="6">
        <v>979</v>
      </c>
      <c r="BB30" s="6"/>
      <c r="BC30" s="6" t="s">
        <v>1712</v>
      </c>
      <c r="BD30" s="9" t="str">
        <f>HYPERLINK("http://dx.doi.org/10.1177/0042098014529340","http://dx.doi.org/10.1177/0042098014529340")</f>
        <v>http://dx.doi.org/10.1177/0042098014529340</v>
      </c>
      <c r="BE30" s="6"/>
      <c r="BF30" s="6"/>
      <c r="BG30" s="6"/>
      <c r="BH30" s="6"/>
      <c r="BI30" s="6"/>
      <c r="BJ30" s="6" t="s">
        <v>1713</v>
      </c>
      <c r="BK30" s="6"/>
      <c r="BL30" s="6"/>
      <c r="BM30" s="6"/>
      <c r="BN30" s="6"/>
      <c r="BO30" s="6"/>
      <c r="BP30" s="6"/>
      <c r="BQ30" s="6"/>
      <c r="BR30" s="6"/>
      <c r="BS30" s="6"/>
      <c r="BT30" s="6"/>
      <c r="BU30" s="8" t="s">
        <v>7191</v>
      </c>
      <c r="BV30" s="8" t="s">
        <v>7188</v>
      </c>
      <c r="BW30" s="8" t="s">
        <v>7189</v>
      </c>
    </row>
    <row r="31" spans="1:75" ht="12.75" customHeight="1">
      <c r="A31" s="6" t="s">
        <v>63</v>
      </c>
      <c r="B31" s="6" t="s">
        <v>431</v>
      </c>
      <c r="C31" s="6"/>
      <c r="D31" s="6"/>
      <c r="E31" s="6"/>
      <c r="F31" s="6" t="s">
        <v>432</v>
      </c>
      <c r="G31" s="6"/>
      <c r="H31" s="6"/>
      <c r="I31" s="6" t="s">
        <v>433</v>
      </c>
      <c r="J31" s="6" t="s">
        <v>434</v>
      </c>
      <c r="K31" s="6"/>
      <c r="L31" s="6"/>
      <c r="M31" s="6"/>
      <c r="N31" s="6"/>
      <c r="O31" s="6"/>
      <c r="P31" s="6"/>
      <c r="Q31" s="6"/>
      <c r="R31" s="6"/>
      <c r="S31" s="6"/>
      <c r="T31" s="6" t="s">
        <v>435</v>
      </c>
      <c r="U31" s="6"/>
      <c r="V31" s="6"/>
      <c r="W31" s="6"/>
      <c r="X31" s="6"/>
      <c r="Y31" s="6"/>
      <c r="Z31" s="6"/>
      <c r="AA31" s="6"/>
      <c r="AB31" s="6"/>
      <c r="AC31" s="6"/>
      <c r="AD31" s="6"/>
      <c r="AE31" s="6"/>
      <c r="AF31" s="6"/>
      <c r="AG31" s="6"/>
      <c r="AH31" s="6"/>
      <c r="AI31" s="6"/>
      <c r="AJ31" s="6"/>
      <c r="AK31" s="6"/>
      <c r="AL31" s="6"/>
      <c r="AM31" s="6" t="s">
        <v>436</v>
      </c>
      <c r="AN31" s="6"/>
      <c r="AO31" s="6"/>
      <c r="AP31" s="6"/>
      <c r="AQ31" s="6"/>
      <c r="AR31" s="6" t="s">
        <v>133</v>
      </c>
      <c r="AS31" s="6">
        <v>2010</v>
      </c>
      <c r="AT31" s="6">
        <v>30</v>
      </c>
      <c r="AU31" s="6">
        <v>1</v>
      </c>
      <c r="AV31" s="6"/>
      <c r="AW31" s="6"/>
      <c r="AX31" s="6"/>
      <c r="AY31" s="6"/>
      <c r="AZ31" s="6">
        <v>165</v>
      </c>
      <c r="BA31" s="6">
        <v>176</v>
      </c>
      <c r="BB31" s="6"/>
      <c r="BC31" s="6" t="s">
        <v>437</v>
      </c>
      <c r="BD31" s="9" t="str">
        <f>HYPERLINK("http://dx.doi.org/10.1016/j.apgeog.2009.05.004","http://dx.doi.org/10.1016/j.apgeog.2009.05.004")</f>
        <v>http://dx.doi.org/10.1016/j.apgeog.2009.05.004</v>
      </c>
      <c r="BE31" s="6"/>
      <c r="BF31" s="6"/>
      <c r="BG31" s="6"/>
      <c r="BH31" s="6"/>
      <c r="BI31" s="6"/>
      <c r="BJ31" s="6" t="s">
        <v>438</v>
      </c>
      <c r="BK31" s="6"/>
      <c r="BL31" s="6"/>
      <c r="BM31" s="6"/>
      <c r="BN31" s="6"/>
      <c r="BO31" s="6"/>
      <c r="BP31" s="6"/>
      <c r="BQ31" s="6"/>
      <c r="BR31" s="6"/>
      <c r="BS31" s="6"/>
      <c r="BT31" s="6"/>
      <c r="BU31" s="8" t="s">
        <v>7211</v>
      </c>
      <c r="BV31" s="8" t="s">
        <v>7188</v>
      </c>
      <c r="BW31" s="8" t="s">
        <v>7189</v>
      </c>
    </row>
    <row r="32" spans="1:75" ht="12.75" customHeight="1">
      <c r="A32" s="4" t="s">
        <v>63</v>
      </c>
      <c r="B32" s="4" t="s">
        <v>5988</v>
      </c>
      <c r="C32" s="4"/>
      <c r="D32" s="4"/>
      <c r="E32" s="4"/>
      <c r="F32" s="4" t="s">
        <v>5989</v>
      </c>
      <c r="G32" s="4"/>
      <c r="H32" s="4"/>
      <c r="I32" s="4" t="s">
        <v>5990</v>
      </c>
      <c r="J32" s="4" t="s">
        <v>5991</v>
      </c>
      <c r="K32" s="4"/>
      <c r="L32" s="4"/>
      <c r="M32" s="4"/>
      <c r="N32" s="4"/>
      <c r="O32" s="4"/>
      <c r="P32" s="4"/>
      <c r="Q32" s="4"/>
      <c r="R32" s="4"/>
      <c r="S32" s="4"/>
      <c r="T32" s="4" t="s">
        <v>5992</v>
      </c>
      <c r="U32" s="4"/>
      <c r="V32" s="4"/>
      <c r="W32" s="4"/>
      <c r="X32" s="4"/>
      <c r="Y32" s="4"/>
      <c r="Z32" s="4"/>
      <c r="AA32" s="4"/>
      <c r="AB32" s="4"/>
      <c r="AC32" s="4"/>
      <c r="AD32" s="4"/>
      <c r="AE32" s="4"/>
      <c r="AF32" s="4"/>
      <c r="AG32" s="4"/>
      <c r="AH32" s="4"/>
      <c r="AI32" s="4"/>
      <c r="AJ32" s="4"/>
      <c r="AK32" s="4"/>
      <c r="AL32" s="4"/>
      <c r="AM32" s="4" t="s">
        <v>5993</v>
      </c>
      <c r="AN32" s="4" t="s">
        <v>5994</v>
      </c>
      <c r="AO32" s="4"/>
      <c r="AP32" s="4"/>
      <c r="AQ32" s="4"/>
      <c r="AR32" s="4"/>
      <c r="AS32" s="4">
        <v>2023</v>
      </c>
      <c r="AT32" s="4">
        <v>38</v>
      </c>
      <c r="AU32" s="4">
        <v>3</v>
      </c>
      <c r="AV32" s="4"/>
      <c r="AW32" s="4"/>
      <c r="AX32" s="4"/>
      <c r="AY32" s="4"/>
      <c r="AZ32" s="4">
        <v>435</v>
      </c>
      <c r="BA32" s="4">
        <v>456</v>
      </c>
      <c r="BB32" s="4"/>
      <c r="BC32" s="4" t="s">
        <v>5995</v>
      </c>
      <c r="BD32" s="5" t="str">
        <f>HYPERLINK("http://dx.doi.org/10.1891/VV-2022-0007","http://dx.doi.org/10.1891/VV-2022-0007")</f>
        <v>http://dx.doi.org/10.1891/VV-2022-0007</v>
      </c>
      <c r="BE32" s="4"/>
      <c r="BF32" s="4"/>
      <c r="BG32" s="4"/>
      <c r="BH32" s="4"/>
      <c r="BI32" s="4">
        <v>37348956</v>
      </c>
      <c r="BJ32" s="4" t="s">
        <v>5996</v>
      </c>
      <c r="BK32" s="4"/>
      <c r="BL32" s="4"/>
      <c r="BM32" s="4"/>
      <c r="BN32" s="4"/>
      <c r="BO32" s="4"/>
      <c r="BP32" s="4"/>
      <c r="BQ32" s="4"/>
      <c r="BR32" s="4"/>
      <c r="BS32" s="4"/>
      <c r="BT32" s="4"/>
      <c r="BU32" s="12" t="s">
        <v>7193</v>
      </c>
      <c r="BV32" s="12" t="s">
        <v>7188</v>
      </c>
      <c r="BW32" s="12" t="s">
        <v>7189</v>
      </c>
    </row>
    <row r="33" spans="1:75" ht="12.75" customHeight="1">
      <c r="A33" s="3" t="s">
        <v>201</v>
      </c>
      <c r="B33" s="3" t="s">
        <v>2690</v>
      </c>
      <c r="C33" s="3"/>
      <c r="D33" s="3"/>
      <c r="E33" s="3" t="s">
        <v>2691</v>
      </c>
      <c r="F33" s="3" t="s">
        <v>2692</v>
      </c>
      <c r="G33" s="3"/>
      <c r="H33" s="3"/>
      <c r="I33" s="3" t="s">
        <v>2693</v>
      </c>
      <c r="J33" s="3" t="s">
        <v>2694</v>
      </c>
      <c r="K33" s="3" t="s">
        <v>2695</v>
      </c>
      <c r="L33" s="3"/>
      <c r="M33" s="3"/>
      <c r="N33" s="3" t="s">
        <v>2696</v>
      </c>
      <c r="O33" s="3" t="s">
        <v>2697</v>
      </c>
      <c r="P33" s="3" t="s">
        <v>2698</v>
      </c>
      <c r="Q33" s="3"/>
      <c r="R33" s="3"/>
      <c r="S33" s="3"/>
      <c r="T33" s="3" t="s">
        <v>2699</v>
      </c>
      <c r="U33" s="3"/>
      <c r="V33" s="3"/>
      <c r="W33" s="3"/>
      <c r="X33" s="3"/>
      <c r="Y33" s="3"/>
      <c r="Z33" s="3"/>
      <c r="AA33" s="3"/>
      <c r="AB33" s="3"/>
      <c r="AC33" s="3"/>
      <c r="AD33" s="3"/>
      <c r="AE33" s="3"/>
      <c r="AF33" s="3"/>
      <c r="AG33" s="3"/>
      <c r="AH33" s="3"/>
      <c r="AI33" s="3"/>
      <c r="AJ33" s="3"/>
      <c r="AK33" s="3"/>
      <c r="AL33" s="3"/>
      <c r="AM33" s="3" t="s">
        <v>2700</v>
      </c>
      <c r="AN33" s="3"/>
      <c r="AO33" s="3"/>
      <c r="AP33" s="3"/>
      <c r="AQ33" s="3"/>
      <c r="AR33" s="3"/>
      <c r="AS33" s="3">
        <v>2017</v>
      </c>
      <c r="AT33" s="3">
        <v>130</v>
      </c>
      <c r="AU33" s="3"/>
      <c r="AV33" s="3"/>
      <c r="AW33" s="3"/>
      <c r="AX33" s="3"/>
      <c r="AY33" s="3"/>
      <c r="AZ33" s="3">
        <v>258</v>
      </c>
      <c r="BA33" s="3">
        <v>258</v>
      </c>
      <c r="BB33" s="3"/>
      <c r="BC33" s="3"/>
      <c r="BD33" s="3"/>
      <c r="BE33" s="3"/>
      <c r="BF33" s="3"/>
      <c r="BG33" s="3"/>
      <c r="BH33" s="3"/>
      <c r="BI33" s="3"/>
      <c r="BJ33" s="3" t="s">
        <v>2701</v>
      </c>
      <c r="BK33" s="3"/>
      <c r="BL33" s="3"/>
      <c r="BM33" s="3"/>
      <c r="BN33" s="3"/>
      <c r="BO33" s="3"/>
      <c r="BP33" s="3"/>
      <c r="BQ33" s="3"/>
      <c r="BR33" s="3"/>
      <c r="BS33" s="3"/>
      <c r="BT33" s="3"/>
      <c r="BU33" s="1" t="s">
        <v>7212</v>
      </c>
      <c r="BV33" s="2" t="s">
        <v>7188</v>
      </c>
      <c r="BW33" s="2" t="s">
        <v>7189</v>
      </c>
    </row>
    <row r="34" spans="1:75" ht="12.75" customHeight="1">
      <c r="A34" s="3" t="s">
        <v>63</v>
      </c>
      <c r="B34" s="3" t="s">
        <v>3616</v>
      </c>
      <c r="C34" s="3"/>
      <c r="D34" s="3"/>
      <c r="E34" s="3"/>
      <c r="F34" s="3" t="s">
        <v>3617</v>
      </c>
      <c r="G34" s="3"/>
      <c r="H34" s="3"/>
      <c r="I34" s="3" t="s">
        <v>3618</v>
      </c>
      <c r="J34" s="3" t="s">
        <v>822</v>
      </c>
      <c r="K34" s="3"/>
      <c r="L34" s="3"/>
      <c r="M34" s="3"/>
      <c r="N34" s="3"/>
      <c r="O34" s="3"/>
      <c r="P34" s="3"/>
      <c r="Q34" s="3"/>
      <c r="R34" s="3"/>
      <c r="S34" s="3"/>
      <c r="T34" s="3" t="s">
        <v>3619</v>
      </c>
      <c r="U34" s="3"/>
      <c r="V34" s="3"/>
      <c r="W34" s="3"/>
      <c r="X34" s="3"/>
      <c r="Y34" s="3" t="s">
        <v>3620</v>
      </c>
      <c r="Z34" s="3" t="s">
        <v>3621</v>
      </c>
      <c r="AA34" s="3"/>
      <c r="AB34" s="3"/>
      <c r="AC34" s="3"/>
      <c r="AD34" s="3"/>
      <c r="AE34" s="3"/>
      <c r="AF34" s="3"/>
      <c r="AG34" s="3"/>
      <c r="AH34" s="3"/>
      <c r="AI34" s="3"/>
      <c r="AJ34" s="3"/>
      <c r="AK34" s="3"/>
      <c r="AL34" s="3"/>
      <c r="AM34" s="3" t="s">
        <v>824</v>
      </c>
      <c r="AN34" s="3" t="s">
        <v>825</v>
      </c>
      <c r="AO34" s="3"/>
      <c r="AP34" s="3"/>
      <c r="AQ34" s="3"/>
      <c r="AR34" s="3"/>
      <c r="AS34" s="3">
        <v>2019</v>
      </c>
      <c r="AT34" s="3">
        <v>22</v>
      </c>
      <c r="AU34" s="3">
        <v>1</v>
      </c>
      <c r="AV34" s="3"/>
      <c r="AW34" s="3"/>
      <c r="AX34" s="3"/>
      <c r="AY34" s="3"/>
      <c r="AZ34" s="3">
        <v>111</v>
      </c>
      <c r="BA34" s="3">
        <v>130</v>
      </c>
      <c r="BB34" s="3"/>
      <c r="BC34" s="3" t="s">
        <v>3622</v>
      </c>
      <c r="BD34" s="15" t="str">
        <f>HYPERLINK("http://dx.doi.org/10.1080/15528014.2018.1549467","http://dx.doi.org/10.1080/15528014.2018.1549467")</f>
        <v>http://dx.doi.org/10.1080/15528014.2018.1549467</v>
      </c>
      <c r="BE34" s="3"/>
      <c r="BF34" s="3"/>
      <c r="BG34" s="3"/>
      <c r="BH34" s="3"/>
      <c r="BI34" s="3"/>
      <c r="BJ34" s="3" t="s">
        <v>3623</v>
      </c>
      <c r="BK34" s="3"/>
      <c r="BL34" s="3"/>
      <c r="BM34" s="3"/>
      <c r="BN34" s="3"/>
      <c r="BO34" s="3"/>
      <c r="BP34" s="3"/>
      <c r="BQ34" s="3"/>
      <c r="BR34" s="3"/>
      <c r="BS34" s="3"/>
      <c r="BT34" s="3"/>
      <c r="BU34" s="2" t="s">
        <v>7201</v>
      </c>
      <c r="BV34" s="2" t="s">
        <v>7188</v>
      </c>
      <c r="BW34" s="2" t="s">
        <v>7189</v>
      </c>
    </row>
    <row r="35" spans="1:75" ht="12.75" customHeight="1">
      <c r="A35" s="6" t="s">
        <v>63</v>
      </c>
      <c r="B35" s="6" t="s">
        <v>182</v>
      </c>
      <c r="C35" s="6"/>
      <c r="D35" s="6"/>
      <c r="E35" s="6"/>
      <c r="F35" s="6" t="s">
        <v>182</v>
      </c>
      <c r="G35" s="6"/>
      <c r="H35" s="6"/>
      <c r="I35" s="6" t="s">
        <v>183</v>
      </c>
      <c r="J35" s="6" t="s">
        <v>184</v>
      </c>
      <c r="K35" s="6"/>
      <c r="L35" s="6"/>
      <c r="M35" s="6"/>
      <c r="N35" s="6"/>
      <c r="O35" s="6"/>
      <c r="P35" s="6"/>
      <c r="Q35" s="6"/>
      <c r="R35" s="6"/>
      <c r="S35" s="6"/>
      <c r="T35" s="6" t="s">
        <v>185</v>
      </c>
      <c r="U35" s="6"/>
      <c r="V35" s="6"/>
      <c r="W35" s="6"/>
      <c r="X35" s="6"/>
      <c r="Y35" s="6"/>
      <c r="Z35" s="6"/>
      <c r="AA35" s="6"/>
      <c r="AB35" s="6"/>
      <c r="AC35" s="6"/>
      <c r="AD35" s="6"/>
      <c r="AE35" s="6"/>
      <c r="AF35" s="6"/>
      <c r="AG35" s="6"/>
      <c r="AH35" s="6"/>
      <c r="AI35" s="6"/>
      <c r="AJ35" s="6"/>
      <c r="AK35" s="6"/>
      <c r="AL35" s="6"/>
      <c r="AM35" s="6" t="s">
        <v>186</v>
      </c>
      <c r="AN35" s="6"/>
      <c r="AO35" s="6"/>
      <c r="AP35" s="6"/>
      <c r="AQ35" s="6"/>
      <c r="AR35" s="6"/>
      <c r="AS35" s="6">
        <v>2006</v>
      </c>
      <c r="AT35" s="6" t="s">
        <v>187</v>
      </c>
      <c r="AU35" s="6">
        <v>2</v>
      </c>
      <c r="AV35" s="6"/>
      <c r="AW35" s="6"/>
      <c r="AX35" s="6"/>
      <c r="AY35" s="6"/>
      <c r="AZ35" s="6">
        <v>231</v>
      </c>
      <c r="BA35" s="6">
        <v>247</v>
      </c>
      <c r="BB35" s="6"/>
      <c r="BC35" s="6" t="s">
        <v>188</v>
      </c>
      <c r="BD35" s="9" t="str">
        <f>HYPERLINK("http://dx.doi.org/10.1111/j.0435-3684.2006.00217.x","http://dx.doi.org/10.1111/j.0435-3684.2006.00217.x")</f>
        <v>http://dx.doi.org/10.1111/j.0435-3684.2006.00217.x</v>
      </c>
      <c r="BE35" s="6"/>
      <c r="BF35" s="6"/>
      <c r="BG35" s="6"/>
      <c r="BH35" s="6"/>
      <c r="BI35" s="6"/>
      <c r="BJ35" s="6" t="s">
        <v>189</v>
      </c>
      <c r="BK35" s="6"/>
      <c r="BL35" s="6"/>
      <c r="BM35" s="6"/>
      <c r="BN35" s="6"/>
      <c r="BO35" s="6"/>
      <c r="BP35" s="6"/>
      <c r="BQ35" s="6"/>
      <c r="BR35" s="6"/>
      <c r="BS35" s="6"/>
      <c r="BT35" s="6"/>
      <c r="BU35" s="8" t="s">
        <v>7213</v>
      </c>
      <c r="BV35" s="8" t="s">
        <v>7214</v>
      </c>
      <c r="BW35" s="8" t="s">
        <v>7205</v>
      </c>
    </row>
    <row r="36" spans="1:75" ht="12.75" customHeight="1">
      <c r="A36" s="3" t="s">
        <v>63</v>
      </c>
      <c r="B36" s="3" t="s">
        <v>6597</v>
      </c>
      <c r="C36" s="3"/>
      <c r="D36" s="3"/>
      <c r="E36" s="3"/>
      <c r="F36" s="3" t="s">
        <v>6598</v>
      </c>
      <c r="G36" s="3"/>
      <c r="H36" s="3"/>
      <c r="I36" s="3" t="s">
        <v>6599</v>
      </c>
      <c r="J36" s="3" t="s">
        <v>6600</v>
      </c>
      <c r="K36" s="3"/>
      <c r="L36" s="3"/>
      <c r="M36" s="3"/>
      <c r="N36" s="3"/>
      <c r="O36" s="3"/>
      <c r="P36" s="3"/>
      <c r="Q36" s="3"/>
      <c r="R36" s="3"/>
      <c r="S36" s="3"/>
      <c r="T36" s="3" t="s">
        <v>6601</v>
      </c>
      <c r="U36" s="3"/>
      <c r="V36" s="3"/>
      <c r="W36" s="3"/>
      <c r="X36" s="3"/>
      <c r="Y36" s="3"/>
      <c r="Z36" s="3"/>
      <c r="AA36" s="3"/>
      <c r="AB36" s="3"/>
      <c r="AC36" s="3"/>
      <c r="AD36" s="3"/>
      <c r="AE36" s="3"/>
      <c r="AF36" s="3"/>
      <c r="AG36" s="3"/>
      <c r="AH36" s="3"/>
      <c r="AI36" s="3"/>
      <c r="AJ36" s="3"/>
      <c r="AK36" s="3"/>
      <c r="AL36" s="3"/>
      <c r="AM36" s="3" t="s">
        <v>6602</v>
      </c>
      <c r="AN36" s="3" t="s">
        <v>6603</v>
      </c>
      <c r="AO36" s="3"/>
      <c r="AP36" s="3"/>
      <c r="AQ36" s="3"/>
      <c r="AR36" s="3" t="s">
        <v>619</v>
      </c>
      <c r="AS36" s="3">
        <v>2024</v>
      </c>
      <c r="AT36" s="3">
        <v>45</v>
      </c>
      <c r="AU36" s="3">
        <v>4</v>
      </c>
      <c r="AV36" s="3"/>
      <c r="AW36" s="3"/>
      <c r="AX36" s="3"/>
      <c r="AY36" s="3"/>
      <c r="AZ36" s="3">
        <v>1009</v>
      </c>
      <c r="BA36" s="3">
        <v>1015</v>
      </c>
      <c r="BB36" s="3"/>
      <c r="BC36" s="3" t="s">
        <v>6604</v>
      </c>
      <c r="BD36" s="15" t="str">
        <f>HYPERLINK("http://dx.doi.org/10.1093/jbcr/irae058","http://dx.doi.org/10.1093/jbcr/irae058")</f>
        <v>http://dx.doi.org/10.1093/jbcr/irae058</v>
      </c>
      <c r="BE36" s="3"/>
      <c r="BF36" s="3" t="s">
        <v>6605</v>
      </c>
      <c r="BG36" s="3"/>
      <c r="BH36" s="3"/>
      <c r="BI36" s="3">
        <v>38630546</v>
      </c>
      <c r="BJ36" s="3" t="s">
        <v>6606</v>
      </c>
      <c r="BK36" s="3"/>
      <c r="BL36" s="3"/>
      <c r="BM36" s="3"/>
      <c r="BN36" s="3"/>
      <c r="BO36" s="3"/>
      <c r="BP36" s="3"/>
      <c r="BQ36" s="3"/>
      <c r="BR36" s="3"/>
      <c r="BS36" s="3"/>
      <c r="BT36" s="3"/>
      <c r="BU36" s="1" t="s">
        <v>7215</v>
      </c>
      <c r="BV36" s="2" t="s">
        <v>7188</v>
      </c>
      <c r="BW36" s="2" t="s">
        <v>7189</v>
      </c>
    </row>
    <row r="37" spans="1:75" ht="12.75" customHeight="1">
      <c r="A37" s="3" t="s">
        <v>63</v>
      </c>
      <c r="B37" s="3" t="s">
        <v>5355</v>
      </c>
      <c r="C37" s="3"/>
      <c r="D37" s="3"/>
      <c r="E37" s="3"/>
      <c r="F37" s="3" t="s">
        <v>5356</v>
      </c>
      <c r="G37" s="3"/>
      <c r="H37" s="3"/>
      <c r="I37" s="3" t="s">
        <v>5357</v>
      </c>
      <c r="J37" s="3" t="s">
        <v>1884</v>
      </c>
      <c r="K37" s="3"/>
      <c r="L37" s="3"/>
      <c r="M37" s="3"/>
      <c r="N37" s="3"/>
      <c r="O37" s="3"/>
      <c r="P37" s="3"/>
      <c r="Q37" s="3"/>
      <c r="R37" s="3"/>
      <c r="S37" s="3"/>
      <c r="T37" s="3" t="s">
        <v>5358</v>
      </c>
      <c r="U37" s="3"/>
      <c r="V37" s="3"/>
      <c r="W37" s="3"/>
      <c r="X37" s="3"/>
      <c r="Y37" s="3" t="s">
        <v>5359</v>
      </c>
      <c r="Z37" s="3" t="s">
        <v>5360</v>
      </c>
      <c r="AA37" s="3"/>
      <c r="AB37" s="3"/>
      <c r="AC37" s="3"/>
      <c r="AD37" s="3"/>
      <c r="AE37" s="3"/>
      <c r="AF37" s="3"/>
      <c r="AG37" s="3"/>
      <c r="AH37" s="3"/>
      <c r="AI37" s="3"/>
      <c r="AJ37" s="3"/>
      <c r="AK37" s="3"/>
      <c r="AL37" s="3"/>
      <c r="AM37" s="3" t="s">
        <v>1888</v>
      </c>
      <c r="AN37" s="3" t="s">
        <v>1889</v>
      </c>
      <c r="AO37" s="3"/>
      <c r="AP37" s="3"/>
      <c r="AQ37" s="3"/>
      <c r="AR37" s="3" t="s">
        <v>66</v>
      </c>
      <c r="AS37" s="3">
        <v>2022</v>
      </c>
      <c r="AT37" s="3">
        <v>14</v>
      </c>
      <c r="AU37" s="3">
        <v>3</v>
      </c>
      <c r="AV37" s="3"/>
      <c r="AW37" s="3"/>
      <c r="AX37" s="3"/>
      <c r="AY37" s="3"/>
      <c r="AZ37" s="3">
        <v>695</v>
      </c>
      <c r="BA37" s="3">
        <v>707</v>
      </c>
      <c r="BB37" s="3"/>
      <c r="BC37" s="3" t="s">
        <v>5361</v>
      </c>
      <c r="BD37" s="15" t="str">
        <f>HYPERLINK("http://dx.doi.org/10.1007/s12571-021-01237-w","http://dx.doi.org/10.1007/s12571-021-01237-w")</f>
        <v>http://dx.doi.org/10.1007/s12571-021-01237-w</v>
      </c>
      <c r="BE37" s="3"/>
      <c r="BF37" s="3" t="s">
        <v>5362</v>
      </c>
      <c r="BG37" s="3"/>
      <c r="BH37" s="3"/>
      <c r="BI37" s="3"/>
      <c r="BJ37" s="3" t="s">
        <v>5363</v>
      </c>
      <c r="BK37" s="3"/>
      <c r="BL37" s="3"/>
      <c r="BM37" s="3"/>
      <c r="BN37" s="3"/>
      <c r="BO37" s="3"/>
      <c r="BP37" s="3"/>
      <c r="BQ37" s="3"/>
      <c r="BR37" s="3"/>
      <c r="BS37" s="3"/>
      <c r="BT37" s="3"/>
      <c r="BU37" s="1" t="s">
        <v>7195</v>
      </c>
      <c r="BV37" s="2" t="s">
        <v>3516</v>
      </c>
      <c r="BW37" s="2" t="s">
        <v>7196</v>
      </c>
    </row>
    <row r="38" spans="1:75" ht="12.75" customHeight="1">
      <c r="A38" s="3" t="s">
        <v>63</v>
      </c>
      <c r="B38" s="3" t="s">
        <v>5364</v>
      </c>
      <c r="C38" s="3"/>
      <c r="D38" s="3"/>
      <c r="E38" s="3"/>
      <c r="F38" s="3" t="s">
        <v>5365</v>
      </c>
      <c r="G38" s="3"/>
      <c r="H38" s="3"/>
      <c r="I38" s="3" t="s">
        <v>5366</v>
      </c>
      <c r="J38" s="3" t="s">
        <v>1142</v>
      </c>
      <c r="K38" s="3"/>
      <c r="L38" s="3"/>
      <c r="M38" s="3"/>
      <c r="N38" s="3"/>
      <c r="O38" s="3"/>
      <c r="P38" s="3"/>
      <c r="Q38" s="3"/>
      <c r="R38" s="3"/>
      <c r="S38" s="3"/>
      <c r="T38" s="3" t="s">
        <v>5367</v>
      </c>
      <c r="U38" s="3"/>
      <c r="V38" s="3"/>
      <c r="W38" s="3"/>
      <c r="X38" s="3"/>
      <c r="Y38" s="3"/>
      <c r="Z38" s="3" t="s">
        <v>5368</v>
      </c>
      <c r="AA38" s="3"/>
      <c r="AB38" s="3"/>
      <c r="AC38" s="3"/>
      <c r="AD38" s="3"/>
      <c r="AE38" s="3"/>
      <c r="AF38" s="3"/>
      <c r="AG38" s="3"/>
      <c r="AH38" s="3"/>
      <c r="AI38" s="3"/>
      <c r="AJ38" s="3"/>
      <c r="AK38" s="3"/>
      <c r="AL38" s="3"/>
      <c r="AM38" s="3"/>
      <c r="AN38" s="3" t="s">
        <v>1144</v>
      </c>
      <c r="AO38" s="3"/>
      <c r="AP38" s="3"/>
      <c r="AQ38" s="3"/>
      <c r="AR38" s="3" t="s">
        <v>66</v>
      </c>
      <c r="AS38" s="3">
        <v>2022</v>
      </c>
      <c r="AT38" s="3">
        <v>19</v>
      </c>
      <c r="AU38" s="3">
        <v>11</v>
      </c>
      <c r="AV38" s="3"/>
      <c r="AW38" s="3"/>
      <c r="AX38" s="3"/>
      <c r="AY38" s="3"/>
      <c r="AZ38" s="3"/>
      <c r="BA38" s="3"/>
      <c r="BB38" s="3">
        <v>6393</v>
      </c>
      <c r="BC38" s="3" t="s">
        <v>5369</v>
      </c>
      <c r="BD38" s="15" t="str">
        <f>HYPERLINK("http://dx.doi.org/10.3390/ijerph19116393","http://dx.doi.org/10.3390/ijerph19116393")</f>
        <v>http://dx.doi.org/10.3390/ijerph19116393</v>
      </c>
      <c r="BE38" s="3"/>
      <c r="BF38" s="3"/>
      <c r="BG38" s="3"/>
      <c r="BH38" s="3"/>
      <c r="BI38" s="3">
        <v>35681977</v>
      </c>
      <c r="BJ38" s="3" t="s">
        <v>5370</v>
      </c>
      <c r="BK38" s="3"/>
      <c r="BL38" s="3"/>
      <c r="BM38" s="3"/>
      <c r="BN38" s="3"/>
      <c r="BO38" s="3"/>
      <c r="BP38" s="3"/>
      <c r="BQ38" s="3"/>
      <c r="BR38" s="3"/>
      <c r="BS38" s="3"/>
      <c r="BT38" s="3"/>
      <c r="BU38" s="1" t="s">
        <v>7216</v>
      </c>
      <c r="BV38" s="2" t="s">
        <v>7188</v>
      </c>
      <c r="BW38" s="2" t="s">
        <v>7189</v>
      </c>
    </row>
    <row r="39" spans="1:75" ht="12.75" customHeight="1">
      <c r="A39" s="3" t="s">
        <v>63</v>
      </c>
      <c r="B39" s="3" t="s">
        <v>4740</v>
      </c>
      <c r="C39" s="3"/>
      <c r="D39" s="3"/>
      <c r="E39" s="3"/>
      <c r="F39" s="3" t="s">
        <v>4741</v>
      </c>
      <c r="G39" s="3"/>
      <c r="H39" s="3"/>
      <c r="I39" s="3" t="s">
        <v>4742</v>
      </c>
      <c r="J39" s="3" t="s">
        <v>4743</v>
      </c>
      <c r="K39" s="3"/>
      <c r="L39" s="3"/>
      <c r="M39" s="3"/>
      <c r="N39" s="3"/>
      <c r="O39" s="3"/>
      <c r="P39" s="3"/>
      <c r="Q39" s="3"/>
      <c r="R39" s="3"/>
      <c r="S39" s="3"/>
      <c r="T39" s="3" t="s">
        <v>4744</v>
      </c>
      <c r="U39" s="3"/>
      <c r="V39" s="3"/>
      <c r="W39" s="3"/>
      <c r="X39" s="3"/>
      <c r="Y39" s="3"/>
      <c r="Z39" s="3"/>
      <c r="AA39" s="3"/>
      <c r="AB39" s="3"/>
      <c r="AC39" s="3"/>
      <c r="AD39" s="3"/>
      <c r="AE39" s="3"/>
      <c r="AF39" s="3"/>
      <c r="AG39" s="3"/>
      <c r="AH39" s="3"/>
      <c r="AI39" s="3"/>
      <c r="AJ39" s="3"/>
      <c r="AK39" s="3"/>
      <c r="AL39" s="3"/>
      <c r="AM39" s="3" t="s">
        <v>4745</v>
      </c>
      <c r="AN39" s="3" t="s">
        <v>4746</v>
      </c>
      <c r="AO39" s="3"/>
      <c r="AP39" s="3"/>
      <c r="AQ39" s="3"/>
      <c r="AR39" s="3" t="s">
        <v>4540</v>
      </c>
      <c r="AS39" s="3">
        <v>2021</v>
      </c>
      <c r="AT39" s="3">
        <v>55</v>
      </c>
      <c r="AU39" s="3">
        <v>3</v>
      </c>
      <c r="AV39" s="3"/>
      <c r="AW39" s="3"/>
      <c r="AX39" s="3"/>
      <c r="AY39" s="3"/>
      <c r="AZ39" s="3">
        <v>697</v>
      </c>
      <c r="BA39" s="3">
        <v>716</v>
      </c>
      <c r="BB39" s="3"/>
      <c r="BC39" s="3" t="s">
        <v>4747</v>
      </c>
      <c r="BD39" s="15" t="str">
        <f>HYPERLINK("http://dx.doi.org/10.1080/00213624.2021.1945888","http://dx.doi.org/10.1080/00213624.2021.1945888")</f>
        <v>http://dx.doi.org/10.1080/00213624.2021.1945888</v>
      </c>
      <c r="BE39" s="3"/>
      <c r="BF39" s="3"/>
      <c r="BG39" s="3"/>
      <c r="BH39" s="3"/>
      <c r="BI39" s="3"/>
      <c r="BJ39" s="3" t="s">
        <v>4748</v>
      </c>
      <c r="BK39" s="3"/>
      <c r="BL39" s="3"/>
      <c r="BM39" s="3"/>
      <c r="BN39" s="3"/>
      <c r="BO39" s="3"/>
      <c r="BP39" s="3"/>
      <c r="BQ39" s="3"/>
      <c r="BR39" s="3"/>
      <c r="BS39" s="3"/>
      <c r="BT39" s="3"/>
      <c r="BU39" s="2" t="s">
        <v>7217</v>
      </c>
      <c r="BV39" s="2" t="s">
        <v>7188</v>
      </c>
      <c r="BW39" s="2" t="s">
        <v>7189</v>
      </c>
    </row>
    <row r="40" spans="1:75" ht="12.75" customHeight="1">
      <c r="A40" s="3" t="s">
        <v>63</v>
      </c>
      <c r="B40" s="3" t="s">
        <v>5997</v>
      </c>
      <c r="C40" s="3"/>
      <c r="D40" s="3"/>
      <c r="E40" s="3"/>
      <c r="F40" s="3" t="s">
        <v>5998</v>
      </c>
      <c r="G40" s="3"/>
      <c r="H40" s="3"/>
      <c r="I40" s="3" t="s">
        <v>5999</v>
      </c>
      <c r="J40" s="3" t="s">
        <v>6000</v>
      </c>
      <c r="K40" s="3"/>
      <c r="L40" s="3"/>
      <c r="M40" s="3"/>
      <c r="N40" s="3"/>
      <c r="O40" s="3"/>
      <c r="P40" s="3"/>
      <c r="Q40" s="3"/>
      <c r="R40" s="3"/>
      <c r="S40" s="3"/>
      <c r="T40" s="3" t="s">
        <v>6001</v>
      </c>
      <c r="U40" s="3"/>
      <c r="V40" s="3"/>
      <c r="W40" s="3"/>
      <c r="X40" s="3"/>
      <c r="Y40" s="3"/>
      <c r="Z40" s="3" t="s">
        <v>6002</v>
      </c>
      <c r="AA40" s="3"/>
      <c r="AB40" s="3"/>
      <c r="AC40" s="3"/>
      <c r="AD40" s="3"/>
      <c r="AE40" s="3"/>
      <c r="AF40" s="3"/>
      <c r="AG40" s="3"/>
      <c r="AH40" s="3"/>
      <c r="AI40" s="3"/>
      <c r="AJ40" s="3"/>
      <c r="AK40" s="3"/>
      <c r="AL40" s="3"/>
      <c r="AM40" s="3" t="s">
        <v>6003</v>
      </c>
      <c r="AN40" s="3"/>
      <c r="AO40" s="3"/>
      <c r="AP40" s="3"/>
      <c r="AQ40" s="3"/>
      <c r="AR40" s="3" t="s">
        <v>6004</v>
      </c>
      <c r="AS40" s="3">
        <v>2023</v>
      </c>
      <c r="AT40" s="3">
        <v>8</v>
      </c>
      <c r="AU40" s="3">
        <v>6</v>
      </c>
      <c r="AV40" s="3"/>
      <c r="AW40" s="3"/>
      <c r="AX40" s="3"/>
      <c r="AY40" s="3"/>
      <c r="AZ40" s="3"/>
      <c r="BA40" s="3"/>
      <c r="BB40" s="3" t="s">
        <v>6005</v>
      </c>
      <c r="BC40" s="3" t="s">
        <v>6006</v>
      </c>
      <c r="BD40" s="15" t="str">
        <f>HYPERLINK("http://dx.doi.org/10.1128/msystems.00717-23","http://dx.doi.org/10.1128/msystems.00717-23")</f>
        <v>http://dx.doi.org/10.1128/msystems.00717-23</v>
      </c>
      <c r="BE40" s="3"/>
      <c r="BF40" s="3"/>
      <c r="BG40" s="3"/>
      <c r="BH40" s="3"/>
      <c r="BI40" s="3">
        <v>37874170</v>
      </c>
      <c r="BJ40" s="3" t="s">
        <v>6007</v>
      </c>
      <c r="BK40" s="3"/>
      <c r="BL40" s="3"/>
      <c r="BM40" s="3"/>
      <c r="BN40" s="3"/>
      <c r="BO40" s="3"/>
      <c r="BP40" s="3"/>
      <c r="BQ40" s="3"/>
      <c r="BR40" s="3"/>
      <c r="BS40" s="3"/>
      <c r="BT40" s="3"/>
      <c r="BU40" s="2" t="s">
        <v>7201</v>
      </c>
      <c r="BV40" s="2" t="s">
        <v>7188</v>
      </c>
      <c r="BW40" s="2" t="s">
        <v>7189</v>
      </c>
    </row>
    <row r="41" spans="1:75" ht="12.75" customHeight="1">
      <c r="A41" s="6" t="s">
        <v>63</v>
      </c>
      <c r="B41" s="6" t="s">
        <v>4749</v>
      </c>
      <c r="C41" s="6"/>
      <c r="D41" s="6"/>
      <c r="E41" s="6"/>
      <c r="F41" s="6" t="s">
        <v>4750</v>
      </c>
      <c r="G41" s="6"/>
      <c r="H41" s="6"/>
      <c r="I41" s="6" t="s">
        <v>4751</v>
      </c>
      <c r="J41" s="6" t="s">
        <v>3721</v>
      </c>
      <c r="K41" s="6"/>
      <c r="L41" s="6"/>
      <c r="M41" s="6"/>
      <c r="N41" s="6"/>
      <c r="O41" s="6"/>
      <c r="P41" s="6"/>
      <c r="Q41" s="6"/>
      <c r="R41" s="6"/>
      <c r="S41" s="6"/>
      <c r="T41" s="6" t="s">
        <v>4752</v>
      </c>
      <c r="U41" s="6"/>
      <c r="V41" s="6"/>
      <c r="W41" s="6"/>
      <c r="X41" s="6"/>
      <c r="Y41" s="6" t="s">
        <v>4753</v>
      </c>
      <c r="Z41" s="6" t="s">
        <v>4754</v>
      </c>
      <c r="AA41" s="6"/>
      <c r="AB41" s="6"/>
      <c r="AC41" s="6"/>
      <c r="AD41" s="6"/>
      <c r="AE41" s="6"/>
      <c r="AF41" s="6"/>
      <c r="AG41" s="6"/>
      <c r="AH41" s="6"/>
      <c r="AI41" s="6"/>
      <c r="AJ41" s="6"/>
      <c r="AK41" s="6"/>
      <c r="AL41" s="6"/>
      <c r="AM41" s="6"/>
      <c r="AN41" s="6" t="s">
        <v>3723</v>
      </c>
      <c r="AO41" s="6"/>
      <c r="AP41" s="6"/>
      <c r="AQ41" s="6"/>
      <c r="AR41" s="6" t="s">
        <v>64</v>
      </c>
      <c r="AS41" s="6">
        <v>2021</v>
      </c>
      <c r="AT41" s="6">
        <v>13</v>
      </c>
      <c r="AU41" s="6">
        <v>11</v>
      </c>
      <c r="AV41" s="6"/>
      <c r="AW41" s="6"/>
      <c r="AX41" s="6"/>
      <c r="AY41" s="6"/>
      <c r="AZ41" s="6"/>
      <c r="BA41" s="6"/>
      <c r="BB41" s="6">
        <v>3996</v>
      </c>
      <c r="BC41" s="6" t="s">
        <v>4755</v>
      </c>
      <c r="BD41" s="9" t="str">
        <f>HYPERLINK("http://dx.doi.org/10.3390/nu13113996","http://dx.doi.org/10.3390/nu13113996")</f>
        <v>http://dx.doi.org/10.3390/nu13113996</v>
      </c>
      <c r="BE41" s="6"/>
      <c r="BF41" s="6"/>
      <c r="BG41" s="6"/>
      <c r="BH41" s="6"/>
      <c r="BI41" s="6">
        <v>34836250</v>
      </c>
      <c r="BJ41" s="6" t="s">
        <v>4756</v>
      </c>
      <c r="BK41" s="6"/>
      <c r="BL41" s="6"/>
      <c r="BM41" s="6"/>
      <c r="BN41" s="6"/>
      <c r="BO41" s="6"/>
      <c r="BP41" s="6"/>
      <c r="BQ41" s="6"/>
      <c r="BR41" s="6"/>
      <c r="BS41" s="6"/>
      <c r="BT41" s="6"/>
      <c r="BU41" s="8" t="s">
        <v>7199</v>
      </c>
      <c r="BV41" s="8" t="s">
        <v>7188</v>
      </c>
      <c r="BW41" s="8" t="s">
        <v>7189</v>
      </c>
    </row>
    <row r="42" spans="1:75" ht="12.75" customHeight="1">
      <c r="A42" s="3" t="s">
        <v>63</v>
      </c>
      <c r="B42" s="3" t="s">
        <v>2702</v>
      </c>
      <c r="C42" s="3"/>
      <c r="D42" s="3"/>
      <c r="E42" s="3"/>
      <c r="F42" s="3" t="s">
        <v>2703</v>
      </c>
      <c r="G42" s="3"/>
      <c r="H42" s="3"/>
      <c r="I42" s="3" t="s">
        <v>2704</v>
      </c>
      <c r="J42" s="3" t="s">
        <v>1004</v>
      </c>
      <c r="K42" s="3"/>
      <c r="L42" s="3"/>
      <c r="M42" s="3"/>
      <c r="N42" s="3"/>
      <c r="O42" s="3"/>
      <c r="P42" s="3"/>
      <c r="Q42" s="3"/>
      <c r="R42" s="3"/>
      <c r="S42" s="3"/>
      <c r="T42" s="3" t="s">
        <v>2705</v>
      </c>
      <c r="U42" s="3"/>
      <c r="V42" s="3"/>
      <c r="W42" s="3"/>
      <c r="X42" s="3"/>
      <c r="Y42" s="3"/>
      <c r="Z42" s="3" t="s">
        <v>2706</v>
      </c>
      <c r="AA42" s="3"/>
      <c r="AB42" s="3"/>
      <c r="AC42" s="3"/>
      <c r="AD42" s="3"/>
      <c r="AE42" s="3"/>
      <c r="AF42" s="3"/>
      <c r="AG42" s="3"/>
      <c r="AH42" s="3"/>
      <c r="AI42" s="3"/>
      <c r="AJ42" s="3"/>
      <c r="AK42" s="3"/>
      <c r="AL42" s="3"/>
      <c r="AM42" s="3" t="s">
        <v>1006</v>
      </c>
      <c r="AN42" s="3" t="s">
        <v>1007</v>
      </c>
      <c r="AO42" s="3"/>
      <c r="AP42" s="3"/>
      <c r="AQ42" s="3"/>
      <c r="AR42" s="3" t="s">
        <v>92</v>
      </c>
      <c r="AS42" s="3">
        <v>2017</v>
      </c>
      <c r="AT42" s="3">
        <v>20</v>
      </c>
      <c r="AU42" s="3">
        <v>14</v>
      </c>
      <c r="AV42" s="3"/>
      <c r="AW42" s="3"/>
      <c r="AX42" s="3"/>
      <c r="AY42" s="3"/>
      <c r="AZ42" s="3">
        <v>2598</v>
      </c>
      <c r="BA42" s="3">
        <v>2607</v>
      </c>
      <c r="BB42" s="3"/>
      <c r="BC42" s="3" t="s">
        <v>2707</v>
      </c>
      <c r="BD42" s="15" t="str">
        <f>HYPERLINK("http://dx.doi.org/10.1017/S1368980016002123","http://dx.doi.org/10.1017/S1368980016002123")</f>
        <v>http://dx.doi.org/10.1017/S1368980016002123</v>
      </c>
      <c r="BE42" s="3"/>
      <c r="BF42" s="3"/>
      <c r="BG42" s="3"/>
      <c r="BH42" s="3"/>
      <c r="BI42" s="3">
        <v>27652511</v>
      </c>
      <c r="BJ42" s="3" t="s">
        <v>2708</v>
      </c>
      <c r="BK42" s="3"/>
      <c r="BL42" s="3"/>
      <c r="BM42" s="3"/>
      <c r="BN42" s="3"/>
      <c r="BO42" s="3"/>
      <c r="BP42" s="3"/>
      <c r="BQ42" s="3"/>
      <c r="BR42" s="3"/>
      <c r="BS42" s="3"/>
      <c r="BT42" s="3"/>
      <c r="BU42" s="1" t="s">
        <v>7216</v>
      </c>
      <c r="BV42" s="2" t="s">
        <v>7188</v>
      </c>
      <c r="BW42" s="2" t="s">
        <v>7189</v>
      </c>
    </row>
    <row r="43" spans="1:75" ht="12.75" customHeight="1">
      <c r="A43" s="6" t="s">
        <v>63</v>
      </c>
      <c r="B43" s="6" t="s">
        <v>4134</v>
      </c>
      <c r="C43" s="6"/>
      <c r="D43" s="6"/>
      <c r="E43" s="6"/>
      <c r="F43" s="6" t="s">
        <v>4135</v>
      </c>
      <c r="G43" s="6"/>
      <c r="H43" s="6"/>
      <c r="I43" s="6" t="s">
        <v>4136</v>
      </c>
      <c r="J43" s="6" t="s">
        <v>1728</v>
      </c>
      <c r="K43" s="6"/>
      <c r="L43" s="6"/>
      <c r="M43" s="6"/>
      <c r="N43" s="6"/>
      <c r="O43" s="6"/>
      <c r="P43" s="6"/>
      <c r="Q43" s="6"/>
      <c r="R43" s="6"/>
      <c r="S43" s="6"/>
      <c r="T43" s="6" t="s">
        <v>4137</v>
      </c>
      <c r="U43" s="6"/>
      <c r="V43" s="6"/>
      <c r="W43" s="6"/>
      <c r="X43" s="6"/>
      <c r="Y43" s="6" t="s">
        <v>1371</v>
      </c>
      <c r="Z43" s="6" t="s">
        <v>4138</v>
      </c>
      <c r="AA43" s="6"/>
      <c r="AB43" s="6"/>
      <c r="AC43" s="6"/>
      <c r="AD43" s="6"/>
      <c r="AE43" s="6"/>
      <c r="AF43" s="6"/>
      <c r="AG43" s="6"/>
      <c r="AH43" s="6"/>
      <c r="AI43" s="6"/>
      <c r="AJ43" s="6"/>
      <c r="AK43" s="6"/>
      <c r="AL43" s="6"/>
      <c r="AM43" s="6" t="s">
        <v>984</v>
      </c>
      <c r="AN43" s="6" t="s">
        <v>985</v>
      </c>
      <c r="AO43" s="6"/>
      <c r="AP43" s="6"/>
      <c r="AQ43" s="6"/>
      <c r="AR43" s="6" t="s">
        <v>254</v>
      </c>
      <c r="AS43" s="6">
        <v>2020</v>
      </c>
      <c r="AT43" s="6">
        <v>64</v>
      </c>
      <c r="AU43" s="6">
        <v>1</v>
      </c>
      <c r="AV43" s="6"/>
      <c r="AW43" s="6"/>
      <c r="AX43" s="6"/>
      <c r="AY43" s="6"/>
      <c r="AZ43" s="6">
        <v>135</v>
      </c>
      <c r="BA43" s="6">
        <v>154</v>
      </c>
      <c r="BB43" s="6"/>
      <c r="BC43" s="6" t="s">
        <v>4139</v>
      </c>
      <c r="BD43" s="9" t="str">
        <f>HYPERLINK("http://dx.doi.org/10.1111/cag.12570","http://dx.doi.org/10.1111/cag.12570")</f>
        <v>http://dx.doi.org/10.1111/cag.12570</v>
      </c>
      <c r="BE43" s="6"/>
      <c r="BF43" s="6" t="s">
        <v>4140</v>
      </c>
      <c r="BG43" s="6"/>
      <c r="BH43" s="6"/>
      <c r="BI43" s="6"/>
      <c r="BJ43" s="6" t="s">
        <v>4141</v>
      </c>
      <c r="BK43" s="6"/>
      <c r="BL43" s="6"/>
      <c r="BM43" s="6"/>
      <c r="BN43" s="6"/>
      <c r="BO43" s="6"/>
      <c r="BP43" s="6"/>
      <c r="BQ43" s="6"/>
      <c r="BR43" s="6"/>
      <c r="BS43" s="6"/>
      <c r="BT43" s="6"/>
      <c r="BU43" s="8" t="s">
        <v>7218</v>
      </c>
      <c r="BV43" s="8" t="s">
        <v>2039</v>
      </c>
      <c r="BW43" s="8" t="s">
        <v>7189</v>
      </c>
    </row>
    <row r="44" spans="1:75" ht="12.75" customHeight="1">
      <c r="A44" s="6" t="s">
        <v>63</v>
      </c>
      <c r="B44" s="6" t="s">
        <v>1350</v>
      </c>
      <c r="C44" s="6"/>
      <c r="D44" s="6"/>
      <c r="E44" s="6"/>
      <c r="F44" s="6" t="s">
        <v>1351</v>
      </c>
      <c r="G44" s="6"/>
      <c r="H44" s="6"/>
      <c r="I44" s="6" t="s">
        <v>1352</v>
      </c>
      <c r="J44" s="6" t="s">
        <v>380</v>
      </c>
      <c r="K44" s="6"/>
      <c r="L44" s="6"/>
      <c r="M44" s="6"/>
      <c r="N44" s="6"/>
      <c r="O44" s="6"/>
      <c r="P44" s="6"/>
      <c r="Q44" s="6"/>
      <c r="R44" s="6"/>
      <c r="S44" s="6"/>
      <c r="T44" s="6" t="s">
        <v>1353</v>
      </c>
      <c r="U44" s="6"/>
      <c r="V44" s="6"/>
      <c r="W44" s="6"/>
      <c r="X44" s="6"/>
      <c r="Y44" s="6" t="s">
        <v>1354</v>
      </c>
      <c r="Z44" s="6" t="s">
        <v>1355</v>
      </c>
      <c r="AA44" s="6"/>
      <c r="AB44" s="6"/>
      <c r="AC44" s="6"/>
      <c r="AD44" s="6"/>
      <c r="AE44" s="6"/>
      <c r="AF44" s="6"/>
      <c r="AG44" s="6"/>
      <c r="AH44" s="6"/>
      <c r="AI44" s="6"/>
      <c r="AJ44" s="6"/>
      <c r="AK44" s="6"/>
      <c r="AL44" s="6"/>
      <c r="AM44" s="6" t="s">
        <v>382</v>
      </c>
      <c r="AN44" s="6" t="s">
        <v>383</v>
      </c>
      <c r="AO44" s="6"/>
      <c r="AP44" s="6"/>
      <c r="AQ44" s="6"/>
      <c r="AR44" s="6" t="s">
        <v>64</v>
      </c>
      <c r="AS44" s="6">
        <v>2014</v>
      </c>
      <c r="AT44" s="6">
        <v>30</v>
      </c>
      <c r="AU44" s="6"/>
      <c r="AV44" s="6"/>
      <c r="AW44" s="6"/>
      <c r="AX44" s="6"/>
      <c r="AY44" s="6"/>
      <c r="AZ44" s="6">
        <v>1</v>
      </c>
      <c r="BA44" s="6">
        <v>3</v>
      </c>
      <c r="BB44" s="6"/>
      <c r="BC44" s="6" t="s">
        <v>1356</v>
      </c>
      <c r="BD44" s="9" t="str">
        <f t="shared" ref="BD44:BD45" si="0">HYPERLINK("http://dx.doi.org/10.1016/j.healthplace.2014.07.011","http://dx.doi.org/10.1016/j.healthplace.2014.07.011")</f>
        <v>http://dx.doi.org/10.1016/j.healthplace.2014.07.011</v>
      </c>
      <c r="BE44" s="6"/>
      <c r="BF44" s="6"/>
      <c r="BG44" s="6"/>
      <c r="BH44" s="6"/>
      <c r="BI44" s="6">
        <v>25145664</v>
      </c>
      <c r="BJ44" s="6" t="s">
        <v>1357</v>
      </c>
      <c r="BK44" s="6"/>
      <c r="BL44" s="6"/>
      <c r="BM44" s="6"/>
      <c r="BN44" s="6"/>
      <c r="BO44" s="6"/>
      <c r="BP44" s="6"/>
      <c r="BQ44" s="6"/>
      <c r="BR44" s="6"/>
      <c r="BS44" s="6"/>
      <c r="BT44" s="6"/>
      <c r="BU44" s="8" t="s">
        <v>7209</v>
      </c>
      <c r="BV44" s="8" t="s">
        <v>7209</v>
      </c>
      <c r="BW44" s="8" t="s">
        <v>7209</v>
      </c>
    </row>
    <row r="45" spans="1:75" ht="12.75" customHeight="1">
      <c r="A45" s="6" t="s">
        <v>63</v>
      </c>
      <c r="B45" s="6" t="s">
        <v>1350</v>
      </c>
      <c r="C45" s="6"/>
      <c r="D45" s="6"/>
      <c r="E45" s="6"/>
      <c r="F45" s="6" t="s">
        <v>1351</v>
      </c>
      <c r="G45" s="6"/>
      <c r="H45" s="6"/>
      <c r="I45" s="6" t="s">
        <v>1352</v>
      </c>
      <c r="J45" s="6" t="s">
        <v>380</v>
      </c>
      <c r="K45" s="6"/>
      <c r="L45" s="6"/>
      <c r="M45" s="6"/>
      <c r="N45" s="6"/>
      <c r="O45" s="6"/>
      <c r="P45" s="6"/>
      <c r="Q45" s="6"/>
      <c r="R45" s="6"/>
      <c r="S45" s="6"/>
      <c r="T45" s="6" t="s">
        <v>1353</v>
      </c>
      <c r="U45" s="6"/>
      <c r="V45" s="6"/>
      <c r="W45" s="6"/>
      <c r="X45" s="6"/>
      <c r="Y45" s="6" t="s">
        <v>1354</v>
      </c>
      <c r="Z45" s="6" t="s">
        <v>1355</v>
      </c>
      <c r="AA45" s="6"/>
      <c r="AB45" s="6"/>
      <c r="AC45" s="6"/>
      <c r="AD45" s="6"/>
      <c r="AE45" s="6"/>
      <c r="AF45" s="6"/>
      <c r="AG45" s="6"/>
      <c r="AH45" s="6"/>
      <c r="AI45" s="6"/>
      <c r="AJ45" s="6"/>
      <c r="AK45" s="6"/>
      <c r="AL45" s="6"/>
      <c r="AM45" s="6" t="s">
        <v>382</v>
      </c>
      <c r="AN45" s="6" t="s">
        <v>383</v>
      </c>
      <c r="AO45" s="6"/>
      <c r="AP45" s="6"/>
      <c r="AQ45" s="6"/>
      <c r="AR45" s="6" t="s">
        <v>64</v>
      </c>
      <c r="AS45" s="6">
        <v>2014</v>
      </c>
      <c r="AT45" s="6">
        <v>30</v>
      </c>
      <c r="AU45" s="6"/>
      <c r="AV45" s="6"/>
      <c r="AW45" s="6"/>
      <c r="AX45" s="6"/>
      <c r="AY45" s="6"/>
      <c r="AZ45" s="6">
        <v>1</v>
      </c>
      <c r="BA45" s="6">
        <v>3</v>
      </c>
      <c r="BB45" s="6"/>
      <c r="BC45" s="6" t="s">
        <v>1356</v>
      </c>
      <c r="BD45" s="9" t="str">
        <f t="shared" si="0"/>
        <v>http://dx.doi.org/10.1016/j.healthplace.2014.07.011</v>
      </c>
      <c r="BE45" s="6"/>
      <c r="BF45" s="6"/>
      <c r="BG45" s="6"/>
      <c r="BH45" s="6"/>
      <c r="BI45" s="6">
        <v>25145664</v>
      </c>
      <c r="BJ45" s="6" t="s">
        <v>1357</v>
      </c>
      <c r="BK45" s="6"/>
      <c r="BL45" s="6"/>
      <c r="BM45" s="6"/>
      <c r="BN45" s="6"/>
      <c r="BO45" s="6"/>
      <c r="BP45" s="6"/>
      <c r="BQ45" s="6"/>
      <c r="BR45" s="6"/>
      <c r="BS45" s="6"/>
      <c r="BT45" s="6"/>
      <c r="BU45" s="8" t="s">
        <v>7209</v>
      </c>
      <c r="BV45" s="8" t="s">
        <v>7209</v>
      </c>
      <c r="BW45" s="8" t="s">
        <v>7209</v>
      </c>
    </row>
    <row r="46" spans="1:75" ht="12.75" customHeight="1">
      <c r="A46" s="6" t="s">
        <v>63</v>
      </c>
      <c r="B46" s="6" t="s">
        <v>3624</v>
      </c>
      <c r="C46" s="6"/>
      <c r="D46" s="6"/>
      <c r="E46" s="6"/>
      <c r="F46" s="6" t="s">
        <v>3625</v>
      </c>
      <c r="G46" s="6"/>
      <c r="H46" s="6"/>
      <c r="I46" s="6" t="s">
        <v>3626</v>
      </c>
      <c r="J46" s="6" t="s">
        <v>221</v>
      </c>
      <c r="K46" s="6"/>
      <c r="L46" s="6"/>
      <c r="M46" s="6"/>
      <c r="N46" s="6"/>
      <c r="O46" s="6"/>
      <c r="P46" s="6"/>
      <c r="Q46" s="6"/>
      <c r="R46" s="6"/>
      <c r="S46" s="6"/>
      <c r="T46" s="6" t="s">
        <v>3627</v>
      </c>
      <c r="U46" s="6"/>
      <c r="V46" s="6"/>
      <c r="W46" s="6"/>
      <c r="X46" s="6"/>
      <c r="Y46" s="6"/>
      <c r="Z46" s="6"/>
      <c r="AA46" s="6"/>
      <c r="AB46" s="6"/>
      <c r="AC46" s="6"/>
      <c r="AD46" s="6"/>
      <c r="AE46" s="6"/>
      <c r="AF46" s="6"/>
      <c r="AG46" s="6"/>
      <c r="AH46" s="6"/>
      <c r="AI46" s="6"/>
      <c r="AJ46" s="6"/>
      <c r="AK46" s="6"/>
      <c r="AL46" s="6"/>
      <c r="AM46" s="6" t="s">
        <v>223</v>
      </c>
      <c r="AN46" s="6" t="s">
        <v>224</v>
      </c>
      <c r="AO46" s="6"/>
      <c r="AP46" s="6"/>
      <c r="AQ46" s="6"/>
      <c r="AR46" s="6" t="s">
        <v>66</v>
      </c>
      <c r="AS46" s="6">
        <v>2019</v>
      </c>
      <c r="AT46" s="6">
        <v>36</v>
      </c>
      <c r="AU46" s="6">
        <v>2</v>
      </c>
      <c r="AV46" s="6"/>
      <c r="AW46" s="6"/>
      <c r="AX46" s="6"/>
      <c r="AY46" s="6"/>
      <c r="AZ46" s="6">
        <v>241</v>
      </c>
      <c r="BA46" s="6">
        <v>256</v>
      </c>
      <c r="BB46" s="6"/>
      <c r="BC46" s="6" t="s">
        <v>3628</v>
      </c>
      <c r="BD46" s="9" t="str">
        <f>HYPERLINK("http://dx.doi.org/10.1007/s10460-019-09914-5","http://dx.doi.org/10.1007/s10460-019-09914-5")</f>
        <v>http://dx.doi.org/10.1007/s10460-019-09914-5</v>
      </c>
      <c r="BE46" s="6"/>
      <c r="BF46" s="6"/>
      <c r="BG46" s="6"/>
      <c r="BH46" s="6"/>
      <c r="BI46" s="6"/>
      <c r="BJ46" s="6" t="s">
        <v>3629</v>
      </c>
      <c r="BK46" s="6"/>
      <c r="BL46" s="6"/>
      <c r="BM46" s="6"/>
      <c r="BN46" s="6"/>
      <c r="BO46" s="6"/>
      <c r="BP46" s="6"/>
      <c r="BQ46" s="6"/>
      <c r="BR46" s="6"/>
      <c r="BS46" s="6"/>
      <c r="BT46" s="6"/>
      <c r="BU46" s="8" t="s">
        <v>7219</v>
      </c>
      <c r="BV46" s="8" t="s">
        <v>7188</v>
      </c>
      <c r="BW46" s="8" t="s">
        <v>7189</v>
      </c>
    </row>
    <row r="47" spans="1:75" ht="12.75" customHeight="1">
      <c r="A47" s="6" t="s">
        <v>63</v>
      </c>
      <c r="B47" s="6" t="s">
        <v>5371</v>
      </c>
      <c r="C47" s="6"/>
      <c r="D47" s="6"/>
      <c r="E47" s="6"/>
      <c r="F47" s="6" t="s">
        <v>5372</v>
      </c>
      <c r="G47" s="6"/>
      <c r="H47" s="6"/>
      <c r="I47" s="6" t="s">
        <v>5373</v>
      </c>
      <c r="J47" s="6" t="s">
        <v>1142</v>
      </c>
      <c r="K47" s="6"/>
      <c r="L47" s="6"/>
      <c r="M47" s="6"/>
      <c r="N47" s="6"/>
      <c r="O47" s="6"/>
      <c r="P47" s="6"/>
      <c r="Q47" s="6"/>
      <c r="R47" s="6"/>
      <c r="S47" s="6"/>
      <c r="T47" s="6" t="s">
        <v>5374</v>
      </c>
      <c r="U47" s="6"/>
      <c r="V47" s="6"/>
      <c r="W47" s="6"/>
      <c r="X47" s="6"/>
      <c r="Y47" s="6" t="s">
        <v>5375</v>
      </c>
      <c r="Z47" s="6" t="s">
        <v>5376</v>
      </c>
      <c r="AA47" s="6"/>
      <c r="AB47" s="6"/>
      <c r="AC47" s="6"/>
      <c r="AD47" s="6"/>
      <c r="AE47" s="6"/>
      <c r="AF47" s="6"/>
      <c r="AG47" s="6"/>
      <c r="AH47" s="6"/>
      <c r="AI47" s="6"/>
      <c r="AJ47" s="6"/>
      <c r="AK47" s="6"/>
      <c r="AL47" s="6"/>
      <c r="AM47" s="6"/>
      <c r="AN47" s="6" t="s">
        <v>1144</v>
      </c>
      <c r="AO47" s="6"/>
      <c r="AP47" s="6"/>
      <c r="AQ47" s="6"/>
      <c r="AR47" s="6" t="s">
        <v>64</v>
      </c>
      <c r="AS47" s="6">
        <v>2022</v>
      </c>
      <c r="AT47" s="6">
        <v>19</v>
      </c>
      <c r="AU47" s="6">
        <v>21</v>
      </c>
      <c r="AV47" s="6"/>
      <c r="AW47" s="6"/>
      <c r="AX47" s="6"/>
      <c r="AY47" s="6"/>
      <c r="AZ47" s="6"/>
      <c r="BA47" s="6"/>
      <c r="BB47" s="6">
        <v>13854</v>
      </c>
      <c r="BC47" s="6" t="s">
        <v>5377</v>
      </c>
      <c r="BD47" s="9" t="str">
        <f>HYPERLINK("http://dx.doi.org/10.3390/ijerph192113854","http://dx.doi.org/10.3390/ijerph192113854")</f>
        <v>http://dx.doi.org/10.3390/ijerph192113854</v>
      </c>
      <c r="BE47" s="6"/>
      <c r="BF47" s="6"/>
      <c r="BG47" s="6"/>
      <c r="BH47" s="6"/>
      <c r="BI47" s="6">
        <v>36360732</v>
      </c>
      <c r="BJ47" s="6" t="s">
        <v>5378</v>
      </c>
      <c r="BK47" s="6"/>
      <c r="BL47" s="6"/>
      <c r="BM47" s="6"/>
      <c r="BN47" s="6"/>
      <c r="BO47" s="6"/>
      <c r="BP47" s="6"/>
      <c r="BQ47" s="6"/>
      <c r="BR47" s="6"/>
      <c r="BS47" s="6"/>
      <c r="BT47" s="6"/>
      <c r="BU47" s="8" t="s">
        <v>7220</v>
      </c>
      <c r="BV47" s="8" t="s">
        <v>5843</v>
      </c>
      <c r="BW47" s="8" t="s">
        <v>7205</v>
      </c>
    </row>
    <row r="48" spans="1:75" ht="12.75" customHeight="1">
      <c r="A48" s="3" t="s">
        <v>63</v>
      </c>
      <c r="B48" s="3" t="s">
        <v>4757</v>
      </c>
      <c r="C48" s="3"/>
      <c r="D48" s="3"/>
      <c r="E48" s="3"/>
      <c r="F48" s="3" t="s">
        <v>4758</v>
      </c>
      <c r="G48" s="3"/>
      <c r="H48" s="3"/>
      <c r="I48" s="3" t="s">
        <v>4759</v>
      </c>
      <c r="J48" s="3" t="s">
        <v>396</v>
      </c>
      <c r="K48" s="3"/>
      <c r="L48" s="3"/>
      <c r="M48" s="3"/>
      <c r="N48" s="3"/>
      <c r="O48" s="3"/>
      <c r="P48" s="3"/>
      <c r="Q48" s="3"/>
      <c r="R48" s="3"/>
      <c r="S48" s="3"/>
      <c r="T48" s="3" t="s">
        <v>4760</v>
      </c>
      <c r="U48" s="3"/>
      <c r="V48" s="3"/>
      <c r="W48" s="3"/>
      <c r="X48" s="3"/>
      <c r="Y48" s="3"/>
      <c r="Z48" s="3"/>
      <c r="AA48" s="3"/>
      <c r="AB48" s="3"/>
      <c r="AC48" s="3"/>
      <c r="AD48" s="3"/>
      <c r="AE48" s="3"/>
      <c r="AF48" s="3"/>
      <c r="AG48" s="3"/>
      <c r="AH48" s="3"/>
      <c r="AI48" s="3"/>
      <c r="AJ48" s="3"/>
      <c r="AK48" s="3"/>
      <c r="AL48" s="3"/>
      <c r="AM48" s="3" t="s">
        <v>398</v>
      </c>
      <c r="AN48" s="3" t="s">
        <v>399</v>
      </c>
      <c r="AO48" s="3"/>
      <c r="AP48" s="3"/>
      <c r="AQ48" s="3"/>
      <c r="AR48" s="3" t="s">
        <v>66</v>
      </c>
      <c r="AS48" s="3">
        <v>2021</v>
      </c>
      <c r="AT48" s="3">
        <v>53</v>
      </c>
      <c r="AU48" s="3">
        <v>6</v>
      </c>
      <c r="AV48" s="3"/>
      <c r="AW48" s="3"/>
      <c r="AX48" s="3"/>
      <c r="AY48" s="3"/>
      <c r="AZ48" s="3">
        <v>511</v>
      </c>
      <c r="BA48" s="3">
        <v>516</v>
      </c>
      <c r="BB48" s="3"/>
      <c r="BC48" s="3" t="s">
        <v>4761</v>
      </c>
      <c r="BD48" s="15" t="str">
        <f>HYPERLINK("http://dx.doi.org/10.1016/j.jneb.202012.002","http://dx.doi.org/10.1016/j.jneb.202012.002")</f>
        <v>http://dx.doi.org/10.1016/j.jneb.202012.002</v>
      </c>
      <c r="BE48" s="3"/>
      <c r="BF48" s="3"/>
      <c r="BG48" s="3"/>
      <c r="BH48" s="3"/>
      <c r="BI48" s="3">
        <v>33487567</v>
      </c>
      <c r="BJ48" s="3" t="s">
        <v>4762</v>
      </c>
      <c r="BK48" s="3"/>
      <c r="BL48" s="3"/>
      <c r="BM48" s="3"/>
      <c r="BN48" s="3"/>
      <c r="BO48" s="3"/>
      <c r="BP48" s="3"/>
      <c r="BQ48" s="3"/>
      <c r="BR48" s="3"/>
      <c r="BS48" s="3"/>
      <c r="BT48" s="3"/>
      <c r="BU48" s="1" t="s">
        <v>7221</v>
      </c>
      <c r="BV48" s="2" t="s">
        <v>7188</v>
      </c>
      <c r="BW48" s="2" t="s">
        <v>7189</v>
      </c>
    </row>
    <row r="49" spans="1:75" ht="12.75" customHeight="1">
      <c r="A49" s="3" t="s">
        <v>63</v>
      </c>
      <c r="B49" s="3" t="s">
        <v>5379</v>
      </c>
      <c r="C49" s="3"/>
      <c r="D49" s="3"/>
      <c r="E49" s="3"/>
      <c r="F49" s="3" t="s">
        <v>5380</v>
      </c>
      <c r="G49" s="3"/>
      <c r="H49" s="3"/>
      <c r="I49" s="3" t="s">
        <v>5381</v>
      </c>
      <c r="J49" s="3" t="s">
        <v>5382</v>
      </c>
      <c r="K49" s="3"/>
      <c r="L49" s="3"/>
      <c r="M49" s="3"/>
      <c r="N49" s="3"/>
      <c r="O49" s="3"/>
      <c r="P49" s="3"/>
      <c r="Q49" s="3"/>
      <c r="R49" s="3"/>
      <c r="S49" s="3"/>
      <c r="T49" s="3" t="s">
        <v>5383</v>
      </c>
      <c r="U49" s="3"/>
      <c r="V49" s="3"/>
      <c r="W49" s="3"/>
      <c r="X49" s="3"/>
      <c r="Y49" s="3"/>
      <c r="Z49" s="3" t="s">
        <v>5384</v>
      </c>
      <c r="AA49" s="3"/>
      <c r="AB49" s="3"/>
      <c r="AC49" s="3"/>
      <c r="AD49" s="3"/>
      <c r="AE49" s="3"/>
      <c r="AF49" s="3"/>
      <c r="AG49" s="3"/>
      <c r="AH49" s="3"/>
      <c r="AI49" s="3"/>
      <c r="AJ49" s="3"/>
      <c r="AK49" s="3"/>
      <c r="AL49" s="3"/>
      <c r="AM49" s="3" t="s">
        <v>5385</v>
      </c>
      <c r="AN49" s="3"/>
      <c r="AO49" s="3"/>
      <c r="AP49" s="3"/>
      <c r="AQ49" s="3"/>
      <c r="AR49" s="3" t="s">
        <v>173</v>
      </c>
      <c r="AS49" s="3">
        <v>2022</v>
      </c>
      <c r="AT49" s="3">
        <v>8</v>
      </c>
      <c r="AU49" s="3">
        <v>7</v>
      </c>
      <c r="AV49" s="3"/>
      <c r="AW49" s="3"/>
      <c r="AX49" s="3"/>
      <c r="AY49" s="3"/>
      <c r="AZ49" s="3"/>
      <c r="BA49" s="3"/>
      <c r="BB49" s="3" t="s">
        <v>5386</v>
      </c>
      <c r="BC49" s="3" t="s">
        <v>5387</v>
      </c>
      <c r="BD49" s="15" t="str">
        <f>HYPERLINK("http://dx.doi.org/10.2196/34285","http://dx.doi.org/10.2196/34285")</f>
        <v>http://dx.doi.org/10.2196/34285</v>
      </c>
      <c r="BE49" s="3"/>
      <c r="BF49" s="3"/>
      <c r="BG49" s="3"/>
      <c r="BH49" s="3"/>
      <c r="BI49" s="3">
        <v>35788108</v>
      </c>
      <c r="BJ49" s="3" t="s">
        <v>5388</v>
      </c>
      <c r="BK49" s="3"/>
      <c r="BL49" s="3"/>
      <c r="BM49" s="3"/>
      <c r="BN49" s="3"/>
      <c r="BO49" s="3"/>
      <c r="BP49" s="3"/>
      <c r="BQ49" s="3"/>
      <c r="BR49" s="3"/>
      <c r="BS49" s="3"/>
      <c r="BT49" s="3"/>
      <c r="BU49" s="2" t="s">
        <v>7201</v>
      </c>
      <c r="BV49" s="2" t="s">
        <v>7188</v>
      </c>
      <c r="BW49" s="2" t="s">
        <v>7189</v>
      </c>
    </row>
    <row r="50" spans="1:75" ht="12.75" customHeight="1">
      <c r="A50" s="6" t="s">
        <v>63</v>
      </c>
      <c r="B50" s="6" t="s">
        <v>2183</v>
      </c>
      <c r="C50" s="6"/>
      <c r="D50" s="6"/>
      <c r="E50" s="6"/>
      <c r="F50" s="6" t="s">
        <v>2184</v>
      </c>
      <c r="G50" s="6"/>
      <c r="H50" s="6"/>
      <c r="I50" s="6" t="s">
        <v>2185</v>
      </c>
      <c r="J50" s="6" t="s">
        <v>502</v>
      </c>
      <c r="K50" s="6"/>
      <c r="L50" s="6"/>
      <c r="M50" s="6"/>
      <c r="N50" s="6"/>
      <c r="O50" s="6"/>
      <c r="P50" s="6"/>
      <c r="Q50" s="6"/>
      <c r="R50" s="6"/>
      <c r="S50" s="6"/>
      <c r="T50" s="6" t="s">
        <v>2186</v>
      </c>
      <c r="U50" s="6"/>
      <c r="V50" s="6"/>
      <c r="W50" s="6"/>
      <c r="X50" s="6"/>
      <c r="Y50" s="6"/>
      <c r="Z50" s="6"/>
      <c r="AA50" s="6"/>
      <c r="AB50" s="6"/>
      <c r="AC50" s="6"/>
      <c r="AD50" s="6"/>
      <c r="AE50" s="6"/>
      <c r="AF50" s="6"/>
      <c r="AG50" s="6"/>
      <c r="AH50" s="6"/>
      <c r="AI50" s="6"/>
      <c r="AJ50" s="6"/>
      <c r="AK50" s="6"/>
      <c r="AL50" s="6"/>
      <c r="AM50" s="6" t="s">
        <v>506</v>
      </c>
      <c r="AN50" s="6" t="s">
        <v>507</v>
      </c>
      <c r="AO50" s="6"/>
      <c r="AP50" s="6"/>
      <c r="AQ50" s="6"/>
      <c r="AR50" s="6" t="s">
        <v>68</v>
      </c>
      <c r="AS50" s="6">
        <v>2016</v>
      </c>
      <c r="AT50" s="6">
        <v>93</v>
      </c>
      <c r="AU50" s="6">
        <v>2</v>
      </c>
      <c r="AV50" s="6"/>
      <c r="AW50" s="6"/>
      <c r="AX50" s="6"/>
      <c r="AY50" s="6"/>
      <c r="AZ50" s="6">
        <v>235</v>
      </c>
      <c r="BA50" s="6">
        <v>243</v>
      </c>
      <c r="BB50" s="6"/>
      <c r="BC50" s="6" t="s">
        <v>2187</v>
      </c>
      <c r="BD50" s="9" t="str">
        <f>HYPERLINK("http://dx.doi.org/10.1007/s11524-015-0024-7","http://dx.doi.org/10.1007/s11524-015-0024-7")</f>
        <v>http://dx.doi.org/10.1007/s11524-015-0024-7</v>
      </c>
      <c r="BE50" s="6"/>
      <c r="BF50" s="6"/>
      <c r="BG50" s="6"/>
      <c r="BH50" s="6"/>
      <c r="BI50" s="6">
        <v>27033184</v>
      </c>
      <c r="BJ50" s="6" t="s">
        <v>2188</v>
      </c>
      <c r="BK50" s="6"/>
      <c r="BL50" s="6"/>
      <c r="BM50" s="6"/>
      <c r="BN50" s="6"/>
      <c r="BO50" s="6"/>
      <c r="BP50" s="6"/>
      <c r="BQ50" s="6"/>
      <c r="BR50" s="6"/>
      <c r="BS50" s="6"/>
      <c r="BT50" s="6"/>
      <c r="BU50" s="8" t="s">
        <v>7222</v>
      </c>
      <c r="BV50" s="8" t="s">
        <v>7188</v>
      </c>
      <c r="BW50" s="8" t="s">
        <v>7189</v>
      </c>
    </row>
    <row r="51" spans="1:75" ht="12.75" customHeight="1">
      <c r="A51" s="7" t="s">
        <v>63</v>
      </c>
      <c r="B51" s="7" t="s">
        <v>4763</v>
      </c>
      <c r="C51" s="7"/>
      <c r="D51" s="7"/>
      <c r="E51" s="7"/>
      <c r="F51" s="7" t="s">
        <v>4764</v>
      </c>
      <c r="G51" s="7"/>
      <c r="H51" s="7"/>
      <c r="I51" s="7" t="s">
        <v>4765</v>
      </c>
      <c r="J51" s="7" t="s">
        <v>4766</v>
      </c>
      <c r="K51" s="7"/>
      <c r="L51" s="7"/>
      <c r="M51" s="7"/>
      <c r="N51" s="7"/>
      <c r="O51" s="7"/>
      <c r="P51" s="7"/>
      <c r="Q51" s="7"/>
      <c r="R51" s="7"/>
      <c r="S51" s="7"/>
      <c r="T51" s="7" t="s">
        <v>4767</v>
      </c>
      <c r="U51" s="7"/>
      <c r="V51" s="7"/>
      <c r="W51" s="7"/>
      <c r="X51" s="7"/>
      <c r="Y51" s="7" t="s">
        <v>4768</v>
      </c>
      <c r="Z51" s="7"/>
      <c r="AA51" s="7"/>
      <c r="AB51" s="7"/>
      <c r="AC51" s="7"/>
      <c r="AD51" s="7"/>
      <c r="AE51" s="7"/>
      <c r="AF51" s="7"/>
      <c r="AG51" s="7"/>
      <c r="AH51" s="7"/>
      <c r="AI51" s="7"/>
      <c r="AJ51" s="7"/>
      <c r="AK51" s="7"/>
      <c r="AL51" s="7"/>
      <c r="AM51" s="7" t="s">
        <v>4769</v>
      </c>
      <c r="AN51" s="7" t="s">
        <v>4770</v>
      </c>
      <c r="AO51" s="7"/>
      <c r="AP51" s="7"/>
      <c r="AQ51" s="7"/>
      <c r="AR51" s="7" t="s">
        <v>82</v>
      </c>
      <c r="AS51" s="7">
        <v>2021</v>
      </c>
      <c r="AT51" s="7">
        <v>28</v>
      </c>
      <c r="AU51" s="7">
        <v>3</v>
      </c>
      <c r="AV51" s="7"/>
      <c r="AW51" s="7"/>
      <c r="AX51" s="7"/>
      <c r="AY51" s="7"/>
      <c r="AZ51" s="7">
        <v>1311</v>
      </c>
      <c r="BA51" s="7">
        <v>1319</v>
      </c>
      <c r="BB51" s="7"/>
      <c r="BC51" s="7" t="s">
        <v>4771</v>
      </c>
      <c r="BD51" s="11" t="str">
        <f>HYPERLINK("http://dx.doi.org/10.1245/s10434-020-09049-6","http://dx.doi.org/10.1245/s10434-020-09049-6")</f>
        <v>http://dx.doi.org/10.1245/s10434-020-09049-6</v>
      </c>
      <c r="BE51" s="7"/>
      <c r="BF51" s="7" t="s">
        <v>4647</v>
      </c>
      <c r="BG51" s="7"/>
      <c r="BH51" s="7"/>
      <c r="BI51" s="7">
        <v>32844294</v>
      </c>
      <c r="BJ51" s="7" t="s">
        <v>4772</v>
      </c>
      <c r="BK51" s="7"/>
      <c r="BL51" s="7"/>
      <c r="BM51" s="7"/>
      <c r="BN51" s="7"/>
      <c r="BO51" s="7"/>
      <c r="BP51" s="7"/>
      <c r="BQ51" s="7"/>
      <c r="BR51" s="7"/>
      <c r="BS51" s="7"/>
      <c r="BT51" s="7"/>
      <c r="BU51" s="1" t="s">
        <v>7203</v>
      </c>
      <c r="BV51" s="2" t="s">
        <v>7188</v>
      </c>
      <c r="BW51" s="2" t="s">
        <v>7189</v>
      </c>
    </row>
    <row r="52" spans="1:75" ht="12.75" customHeight="1">
      <c r="A52" s="3" t="s">
        <v>63</v>
      </c>
      <c r="B52" s="3" t="s">
        <v>6008</v>
      </c>
      <c r="C52" s="3"/>
      <c r="D52" s="3"/>
      <c r="E52" s="3"/>
      <c r="F52" s="3" t="s">
        <v>6009</v>
      </c>
      <c r="G52" s="3"/>
      <c r="H52" s="3"/>
      <c r="I52" s="3" t="s">
        <v>6010</v>
      </c>
      <c r="J52" s="3" t="s">
        <v>2382</v>
      </c>
      <c r="K52" s="3"/>
      <c r="L52" s="3"/>
      <c r="M52" s="3"/>
      <c r="N52" s="3"/>
      <c r="O52" s="3"/>
      <c r="P52" s="3"/>
      <c r="Q52" s="3"/>
      <c r="R52" s="3"/>
      <c r="S52" s="3"/>
      <c r="T52" s="3" t="s">
        <v>6011</v>
      </c>
      <c r="U52" s="3"/>
      <c r="V52" s="3"/>
      <c r="W52" s="3"/>
      <c r="X52" s="3"/>
      <c r="Y52" s="3" t="s">
        <v>6012</v>
      </c>
      <c r="Z52" s="3" t="s">
        <v>6013</v>
      </c>
      <c r="AA52" s="3"/>
      <c r="AB52" s="3"/>
      <c r="AC52" s="3"/>
      <c r="AD52" s="3"/>
      <c r="AE52" s="3"/>
      <c r="AF52" s="3"/>
      <c r="AG52" s="3"/>
      <c r="AH52" s="3"/>
      <c r="AI52" s="3"/>
      <c r="AJ52" s="3"/>
      <c r="AK52" s="3"/>
      <c r="AL52" s="3"/>
      <c r="AM52" s="3"/>
      <c r="AN52" s="3" t="s">
        <v>2384</v>
      </c>
      <c r="AO52" s="3"/>
      <c r="AP52" s="3"/>
      <c r="AQ52" s="3"/>
      <c r="AR52" s="3" t="s">
        <v>6014</v>
      </c>
      <c r="AS52" s="3">
        <v>2023</v>
      </c>
      <c r="AT52" s="3">
        <v>23</v>
      </c>
      <c r="AU52" s="3">
        <v>1</v>
      </c>
      <c r="AV52" s="3"/>
      <c r="AW52" s="3"/>
      <c r="AX52" s="3"/>
      <c r="AY52" s="3"/>
      <c r="AZ52" s="3"/>
      <c r="BA52" s="3"/>
      <c r="BB52" s="3">
        <v>120</v>
      </c>
      <c r="BC52" s="3" t="s">
        <v>6015</v>
      </c>
      <c r="BD52" s="15" t="str">
        <f>HYPERLINK("http://dx.doi.org/10.1186/s12889-023-14990-8","http://dx.doi.org/10.1186/s12889-023-14990-8")</f>
        <v>http://dx.doi.org/10.1186/s12889-023-14990-8</v>
      </c>
      <c r="BE52" s="3"/>
      <c r="BF52" s="3"/>
      <c r="BG52" s="3"/>
      <c r="BH52" s="3"/>
      <c r="BI52" s="3">
        <v>36650487</v>
      </c>
      <c r="BJ52" s="3" t="s">
        <v>6016</v>
      </c>
      <c r="BK52" s="3"/>
      <c r="BL52" s="3"/>
      <c r="BM52" s="3"/>
      <c r="BN52" s="3"/>
      <c r="BO52" s="3"/>
      <c r="BP52" s="3"/>
      <c r="BQ52" s="3"/>
      <c r="BR52" s="3"/>
      <c r="BS52" s="3"/>
      <c r="BT52" s="3"/>
      <c r="BU52" s="13" t="s">
        <v>7223</v>
      </c>
      <c r="BV52" s="2" t="s">
        <v>3516</v>
      </c>
      <c r="BW52" s="2" t="s">
        <v>7196</v>
      </c>
    </row>
    <row r="53" spans="1:75" ht="12.75" customHeight="1">
      <c r="A53" s="3" t="s">
        <v>63</v>
      </c>
      <c r="B53" s="3" t="s">
        <v>539</v>
      </c>
      <c r="C53" s="3"/>
      <c r="D53" s="3"/>
      <c r="E53" s="3"/>
      <c r="F53" s="3" t="s">
        <v>540</v>
      </c>
      <c r="G53" s="3"/>
      <c r="H53" s="3"/>
      <c r="I53" s="3" t="s">
        <v>541</v>
      </c>
      <c r="J53" s="3" t="s">
        <v>542</v>
      </c>
      <c r="K53" s="3"/>
      <c r="L53" s="3"/>
      <c r="M53" s="3"/>
      <c r="N53" s="3"/>
      <c r="O53" s="3"/>
      <c r="P53" s="3"/>
      <c r="Q53" s="3"/>
      <c r="R53" s="3"/>
      <c r="S53" s="3"/>
      <c r="T53" s="3" t="s">
        <v>543</v>
      </c>
      <c r="U53" s="3"/>
      <c r="V53" s="3"/>
      <c r="W53" s="3"/>
      <c r="X53" s="3"/>
      <c r="Y53" s="3"/>
      <c r="Z53" s="3"/>
      <c r="AA53" s="3"/>
      <c r="AB53" s="3"/>
      <c r="AC53" s="3"/>
      <c r="AD53" s="3"/>
      <c r="AE53" s="3"/>
      <c r="AF53" s="3"/>
      <c r="AG53" s="3"/>
      <c r="AH53" s="3"/>
      <c r="AI53" s="3"/>
      <c r="AJ53" s="3"/>
      <c r="AK53" s="3"/>
      <c r="AL53" s="3"/>
      <c r="AM53" s="3" t="s">
        <v>544</v>
      </c>
      <c r="AN53" s="3" t="s">
        <v>545</v>
      </c>
      <c r="AO53" s="3"/>
      <c r="AP53" s="3"/>
      <c r="AQ53" s="3"/>
      <c r="AR53" s="3"/>
      <c r="AS53" s="3">
        <v>2011</v>
      </c>
      <c r="AT53" s="3">
        <v>127</v>
      </c>
      <c r="AU53" s="3">
        <v>1</v>
      </c>
      <c r="AV53" s="3"/>
      <c r="AW53" s="3"/>
      <c r="AX53" s="3"/>
      <c r="AY53" s="3"/>
      <c r="AZ53" s="3">
        <v>1</v>
      </c>
      <c r="BA53" s="3">
        <v>16</v>
      </c>
      <c r="BB53" s="3" t="s">
        <v>546</v>
      </c>
      <c r="BC53" s="3" t="s">
        <v>547</v>
      </c>
      <c r="BD53" s="15" t="str">
        <f>HYPERLINK("http://dx.doi.org/10.1080/14702541.2011.579571","http://dx.doi.org/10.1080/14702541.2011.579571")</f>
        <v>http://dx.doi.org/10.1080/14702541.2011.579571</v>
      </c>
      <c r="BE53" s="3"/>
      <c r="BF53" s="3"/>
      <c r="BG53" s="3"/>
      <c r="BH53" s="3"/>
      <c r="BI53" s="3"/>
      <c r="BJ53" s="3" t="s">
        <v>548</v>
      </c>
      <c r="BK53" s="3"/>
      <c r="BL53" s="3"/>
      <c r="BM53" s="3"/>
      <c r="BN53" s="3"/>
      <c r="BO53" s="3"/>
      <c r="BP53" s="3"/>
      <c r="BQ53" s="3"/>
      <c r="BR53" s="3"/>
      <c r="BS53" s="3"/>
      <c r="BT53" s="3"/>
      <c r="BU53" s="2" t="s">
        <v>7224</v>
      </c>
      <c r="BV53" s="2" t="s">
        <v>7214</v>
      </c>
      <c r="BW53" s="2" t="s">
        <v>7205</v>
      </c>
    </row>
    <row r="54" spans="1:75" ht="12.75" customHeight="1">
      <c r="A54" s="3" t="s">
        <v>63</v>
      </c>
      <c r="B54" s="3" t="s">
        <v>4773</v>
      </c>
      <c r="C54" s="3"/>
      <c r="D54" s="3"/>
      <c r="E54" s="3"/>
      <c r="F54" s="3" t="s">
        <v>4774</v>
      </c>
      <c r="G54" s="3"/>
      <c r="H54" s="3"/>
      <c r="I54" s="3" t="s">
        <v>4775</v>
      </c>
      <c r="J54" s="3" t="s">
        <v>1004</v>
      </c>
      <c r="K54" s="3"/>
      <c r="L54" s="3"/>
      <c r="M54" s="3"/>
      <c r="N54" s="3"/>
      <c r="O54" s="3"/>
      <c r="P54" s="3"/>
      <c r="Q54" s="3"/>
      <c r="R54" s="3"/>
      <c r="S54" s="3"/>
      <c r="T54" s="3" t="s">
        <v>4776</v>
      </c>
      <c r="U54" s="3"/>
      <c r="V54" s="3"/>
      <c r="W54" s="3"/>
      <c r="X54" s="3"/>
      <c r="Y54" s="3" t="s">
        <v>4777</v>
      </c>
      <c r="Z54" s="3"/>
      <c r="AA54" s="3"/>
      <c r="AB54" s="3"/>
      <c r="AC54" s="3"/>
      <c r="AD54" s="3"/>
      <c r="AE54" s="3"/>
      <c r="AF54" s="3"/>
      <c r="AG54" s="3"/>
      <c r="AH54" s="3"/>
      <c r="AI54" s="3"/>
      <c r="AJ54" s="3"/>
      <c r="AK54" s="3"/>
      <c r="AL54" s="3"/>
      <c r="AM54" s="3" t="s">
        <v>1006</v>
      </c>
      <c r="AN54" s="3" t="s">
        <v>1007</v>
      </c>
      <c r="AO54" s="3"/>
      <c r="AP54" s="3"/>
      <c r="AQ54" s="3"/>
      <c r="AR54" s="3" t="s">
        <v>133</v>
      </c>
      <c r="AS54" s="3">
        <v>2021</v>
      </c>
      <c r="AT54" s="3">
        <v>24</v>
      </c>
      <c r="AU54" s="3">
        <v>1</v>
      </c>
      <c r="AV54" s="3"/>
      <c r="AW54" s="3"/>
      <c r="AX54" s="3"/>
      <c r="AY54" s="3"/>
      <c r="AZ54" s="3">
        <v>117</v>
      </c>
      <c r="BA54" s="3">
        <v>124</v>
      </c>
      <c r="BB54" s="3" t="s">
        <v>4778</v>
      </c>
      <c r="BC54" s="3" t="s">
        <v>4779</v>
      </c>
      <c r="BD54" s="15" t="str">
        <f>HYPERLINK("http://dx.doi.org/10.1017/S1368980020001536","http://dx.doi.org/10.1017/S1368980020001536")</f>
        <v>http://dx.doi.org/10.1017/S1368980020001536</v>
      </c>
      <c r="BE54" s="3"/>
      <c r="BF54" s="3"/>
      <c r="BG54" s="3"/>
      <c r="BH54" s="3"/>
      <c r="BI54" s="3">
        <v>32641177</v>
      </c>
      <c r="BJ54" s="3" t="s">
        <v>4780</v>
      </c>
      <c r="BK54" s="3"/>
      <c r="BL54" s="3"/>
      <c r="BM54" s="3"/>
      <c r="BN54" s="3"/>
      <c r="BO54" s="3"/>
      <c r="BP54" s="3"/>
      <c r="BQ54" s="3"/>
      <c r="BR54" s="3"/>
      <c r="BS54" s="3"/>
      <c r="BT54" s="3"/>
      <c r="BU54" s="2" t="s">
        <v>7193</v>
      </c>
      <c r="BV54" s="2" t="s">
        <v>7188</v>
      </c>
      <c r="BW54" s="2" t="s">
        <v>7189</v>
      </c>
    </row>
    <row r="55" spans="1:75" ht="12.75" customHeight="1">
      <c r="A55" s="6" t="s">
        <v>63</v>
      </c>
      <c r="B55" s="6" t="s">
        <v>6017</v>
      </c>
      <c r="C55" s="6"/>
      <c r="D55" s="6"/>
      <c r="E55" s="6"/>
      <c r="F55" s="6" t="s">
        <v>6018</v>
      </c>
      <c r="G55" s="6"/>
      <c r="H55" s="6"/>
      <c r="I55" s="6" t="s">
        <v>6019</v>
      </c>
      <c r="J55" s="6" t="s">
        <v>3374</v>
      </c>
      <c r="K55" s="6"/>
      <c r="L55" s="6"/>
      <c r="M55" s="6"/>
      <c r="N55" s="6"/>
      <c r="O55" s="6"/>
      <c r="P55" s="6"/>
      <c r="Q55" s="6"/>
      <c r="R55" s="6"/>
      <c r="S55" s="6"/>
      <c r="T55" s="6" t="s">
        <v>6020</v>
      </c>
      <c r="U55" s="6"/>
      <c r="V55" s="6"/>
      <c r="W55" s="6"/>
      <c r="X55" s="6"/>
      <c r="Y55" s="6" t="s">
        <v>6021</v>
      </c>
      <c r="Z55" s="6" t="s">
        <v>6022</v>
      </c>
      <c r="AA55" s="6"/>
      <c r="AB55" s="6"/>
      <c r="AC55" s="6"/>
      <c r="AD55" s="6"/>
      <c r="AE55" s="6"/>
      <c r="AF55" s="6"/>
      <c r="AG55" s="6"/>
      <c r="AH55" s="6"/>
      <c r="AI55" s="6"/>
      <c r="AJ55" s="6"/>
      <c r="AK55" s="6"/>
      <c r="AL55" s="6"/>
      <c r="AM55" s="6"/>
      <c r="AN55" s="6" t="s">
        <v>3377</v>
      </c>
      <c r="AO55" s="6"/>
      <c r="AP55" s="6"/>
      <c r="AQ55" s="6"/>
      <c r="AR55" s="6" t="s">
        <v>6023</v>
      </c>
      <c r="AS55" s="6">
        <v>2023</v>
      </c>
      <c r="AT55" s="6">
        <v>15</v>
      </c>
      <c r="AU55" s="6">
        <v>10</v>
      </c>
      <c r="AV55" s="6"/>
      <c r="AW55" s="6"/>
      <c r="AX55" s="6"/>
      <c r="AY55" s="6"/>
      <c r="AZ55" s="6"/>
      <c r="BA55" s="6"/>
      <c r="BB55" s="6">
        <v>7848</v>
      </c>
      <c r="BC55" s="6" t="s">
        <v>6024</v>
      </c>
      <c r="BD55" s="9" t="str">
        <f>HYPERLINK("http://dx.doi.org/10.3390/su15107848","http://dx.doi.org/10.3390/su15107848")</f>
        <v>http://dx.doi.org/10.3390/su15107848</v>
      </c>
      <c r="BE55" s="6"/>
      <c r="BF55" s="6"/>
      <c r="BG55" s="6"/>
      <c r="BH55" s="6"/>
      <c r="BI55" s="6"/>
      <c r="BJ55" s="6" t="s">
        <v>6025</v>
      </c>
      <c r="BK55" s="6"/>
      <c r="BL55" s="6"/>
      <c r="BM55" s="6"/>
      <c r="BN55" s="6"/>
      <c r="BO55" s="6"/>
      <c r="BP55" s="6"/>
      <c r="BQ55" s="6"/>
      <c r="BR55" s="6"/>
      <c r="BS55" s="6"/>
      <c r="BT55" s="6"/>
      <c r="BU55" s="8" t="s">
        <v>7225</v>
      </c>
      <c r="BV55" s="8" t="s">
        <v>7188</v>
      </c>
      <c r="BW55" s="8" t="s">
        <v>7189</v>
      </c>
    </row>
    <row r="56" spans="1:75" ht="12.75" customHeight="1">
      <c r="A56" s="3" t="s">
        <v>63</v>
      </c>
      <c r="B56" s="3" t="s">
        <v>956</v>
      </c>
      <c r="C56" s="3"/>
      <c r="D56" s="3"/>
      <c r="E56" s="3"/>
      <c r="F56" s="3" t="s">
        <v>957</v>
      </c>
      <c r="G56" s="3"/>
      <c r="H56" s="3"/>
      <c r="I56" s="3" t="s">
        <v>958</v>
      </c>
      <c r="J56" s="3" t="s">
        <v>959</v>
      </c>
      <c r="K56" s="3"/>
      <c r="L56" s="3"/>
      <c r="M56" s="3"/>
      <c r="N56" s="3"/>
      <c r="O56" s="3"/>
      <c r="P56" s="3"/>
      <c r="Q56" s="3"/>
      <c r="R56" s="3"/>
      <c r="S56" s="3"/>
      <c r="T56" s="3" t="s">
        <v>960</v>
      </c>
      <c r="U56" s="3"/>
      <c r="V56" s="3"/>
      <c r="W56" s="3"/>
      <c r="X56" s="3"/>
      <c r="Y56" s="3"/>
      <c r="Z56" s="3" t="s">
        <v>961</v>
      </c>
      <c r="AA56" s="3"/>
      <c r="AB56" s="3"/>
      <c r="AC56" s="3"/>
      <c r="AD56" s="3"/>
      <c r="AE56" s="3"/>
      <c r="AF56" s="3"/>
      <c r="AG56" s="3"/>
      <c r="AH56" s="3"/>
      <c r="AI56" s="3"/>
      <c r="AJ56" s="3"/>
      <c r="AK56" s="3"/>
      <c r="AL56" s="3"/>
      <c r="AM56" s="3" t="s">
        <v>962</v>
      </c>
      <c r="AN56" s="3" t="s">
        <v>963</v>
      </c>
      <c r="AO56" s="3"/>
      <c r="AP56" s="3"/>
      <c r="AQ56" s="3"/>
      <c r="AR56" s="3" t="s">
        <v>82</v>
      </c>
      <c r="AS56" s="3">
        <v>2013</v>
      </c>
      <c r="AT56" s="3">
        <v>35</v>
      </c>
      <c r="AU56" s="3">
        <v>1</v>
      </c>
      <c r="AV56" s="3"/>
      <c r="AW56" s="3"/>
      <c r="AX56" s="3" t="s">
        <v>569</v>
      </c>
      <c r="AY56" s="3"/>
      <c r="AZ56" s="3">
        <v>106</v>
      </c>
      <c r="BA56" s="3">
        <v>124</v>
      </c>
      <c r="BB56" s="3"/>
      <c r="BC56" s="3" t="s">
        <v>964</v>
      </c>
      <c r="BD56" s="15" t="str">
        <f>HYPERLINK("http://dx.doi.org/10.1093/aepp/pps035","http://dx.doi.org/10.1093/aepp/pps035")</f>
        <v>http://dx.doi.org/10.1093/aepp/pps035</v>
      </c>
      <c r="BE56" s="3"/>
      <c r="BF56" s="3"/>
      <c r="BG56" s="3"/>
      <c r="BH56" s="3"/>
      <c r="BI56" s="3"/>
      <c r="BJ56" s="3" t="s">
        <v>965</v>
      </c>
      <c r="BK56" s="3"/>
      <c r="BL56" s="3"/>
      <c r="BM56" s="3"/>
      <c r="BN56" s="3"/>
      <c r="BO56" s="3"/>
      <c r="BP56" s="3"/>
      <c r="BQ56" s="3"/>
      <c r="BR56" s="3"/>
      <c r="BS56" s="3"/>
      <c r="BT56" s="3"/>
      <c r="BU56" s="1" t="s">
        <v>7198</v>
      </c>
      <c r="BV56" s="2" t="s">
        <v>7188</v>
      </c>
      <c r="BW56" s="2" t="s">
        <v>7189</v>
      </c>
    </row>
    <row r="57" spans="1:75" ht="12.75" customHeight="1">
      <c r="A57" s="6" t="s">
        <v>63</v>
      </c>
      <c r="B57" s="6" t="s">
        <v>754</v>
      </c>
      <c r="C57" s="6"/>
      <c r="D57" s="6"/>
      <c r="E57" s="6"/>
      <c r="F57" s="6" t="s">
        <v>755</v>
      </c>
      <c r="G57" s="6"/>
      <c r="H57" s="6"/>
      <c r="I57" s="6" t="s">
        <v>3630</v>
      </c>
      <c r="J57" s="6" t="s">
        <v>3374</v>
      </c>
      <c r="K57" s="6"/>
      <c r="L57" s="6"/>
      <c r="M57" s="6"/>
      <c r="N57" s="6"/>
      <c r="O57" s="6"/>
      <c r="P57" s="6"/>
      <c r="Q57" s="6"/>
      <c r="R57" s="6"/>
      <c r="S57" s="6"/>
      <c r="T57" s="6" t="s">
        <v>3631</v>
      </c>
      <c r="U57" s="6"/>
      <c r="V57" s="6"/>
      <c r="W57" s="6"/>
      <c r="X57" s="6"/>
      <c r="Y57" s="6" t="s">
        <v>758</v>
      </c>
      <c r="Z57" s="6" t="s">
        <v>759</v>
      </c>
      <c r="AA57" s="6"/>
      <c r="AB57" s="6"/>
      <c r="AC57" s="6"/>
      <c r="AD57" s="6"/>
      <c r="AE57" s="6"/>
      <c r="AF57" s="6"/>
      <c r="AG57" s="6"/>
      <c r="AH57" s="6"/>
      <c r="AI57" s="6"/>
      <c r="AJ57" s="6"/>
      <c r="AK57" s="6"/>
      <c r="AL57" s="6"/>
      <c r="AM57" s="6"/>
      <c r="AN57" s="6" t="s">
        <v>3377</v>
      </c>
      <c r="AO57" s="6"/>
      <c r="AP57" s="6"/>
      <c r="AQ57" s="6"/>
      <c r="AR57" s="6" t="s">
        <v>1561</v>
      </c>
      <c r="AS57" s="6">
        <v>2019</v>
      </c>
      <c r="AT57" s="6">
        <v>11</v>
      </c>
      <c r="AU57" s="6">
        <v>2</v>
      </c>
      <c r="AV57" s="6"/>
      <c r="AW57" s="6"/>
      <c r="AX57" s="6"/>
      <c r="AY57" s="6"/>
      <c r="AZ57" s="6"/>
      <c r="BA57" s="6"/>
      <c r="BB57" s="6">
        <v>458</v>
      </c>
      <c r="BC57" s="6" t="s">
        <v>3632</v>
      </c>
      <c r="BD57" s="9" t="str">
        <f>HYPERLINK("http://dx.doi.org/10.3390/su11020458","http://dx.doi.org/10.3390/su11020458")</f>
        <v>http://dx.doi.org/10.3390/su11020458</v>
      </c>
      <c r="BE57" s="6"/>
      <c r="BF57" s="6"/>
      <c r="BG57" s="6"/>
      <c r="BH57" s="6"/>
      <c r="BI57" s="6"/>
      <c r="BJ57" s="6" t="s">
        <v>3633</v>
      </c>
      <c r="BK57" s="6"/>
      <c r="BL57" s="6"/>
      <c r="BM57" s="6"/>
      <c r="BN57" s="6"/>
      <c r="BO57" s="6"/>
      <c r="BP57" s="6"/>
      <c r="BQ57" s="6"/>
      <c r="BR57" s="6"/>
      <c r="BS57" s="6"/>
      <c r="BT57" s="6"/>
      <c r="BU57" s="8" t="s">
        <v>7226</v>
      </c>
      <c r="BV57" s="8" t="s">
        <v>7227</v>
      </c>
      <c r="BW57" s="8" t="s">
        <v>7228</v>
      </c>
    </row>
    <row r="58" spans="1:75" ht="12.75" customHeight="1">
      <c r="A58" s="3" t="s">
        <v>201</v>
      </c>
      <c r="B58" s="3" t="s">
        <v>966</v>
      </c>
      <c r="C58" s="3"/>
      <c r="D58" s="3" t="s">
        <v>967</v>
      </c>
      <c r="E58" s="3"/>
      <c r="F58" s="3" t="s">
        <v>968</v>
      </c>
      <c r="G58" s="3"/>
      <c r="H58" s="3"/>
      <c r="I58" s="3" t="s">
        <v>969</v>
      </c>
      <c r="J58" s="3" t="s">
        <v>970</v>
      </c>
      <c r="K58" s="3" t="s">
        <v>971</v>
      </c>
      <c r="L58" s="3"/>
      <c r="M58" s="3"/>
      <c r="N58" s="3" t="s">
        <v>972</v>
      </c>
      <c r="O58" s="3" t="s">
        <v>973</v>
      </c>
      <c r="P58" s="3" t="s">
        <v>974</v>
      </c>
      <c r="Q58" s="3"/>
      <c r="R58" s="3"/>
      <c r="S58" s="3"/>
      <c r="T58" s="3" t="s">
        <v>975</v>
      </c>
      <c r="U58" s="3"/>
      <c r="V58" s="3"/>
      <c r="W58" s="3"/>
      <c r="X58" s="3"/>
      <c r="Y58" s="3" t="s">
        <v>976</v>
      </c>
      <c r="Z58" s="3"/>
      <c r="AA58" s="3"/>
      <c r="AB58" s="3"/>
      <c r="AC58" s="3"/>
      <c r="AD58" s="3"/>
      <c r="AE58" s="3"/>
      <c r="AF58" s="3"/>
      <c r="AG58" s="3"/>
      <c r="AH58" s="3"/>
      <c r="AI58" s="3"/>
      <c r="AJ58" s="3"/>
      <c r="AK58" s="3"/>
      <c r="AL58" s="3"/>
      <c r="AM58" s="3" t="s">
        <v>977</v>
      </c>
      <c r="AN58" s="3"/>
      <c r="AO58" s="3" t="s">
        <v>978</v>
      </c>
      <c r="AP58" s="3"/>
      <c r="AQ58" s="3"/>
      <c r="AR58" s="3"/>
      <c r="AS58" s="3">
        <v>2013</v>
      </c>
      <c r="AT58" s="3">
        <v>170</v>
      </c>
      <c r="AU58" s="3"/>
      <c r="AV58" s="3"/>
      <c r="AW58" s="3"/>
      <c r="AX58" s="3"/>
      <c r="AY58" s="3"/>
      <c r="AZ58" s="3">
        <v>89</v>
      </c>
      <c r="BA58" s="3">
        <v>98</v>
      </c>
      <c r="BB58" s="3"/>
      <c r="BC58" s="3" t="s">
        <v>979</v>
      </c>
      <c r="BD58" s="15" t="str">
        <f>HYPERLINK("http://dx.doi.org/10.2495/FENV130091","http://dx.doi.org/10.2495/FENV130091")</f>
        <v>http://dx.doi.org/10.2495/FENV130091</v>
      </c>
      <c r="BE58" s="3"/>
      <c r="BF58" s="3"/>
      <c r="BG58" s="3"/>
      <c r="BH58" s="3"/>
      <c r="BI58" s="3"/>
      <c r="BJ58" s="3" t="s">
        <v>980</v>
      </c>
      <c r="BK58" s="3"/>
      <c r="BL58" s="3"/>
      <c r="BM58" s="3"/>
      <c r="BN58" s="3"/>
      <c r="BO58" s="3"/>
      <c r="BP58" s="3"/>
      <c r="BQ58" s="3"/>
      <c r="BR58" s="3"/>
      <c r="BS58" s="3"/>
      <c r="BT58" s="3"/>
      <c r="BU58" s="1" t="s">
        <v>7229</v>
      </c>
      <c r="BV58" s="2" t="s">
        <v>2039</v>
      </c>
      <c r="BW58" s="2" t="s">
        <v>7189</v>
      </c>
    </row>
    <row r="59" spans="1:75" ht="12.75" customHeight="1">
      <c r="A59" s="6" t="s">
        <v>63</v>
      </c>
      <c r="B59" s="6" t="s">
        <v>266</v>
      </c>
      <c r="C59" s="6"/>
      <c r="D59" s="6"/>
      <c r="E59" s="6"/>
      <c r="F59" s="6" t="s">
        <v>267</v>
      </c>
      <c r="G59" s="6"/>
      <c r="H59" s="6"/>
      <c r="I59" s="6" t="s">
        <v>268</v>
      </c>
      <c r="J59" s="6" t="s">
        <v>269</v>
      </c>
      <c r="K59" s="6"/>
      <c r="L59" s="6"/>
      <c r="M59" s="6"/>
      <c r="N59" s="6"/>
      <c r="O59" s="6"/>
      <c r="P59" s="6"/>
      <c r="Q59" s="6"/>
      <c r="R59" s="6"/>
      <c r="S59" s="6"/>
      <c r="T59" s="6" t="s">
        <v>270</v>
      </c>
      <c r="U59" s="6"/>
      <c r="V59" s="6"/>
      <c r="W59" s="6"/>
      <c r="X59" s="6"/>
      <c r="Y59" s="6" t="s">
        <v>271</v>
      </c>
      <c r="Z59" s="6"/>
      <c r="AA59" s="6"/>
      <c r="AB59" s="6"/>
      <c r="AC59" s="6"/>
      <c r="AD59" s="6"/>
      <c r="AE59" s="6"/>
      <c r="AF59" s="6"/>
      <c r="AG59" s="6"/>
      <c r="AH59" s="6"/>
      <c r="AI59" s="6"/>
      <c r="AJ59" s="6"/>
      <c r="AK59" s="6"/>
      <c r="AL59" s="6"/>
      <c r="AM59" s="6" t="s">
        <v>272</v>
      </c>
      <c r="AN59" s="6"/>
      <c r="AO59" s="6"/>
      <c r="AP59" s="6"/>
      <c r="AQ59" s="6"/>
      <c r="AR59" s="6"/>
      <c r="AS59" s="6">
        <v>2008</v>
      </c>
      <c r="AT59" s="6">
        <v>56</v>
      </c>
      <c r="AU59" s="6">
        <v>10</v>
      </c>
      <c r="AV59" s="6"/>
      <c r="AW59" s="6"/>
      <c r="AX59" s="6"/>
      <c r="AY59" s="6"/>
      <c r="AZ59" s="6">
        <v>959</v>
      </c>
      <c r="BA59" s="6">
        <v>972</v>
      </c>
      <c r="BB59" s="6"/>
      <c r="BC59" s="6"/>
      <c r="BD59" s="6"/>
      <c r="BE59" s="6"/>
      <c r="BF59" s="6"/>
      <c r="BG59" s="6"/>
      <c r="BH59" s="6"/>
      <c r="BI59" s="6"/>
      <c r="BJ59" s="6" t="s">
        <v>273</v>
      </c>
      <c r="BK59" s="6"/>
      <c r="BL59" s="6"/>
      <c r="BM59" s="6"/>
      <c r="BN59" s="6"/>
      <c r="BO59" s="6"/>
      <c r="BP59" s="6"/>
      <c r="BQ59" s="6"/>
      <c r="BR59" s="6"/>
      <c r="BS59" s="6"/>
      <c r="BT59" s="6"/>
      <c r="BU59" s="8" t="s">
        <v>7230</v>
      </c>
      <c r="BV59" s="8" t="s">
        <v>7204</v>
      </c>
      <c r="BW59" s="8" t="s">
        <v>7205</v>
      </c>
    </row>
    <row r="60" spans="1:75" ht="12.75" customHeight="1">
      <c r="A60" s="3" t="s">
        <v>63</v>
      </c>
      <c r="B60" s="3" t="s">
        <v>1358</v>
      </c>
      <c r="C60" s="3"/>
      <c r="D60" s="3"/>
      <c r="E60" s="3"/>
      <c r="F60" s="3" t="s">
        <v>1359</v>
      </c>
      <c r="G60" s="3"/>
      <c r="H60" s="3"/>
      <c r="I60" s="3" t="s">
        <v>1360</v>
      </c>
      <c r="J60" s="3" t="s">
        <v>1361</v>
      </c>
      <c r="K60" s="3"/>
      <c r="L60" s="3"/>
      <c r="M60" s="3"/>
      <c r="N60" s="3"/>
      <c r="O60" s="3"/>
      <c r="P60" s="3"/>
      <c r="Q60" s="3"/>
      <c r="R60" s="3"/>
      <c r="S60" s="3"/>
      <c r="T60" s="3" t="s">
        <v>1362</v>
      </c>
      <c r="U60" s="3"/>
      <c r="V60" s="3"/>
      <c r="W60" s="3"/>
      <c r="X60" s="3"/>
      <c r="Y60" s="3"/>
      <c r="Z60" s="3"/>
      <c r="AA60" s="3"/>
      <c r="AB60" s="3"/>
      <c r="AC60" s="3"/>
      <c r="AD60" s="3"/>
      <c r="AE60" s="3"/>
      <c r="AF60" s="3"/>
      <c r="AG60" s="3"/>
      <c r="AH60" s="3"/>
      <c r="AI60" s="3"/>
      <c r="AJ60" s="3"/>
      <c r="AK60" s="3"/>
      <c r="AL60" s="3"/>
      <c r="AM60" s="3" t="s">
        <v>1363</v>
      </c>
      <c r="AN60" s="3" t="s">
        <v>1364</v>
      </c>
      <c r="AO60" s="3"/>
      <c r="AP60" s="3"/>
      <c r="AQ60" s="3"/>
      <c r="AR60" s="3"/>
      <c r="AS60" s="3">
        <v>2014</v>
      </c>
      <c r="AT60" s="3">
        <v>45</v>
      </c>
      <c r="AU60" s="3">
        <v>4</v>
      </c>
      <c r="AV60" s="3"/>
      <c r="AW60" s="3"/>
      <c r="AX60" s="3"/>
      <c r="AY60" s="3"/>
      <c r="AZ60" s="3">
        <v>317</v>
      </c>
      <c r="BA60" s="3">
        <v>336</v>
      </c>
      <c r="BB60" s="3"/>
      <c r="BC60" s="3" t="s">
        <v>1365</v>
      </c>
      <c r="BD60" s="15" t="str">
        <f>HYPERLINK("http://dx.doi.org/10.1080/15575330.2014.930501","http://dx.doi.org/10.1080/15575330.2014.930501")</f>
        <v>http://dx.doi.org/10.1080/15575330.2014.930501</v>
      </c>
      <c r="BE60" s="3"/>
      <c r="BF60" s="3"/>
      <c r="BG60" s="3"/>
      <c r="BH60" s="3"/>
      <c r="BI60" s="3"/>
      <c r="BJ60" s="3" t="s">
        <v>1366</v>
      </c>
      <c r="BK60" s="3"/>
      <c r="BL60" s="3"/>
      <c r="BM60" s="3"/>
      <c r="BN60" s="3"/>
      <c r="BO60" s="3"/>
      <c r="BP60" s="3"/>
      <c r="BQ60" s="3"/>
      <c r="BR60" s="3"/>
      <c r="BS60" s="3"/>
      <c r="BT60" s="3"/>
      <c r="BU60" s="13" t="s">
        <v>7231</v>
      </c>
      <c r="BV60" s="2" t="s">
        <v>7188</v>
      </c>
      <c r="BW60" s="2" t="s">
        <v>7189</v>
      </c>
    </row>
    <row r="61" spans="1:75" ht="12.75" customHeight="1">
      <c r="A61" s="3" t="s">
        <v>63</v>
      </c>
      <c r="B61" s="3" t="s">
        <v>747</v>
      </c>
      <c r="C61" s="3"/>
      <c r="D61" s="3"/>
      <c r="E61" s="3"/>
      <c r="F61" s="3" t="s">
        <v>748</v>
      </c>
      <c r="G61" s="3"/>
      <c r="H61" s="3"/>
      <c r="I61" s="3" t="s">
        <v>749</v>
      </c>
      <c r="J61" s="3" t="s">
        <v>532</v>
      </c>
      <c r="K61" s="3"/>
      <c r="L61" s="3"/>
      <c r="M61" s="3"/>
      <c r="N61" s="3"/>
      <c r="O61" s="3"/>
      <c r="P61" s="3"/>
      <c r="Q61" s="3"/>
      <c r="R61" s="3"/>
      <c r="S61" s="3"/>
      <c r="T61" s="3" t="s">
        <v>750</v>
      </c>
      <c r="U61" s="3"/>
      <c r="V61" s="3"/>
      <c r="W61" s="3"/>
      <c r="X61" s="3"/>
      <c r="Y61" s="3"/>
      <c r="Z61" s="3" t="s">
        <v>751</v>
      </c>
      <c r="AA61" s="3"/>
      <c r="AB61" s="3"/>
      <c r="AC61" s="3"/>
      <c r="AD61" s="3"/>
      <c r="AE61" s="3"/>
      <c r="AF61" s="3"/>
      <c r="AG61" s="3"/>
      <c r="AH61" s="3"/>
      <c r="AI61" s="3"/>
      <c r="AJ61" s="3"/>
      <c r="AK61" s="3"/>
      <c r="AL61" s="3"/>
      <c r="AM61" s="3" t="s">
        <v>534</v>
      </c>
      <c r="AN61" s="3" t="s">
        <v>535</v>
      </c>
      <c r="AO61" s="3"/>
      <c r="AP61" s="3"/>
      <c r="AQ61" s="3"/>
      <c r="AR61" s="3" t="s">
        <v>536</v>
      </c>
      <c r="AS61" s="3">
        <v>2012</v>
      </c>
      <c r="AT61" s="3">
        <v>3</v>
      </c>
      <c r="AU61" s="3">
        <v>2</v>
      </c>
      <c r="AV61" s="3"/>
      <c r="AW61" s="3"/>
      <c r="AX61" s="3"/>
      <c r="AY61" s="3"/>
      <c r="AZ61" s="3">
        <v>61</v>
      </c>
      <c r="BA61" s="3">
        <v>76</v>
      </c>
      <c r="BB61" s="3"/>
      <c r="BC61" s="3" t="s">
        <v>752</v>
      </c>
      <c r="BD61" s="15" t="str">
        <f>HYPERLINK("http://dx.doi.org/10.5304/jafscd.2013.032.006","http://dx.doi.org/10.5304/jafscd.2013.032.006")</f>
        <v>http://dx.doi.org/10.5304/jafscd.2013.032.006</v>
      </c>
      <c r="BE61" s="3"/>
      <c r="BF61" s="3"/>
      <c r="BG61" s="3"/>
      <c r="BH61" s="3"/>
      <c r="BI61" s="3"/>
      <c r="BJ61" s="3" t="s">
        <v>753</v>
      </c>
      <c r="BK61" s="3"/>
      <c r="BL61" s="3"/>
      <c r="BM61" s="3"/>
      <c r="BN61" s="3"/>
      <c r="BO61" s="3"/>
      <c r="BP61" s="3"/>
      <c r="BQ61" s="3"/>
      <c r="BR61" s="3"/>
      <c r="BS61" s="3"/>
      <c r="BT61" s="3"/>
      <c r="BU61" s="13" t="s">
        <v>7232</v>
      </c>
      <c r="BV61" s="2" t="s">
        <v>7188</v>
      </c>
      <c r="BW61" s="2" t="s">
        <v>7189</v>
      </c>
    </row>
    <row r="62" spans="1:75" ht="12.75" customHeight="1">
      <c r="A62" s="6" t="s">
        <v>63</v>
      </c>
      <c r="B62" s="6" t="s">
        <v>4781</v>
      </c>
      <c r="C62" s="6"/>
      <c r="D62" s="6"/>
      <c r="E62" s="6"/>
      <c r="F62" s="6" t="s">
        <v>4782</v>
      </c>
      <c r="G62" s="6"/>
      <c r="H62" s="6"/>
      <c r="I62" s="6" t="s">
        <v>4783</v>
      </c>
      <c r="J62" s="6" t="s">
        <v>532</v>
      </c>
      <c r="K62" s="6"/>
      <c r="L62" s="6"/>
      <c r="M62" s="6"/>
      <c r="N62" s="6"/>
      <c r="O62" s="6"/>
      <c r="P62" s="6"/>
      <c r="Q62" s="6"/>
      <c r="R62" s="6"/>
      <c r="S62" s="6"/>
      <c r="T62" s="6" t="s">
        <v>4784</v>
      </c>
      <c r="U62" s="6"/>
      <c r="V62" s="6"/>
      <c r="W62" s="6"/>
      <c r="X62" s="6"/>
      <c r="Y62" s="6" t="s">
        <v>4785</v>
      </c>
      <c r="Z62" s="6" t="s">
        <v>4786</v>
      </c>
      <c r="AA62" s="6"/>
      <c r="AB62" s="6"/>
      <c r="AC62" s="6"/>
      <c r="AD62" s="6"/>
      <c r="AE62" s="6"/>
      <c r="AF62" s="6"/>
      <c r="AG62" s="6"/>
      <c r="AH62" s="6"/>
      <c r="AI62" s="6"/>
      <c r="AJ62" s="6"/>
      <c r="AK62" s="6"/>
      <c r="AL62" s="6"/>
      <c r="AM62" s="6" t="s">
        <v>534</v>
      </c>
      <c r="AN62" s="6" t="s">
        <v>535</v>
      </c>
      <c r="AO62" s="6"/>
      <c r="AP62" s="6"/>
      <c r="AQ62" s="6"/>
      <c r="AR62" s="6" t="s">
        <v>536</v>
      </c>
      <c r="AS62" s="6">
        <v>2021</v>
      </c>
      <c r="AT62" s="6">
        <v>10</v>
      </c>
      <c r="AU62" s="6">
        <v>2</v>
      </c>
      <c r="AV62" s="6"/>
      <c r="AW62" s="6"/>
      <c r="AX62" s="6" t="s">
        <v>569</v>
      </c>
      <c r="AY62" s="6"/>
      <c r="AZ62" s="6">
        <v>123</v>
      </c>
      <c r="BA62" s="6">
        <v>133</v>
      </c>
      <c r="BB62" s="6"/>
      <c r="BC62" s="6" t="s">
        <v>4787</v>
      </c>
      <c r="BD62" s="9" t="str">
        <f>HYPERLINK("http://dx.doi.org/10.5304/jafscd.2021.102.037","http://dx.doi.org/10.5304/jafscd.2021.102.037")</f>
        <v>http://dx.doi.org/10.5304/jafscd.2021.102.037</v>
      </c>
      <c r="BE62" s="6"/>
      <c r="BF62" s="6"/>
      <c r="BG62" s="6"/>
      <c r="BH62" s="6"/>
      <c r="BI62" s="6"/>
      <c r="BJ62" s="6" t="s">
        <v>4788</v>
      </c>
      <c r="BK62" s="6"/>
      <c r="BL62" s="6"/>
      <c r="BM62" s="6"/>
      <c r="BN62" s="6"/>
      <c r="BO62" s="6"/>
      <c r="BP62" s="6"/>
      <c r="BQ62" s="6"/>
      <c r="BR62" s="6"/>
      <c r="BS62" s="6"/>
      <c r="BT62" s="6"/>
      <c r="BU62" s="8" t="s">
        <v>7225</v>
      </c>
      <c r="BV62" s="8" t="s">
        <v>7188</v>
      </c>
      <c r="BW62" s="8" t="s">
        <v>7189</v>
      </c>
    </row>
    <row r="63" spans="1:75" ht="12.75" customHeight="1">
      <c r="A63" s="6" t="s">
        <v>63</v>
      </c>
      <c r="B63" s="6" t="s">
        <v>4789</v>
      </c>
      <c r="C63" s="6"/>
      <c r="D63" s="6"/>
      <c r="E63" s="6"/>
      <c r="F63" s="6" t="s">
        <v>4790</v>
      </c>
      <c r="G63" s="6"/>
      <c r="H63" s="6"/>
      <c r="I63" s="6" t="s">
        <v>4791</v>
      </c>
      <c r="J63" s="6" t="s">
        <v>4792</v>
      </c>
      <c r="K63" s="6"/>
      <c r="L63" s="6"/>
      <c r="M63" s="6"/>
      <c r="N63" s="6"/>
      <c r="O63" s="6"/>
      <c r="P63" s="6"/>
      <c r="Q63" s="6"/>
      <c r="R63" s="6"/>
      <c r="S63" s="6"/>
      <c r="T63" s="6" t="s">
        <v>4793</v>
      </c>
      <c r="U63" s="6"/>
      <c r="V63" s="6"/>
      <c r="W63" s="6"/>
      <c r="X63" s="6"/>
      <c r="Y63" s="6" t="s">
        <v>4794</v>
      </c>
      <c r="Z63" s="6" t="s">
        <v>4795</v>
      </c>
      <c r="AA63" s="6"/>
      <c r="AB63" s="6"/>
      <c r="AC63" s="6"/>
      <c r="AD63" s="6"/>
      <c r="AE63" s="6"/>
      <c r="AF63" s="6"/>
      <c r="AG63" s="6"/>
      <c r="AH63" s="6"/>
      <c r="AI63" s="6"/>
      <c r="AJ63" s="6"/>
      <c r="AK63" s="6"/>
      <c r="AL63" s="6"/>
      <c r="AM63" s="6" t="s">
        <v>4796</v>
      </c>
      <c r="AN63" s="6" t="s">
        <v>4797</v>
      </c>
      <c r="AO63" s="6"/>
      <c r="AP63" s="6"/>
      <c r="AQ63" s="6"/>
      <c r="AR63" s="6" t="s">
        <v>121</v>
      </c>
      <c r="AS63" s="6">
        <v>2021</v>
      </c>
      <c r="AT63" s="6">
        <v>86</v>
      </c>
      <c r="AU63" s="6"/>
      <c r="AV63" s="6"/>
      <c r="AW63" s="6"/>
      <c r="AX63" s="6"/>
      <c r="AY63" s="6"/>
      <c r="AZ63" s="6">
        <v>247</v>
      </c>
      <c r="BA63" s="6">
        <v>261</v>
      </c>
      <c r="BB63" s="6"/>
      <c r="BC63" s="6" t="s">
        <v>4798</v>
      </c>
      <c r="BD63" s="9" t="str">
        <f>HYPERLINK("http://dx.doi.org/10.1016/j.jrurstud.2021.06.013","http://dx.doi.org/10.1016/j.jrurstud.2021.06.013")</f>
        <v>http://dx.doi.org/10.1016/j.jrurstud.2021.06.013</v>
      </c>
      <c r="BE63" s="6"/>
      <c r="BF63" s="6" t="s">
        <v>4738</v>
      </c>
      <c r="BG63" s="6"/>
      <c r="BH63" s="6"/>
      <c r="BI63" s="6"/>
      <c r="BJ63" s="6" t="s">
        <v>4799</v>
      </c>
      <c r="BK63" s="6"/>
      <c r="BL63" s="6"/>
      <c r="BM63" s="6"/>
      <c r="BN63" s="6"/>
      <c r="BO63" s="6"/>
      <c r="BP63" s="6"/>
      <c r="BQ63" s="6"/>
      <c r="BR63" s="6"/>
      <c r="BS63" s="6"/>
      <c r="BT63" s="6"/>
      <c r="BU63" s="8" t="s">
        <v>7233</v>
      </c>
      <c r="BV63" s="8" t="s">
        <v>7234</v>
      </c>
      <c r="BW63" s="8" t="s">
        <v>7205</v>
      </c>
    </row>
    <row r="64" spans="1:75" ht="12.75" customHeight="1">
      <c r="A64" s="3" t="s">
        <v>63</v>
      </c>
      <c r="B64" s="3" t="s">
        <v>6026</v>
      </c>
      <c r="C64" s="3"/>
      <c r="D64" s="3"/>
      <c r="E64" s="3"/>
      <c r="F64" s="3" t="s">
        <v>6027</v>
      </c>
      <c r="G64" s="3"/>
      <c r="H64" s="3"/>
      <c r="I64" s="3" t="s">
        <v>6028</v>
      </c>
      <c r="J64" s="3" t="s">
        <v>6029</v>
      </c>
      <c r="K64" s="3"/>
      <c r="L64" s="3"/>
      <c r="M64" s="3"/>
      <c r="N64" s="3"/>
      <c r="O64" s="3"/>
      <c r="P64" s="3"/>
      <c r="Q64" s="3"/>
      <c r="R64" s="3"/>
      <c r="S64" s="3"/>
      <c r="T64" s="3" t="s">
        <v>6030</v>
      </c>
      <c r="U64" s="3"/>
      <c r="V64" s="3"/>
      <c r="W64" s="3"/>
      <c r="X64" s="3"/>
      <c r="Y64" s="3"/>
      <c r="Z64" s="3" t="s">
        <v>6031</v>
      </c>
      <c r="AA64" s="3"/>
      <c r="AB64" s="3"/>
      <c r="AC64" s="3"/>
      <c r="AD64" s="3"/>
      <c r="AE64" s="3"/>
      <c r="AF64" s="3"/>
      <c r="AG64" s="3"/>
      <c r="AH64" s="3"/>
      <c r="AI64" s="3"/>
      <c r="AJ64" s="3"/>
      <c r="AK64" s="3"/>
      <c r="AL64" s="3"/>
      <c r="AM64" s="3" t="s">
        <v>6032</v>
      </c>
      <c r="AN64" s="3" t="s">
        <v>6033</v>
      </c>
      <c r="AO64" s="3"/>
      <c r="AP64" s="3"/>
      <c r="AQ64" s="3"/>
      <c r="AR64" s="3" t="s">
        <v>82</v>
      </c>
      <c r="AS64" s="3">
        <v>2023</v>
      </c>
      <c r="AT64" s="3">
        <v>43</v>
      </c>
      <c r="AU64" s="3">
        <v>3</v>
      </c>
      <c r="AV64" s="3"/>
      <c r="AW64" s="3"/>
      <c r="AX64" s="3"/>
      <c r="AY64" s="3"/>
      <c r="AZ64" s="3" t="s">
        <v>6034</v>
      </c>
      <c r="BA64" s="3" t="s">
        <v>6035</v>
      </c>
      <c r="BB64" s="3"/>
      <c r="BC64" s="3" t="s">
        <v>6036</v>
      </c>
      <c r="BD64" s="15" t="str">
        <f>HYPERLINK("http://dx.doi.org/10.1097/BPO.0000000000002315","http://dx.doi.org/10.1097/BPO.0000000000002315")</f>
        <v>http://dx.doi.org/10.1097/BPO.0000000000002315</v>
      </c>
      <c r="BE64" s="3"/>
      <c r="BF64" s="3"/>
      <c r="BG64" s="3"/>
      <c r="BH64" s="3"/>
      <c r="BI64" s="3">
        <v>36730127</v>
      </c>
      <c r="BJ64" s="3" t="s">
        <v>6037</v>
      </c>
      <c r="BK64" s="3"/>
      <c r="BL64" s="3"/>
      <c r="BM64" s="3"/>
      <c r="BN64" s="3"/>
      <c r="BO64" s="3"/>
      <c r="BP64" s="3"/>
      <c r="BQ64" s="3"/>
      <c r="BR64" s="3"/>
      <c r="BS64" s="3"/>
      <c r="BT64" s="3"/>
      <c r="BU64" s="1" t="s">
        <v>7235</v>
      </c>
      <c r="BV64" s="2" t="s">
        <v>7188</v>
      </c>
      <c r="BW64" s="2" t="s">
        <v>7189</v>
      </c>
    </row>
    <row r="65" spans="1:75" ht="12.75" customHeight="1">
      <c r="A65" s="3" t="s">
        <v>63</v>
      </c>
      <c r="B65" s="3" t="s">
        <v>2709</v>
      </c>
      <c r="C65" s="3"/>
      <c r="D65" s="3"/>
      <c r="E65" s="3"/>
      <c r="F65" s="3" t="s">
        <v>2710</v>
      </c>
      <c r="G65" s="3"/>
      <c r="H65" s="3"/>
      <c r="I65" s="3" t="s">
        <v>2711</v>
      </c>
      <c r="J65" s="3" t="s">
        <v>2712</v>
      </c>
      <c r="K65" s="3"/>
      <c r="L65" s="3"/>
      <c r="M65" s="3"/>
      <c r="N65" s="3"/>
      <c r="O65" s="3"/>
      <c r="P65" s="3"/>
      <c r="Q65" s="3"/>
      <c r="R65" s="3"/>
      <c r="S65" s="3"/>
      <c r="T65" s="3" t="s">
        <v>2713</v>
      </c>
      <c r="U65" s="3"/>
      <c r="V65" s="3"/>
      <c r="W65" s="3"/>
      <c r="X65" s="3"/>
      <c r="Y65" s="3"/>
      <c r="Z65" s="3"/>
      <c r="AA65" s="3"/>
      <c r="AB65" s="3"/>
      <c r="AC65" s="3"/>
      <c r="AD65" s="3"/>
      <c r="AE65" s="3"/>
      <c r="AF65" s="3"/>
      <c r="AG65" s="3"/>
      <c r="AH65" s="3"/>
      <c r="AI65" s="3"/>
      <c r="AJ65" s="3"/>
      <c r="AK65" s="3"/>
      <c r="AL65" s="3"/>
      <c r="AM65" s="3" t="s">
        <v>2714</v>
      </c>
      <c r="AN65" s="3" t="s">
        <v>2715</v>
      </c>
      <c r="AO65" s="3"/>
      <c r="AP65" s="3"/>
      <c r="AQ65" s="3"/>
      <c r="AR65" s="3" t="s">
        <v>78</v>
      </c>
      <c r="AS65" s="3">
        <v>2017</v>
      </c>
      <c r="AT65" s="3">
        <v>41</v>
      </c>
      <c r="AU65" s="3">
        <v>3</v>
      </c>
      <c r="AV65" s="3"/>
      <c r="AW65" s="3"/>
      <c r="AX65" s="3"/>
      <c r="AY65" s="3"/>
      <c r="AZ65" s="3">
        <v>414</v>
      </c>
      <c r="BA65" s="3">
        <v>425</v>
      </c>
      <c r="BB65" s="3"/>
      <c r="BC65" s="3" t="s">
        <v>2716</v>
      </c>
      <c r="BD65" s="15" t="str">
        <f>HYPERLINK("http://dx.doi.org/10.1111/1468-2427.12515","http://dx.doi.org/10.1111/1468-2427.12515")</f>
        <v>http://dx.doi.org/10.1111/1468-2427.12515</v>
      </c>
      <c r="BE65" s="3"/>
      <c r="BF65" s="3"/>
      <c r="BG65" s="3"/>
      <c r="BH65" s="3"/>
      <c r="BI65" s="3"/>
      <c r="BJ65" s="3" t="s">
        <v>2717</v>
      </c>
      <c r="BK65" s="3"/>
      <c r="BL65" s="3"/>
      <c r="BM65" s="3"/>
      <c r="BN65" s="3"/>
      <c r="BO65" s="3"/>
      <c r="BP65" s="3"/>
      <c r="BQ65" s="3"/>
      <c r="BR65" s="3"/>
      <c r="BS65" s="3"/>
      <c r="BT65" s="3"/>
      <c r="BU65" s="1" t="s">
        <v>7193</v>
      </c>
      <c r="BV65" s="2" t="s">
        <v>7188</v>
      </c>
      <c r="BW65" s="2" t="s">
        <v>7189</v>
      </c>
    </row>
    <row r="66" spans="1:75" ht="12.75" customHeight="1">
      <c r="A66" s="4" t="s">
        <v>63</v>
      </c>
      <c r="B66" s="4" t="s">
        <v>4051</v>
      </c>
      <c r="C66" s="4"/>
      <c r="D66" s="4"/>
      <c r="E66" s="4"/>
      <c r="F66" s="4" t="s">
        <v>4052</v>
      </c>
      <c r="G66" s="4"/>
      <c r="H66" s="4"/>
      <c r="I66" s="4" t="s">
        <v>4800</v>
      </c>
      <c r="J66" s="4" t="s">
        <v>4801</v>
      </c>
      <c r="K66" s="4"/>
      <c r="L66" s="4"/>
      <c r="M66" s="4"/>
      <c r="N66" s="4"/>
      <c r="O66" s="4"/>
      <c r="P66" s="4"/>
      <c r="Q66" s="4"/>
      <c r="R66" s="4"/>
      <c r="S66" s="4"/>
      <c r="T66" s="4" t="s">
        <v>4802</v>
      </c>
      <c r="U66" s="4"/>
      <c r="V66" s="4"/>
      <c r="W66" s="4"/>
      <c r="X66" s="4"/>
      <c r="Y66" s="4"/>
      <c r="Z66" s="4" t="s">
        <v>4803</v>
      </c>
      <c r="AA66" s="4"/>
      <c r="AB66" s="4"/>
      <c r="AC66" s="4"/>
      <c r="AD66" s="4"/>
      <c r="AE66" s="4"/>
      <c r="AF66" s="4"/>
      <c r="AG66" s="4"/>
      <c r="AH66" s="4"/>
      <c r="AI66" s="4"/>
      <c r="AJ66" s="4"/>
      <c r="AK66" s="4"/>
      <c r="AL66" s="4"/>
      <c r="AM66" s="4" t="s">
        <v>4804</v>
      </c>
      <c r="AN66" s="4" t="s">
        <v>4805</v>
      </c>
      <c r="AO66" s="4"/>
      <c r="AP66" s="4"/>
      <c r="AQ66" s="4"/>
      <c r="AR66" s="4" t="s">
        <v>121</v>
      </c>
      <c r="AS66" s="4">
        <v>2021</v>
      </c>
      <c r="AT66" s="4">
        <v>38</v>
      </c>
      <c r="AU66" s="4"/>
      <c r="AV66" s="4"/>
      <c r="AW66" s="4">
        <v>1</v>
      </c>
      <c r="AX66" s="4"/>
      <c r="AY66" s="4"/>
      <c r="AZ66" s="4" t="s">
        <v>4806</v>
      </c>
      <c r="BA66" s="4" t="s">
        <v>1895</v>
      </c>
      <c r="BB66" s="4"/>
      <c r="BC66" s="4" t="s">
        <v>4807</v>
      </c>
      <c r="BD66" s="5" t="str">
        <f>HYPERLINK("http://dx.doi.org/10.1055/s-0040-1705168","http://dx.doi.org/10.1055/s-0040-1705168")</f>
        <v>http://dx.doi.org/10.1055/s-0040-1705168</v>
      </c>
      <c r="BE66" s="4"/>
      <c r="BF66" s="4"/>
      <c r="BG66" s="4"/>
      <c r="BH66" s="4"/>
      <c r="BI66" s="4">
        <v>32131115</v>
      </c>
      <c r="BJ66" s="4" t="s">
        <v>4808</v>
      </c>
      <c r="BK66" s="4"/>
      <c r="BL66" s="4"/>
      <c r="BM66" s="4"/>
      <c r="BN66" s="4"/>
      <c r="BO66" s="4"/>
      <c r="BP66" s="4"/>
      <c r="BQ66" s="4"/>
      <c r="BR66" s="4"/>
      <c r="BS66" s="4"/>
      <c r="BT66" s="4"/>
      <c r="BU66" s="12" t="s">
        <v>7221</v>
      </c>
      <c r="BV66" s="12" t="s">
        <v>7188</v>
      </c>
      <c r="BW66" s="12" t="s">
        <v>7189</v>
      </c>
    </row>
    <row r="67" spans="1:75" ht="12.75" customHeight="1">
      <c r="A67" s="6" t="s">
        <v>63</v>
      </c>
      <c r="B67" s="6" t="s">
        <v>2718</v>
      </c>
      <c r="C67" s="6"/>
      <c r="D67" s="6"/>
      <c r="E67" s="6"/>
      <c r="F67" s="6" t="s">
        <v>2719</v>
      </c>
      <c r="G67" s="6"/>
      <c r="H67" s="6"/>
      <c r="I67" s="6" t="s">
        <v>2720</v>
      </c>
      <c r="J67" s="6" t="s">
        <v>380</v>
      </c>
      <c r="K67" s="6"/>
      <c r="L67" s="6"/>
      <c r="M67" s="6"/>
      <c r="N67" s="6"/>
      <c r="O67" s="6"/>
      <c r="P67" s="6"/>
      <c r="Q67" s="6"/>
      <c r="R67" s="6"/>
      <c r="S67" s="6"/>
      <c r="T67" s="6" t="s">
        <v>2721</v>
      </c>
      <c r="U67" s="6"/>
      <c r="V67" s="6"/>
      <c r="W67" s="6"/>
      <c r="X67" s="6"/>
      <c r="Y67" s="6" t="s">
        <v>2722</v>
      </c>
      <c r="Z67" s="6" t="s">
        <v>2723</v>
      </c>
      <c r="AA67" s="6"/>
      <c r="AB67" s="6"/>
      <c r="AC67" s="6"/>
      <c r="AD67" s="6"/>
      <c r="AE67" s="6"/>
      <c r="AF67" s="6"/>
      <c r="AG67" s="6"/>
      <c r="AH67" s="6"/>
      <c r="AI67" s="6"/>
      <c r="AJ67" s="6"/>
      <c r="AK67" s="6"/>
      <c r="AL67" s="6"/>
      <c r="AM67" s="6" t="s">
        <v>382</v>
      </c>
      <c r="AN67" s="6" t="s">
        <v>383</v>
      </c>
      <c r="AO67" s="6"/>
      <c r="AP67" s="6"/>
      <c r="AQ67" s="6"/>
      <c r="AR67" s="6" t="s">
        <v>173</v>
      </c>
      <c r="AS67" s="6">
        <v>2017</v>
      </c>
      <c r="AT67" s="6">
        <v>46</v>
      </c>
      <c r="AU67" s="6"/>
      <c r="AV67" s="6"/>
      <c r="AW67" s="6"/>
      <c r="AX67" s="6"/>
      <c r="AY67" s="6"/>
      <c r="AZ67" s="6">
        <v>249</v>
      </c>
      <c r="BA67" s="6">
        <v>256</v>
      </c>
      <c r="BB67" s="6"/>
      <c r="BC67" s="6" t="s">
        <v>2724</v>
      </c>
      <c r="BD67" s="9" t="str">
        <f>HYPERLINK("http://dx.doi.org/10.1016/j.healthplace.2017.06.002","http://dx.doi.org/10.1016/j.healthplace.2017.06.002")</f>
        <v>http://dx.doi.org/10.1016/j.healthplace.2017.06.002</v>
      </c>
      <c r="BE67" s="6"/>
      <c r="BF67" s="6"/>
      <c r="BG67" s="6"/>
      <c r="BH67" s="6"/>
      <c r="BI67" s="6">
        <v>28648926</v>
      </c>
      <c r="BJ67" s="6" t="s">
        <v>2725</v>
      </c>
      <c r="BK67" s="6"/>
      <c r="BL67" s="6"/>
      <c r="BM67" s="6"/>
      <c r="BN67" s="6"/>
      <c r="BO67" s="6"/>
      <c r="BP67" s="6"/>
      <c r="BQ67" s="6"/>
      <c r="BR67" s="6"/>
      <c r="BS67" s="6"/>
      <c r="BT67" s="6"/>
      <c r="BU67" s="8" t="s">
        <v>7222</v>
      </c>
      <c r="BV67" s="8" t="s">
        <v>7188</v>
      </c>
      <c r="BW67" s="8" t="s">
        <v>7189</v>
      </c>
    </row>
    <row r="68" spans="1:75" ht="12.75" customHeight="1">
      <c r="A68" s="3" t="s">
        <v>63</v>
      </c>
      <c r="B68" s="3" t="s">
        <v>2189</v>
      </c>
      <c r="C68" s="3"/>
      <c r="D68" s="3"/>
      <c r="E68" s="3"/>
      <c r="F68" s="3" t="s">
        <v>2190</v>
      </c>
      <c r="G68" s="3"/>
      <c r="H68" s="3"/>
      <c r="I68" s="3" t="s">
        <v>2191</v>
      </c>
      <c r="J68" s="3" t="s">
        <v>886</v>
      </c>
      <c r="K68" s="3"/>
      <c r="L68" s="3"/>
      <c r="M68" s="3"/>
      <c r="N68" s="3"/>
      <c r="O68" s="3"/>
      <c r="P68" s="3"/>
      <c r="Q68" s="3"/>
      <c r="R68" s="3"/>
      <c r="S68" s="3"/>
      <c r="T68" s="3" t="s">
        <v>2192</v>
      </c>
      <c r="U68" s="3"/>
      <c r="V68" s="3"/>
      <c r="W68" s="3"/>
      <c r="X68" s="3"/>
      <c r="Y68" s="3"/>
      <c r="Z68" s="3"/>
      <c r="AA68" s="3"/>
      <c r="AB68" s="3"/>
      <c r="AC68" s="3"/>
      <c r="AD68" s="3"/>
      <c r="AE68" s="3"/>
      <c r="AF68" s="3"/>
      <c r="AG68" s="3"/>
      <c r="AH68" s="3"/>
      <c r="AI68" s="3"/>
      <c r="AJ68" s="3"/>
      <c r="AK68" s="3"/>
      <c r="AL68" s="3"/>
      <c r="AM68" s="3" t="s">
        <v>888</v>
      </c>
      <c r="AN68" s="3" t="s">
        <v>2193</v>
      </c>
      <c r="AO68" s="3"/>
      <c r="AP68" s="3"/>
      <c r="AQ68" s="3"/>
      <c r="AR68" s="3" t="s">
        <v>445</v>
      </c>
      <c r="AS68" s="3">
        <v>2016</v>
      </c>
      <c r="AT68" s="3">
        <v>36</v>
      </c>
      <c r="AU68" s="3">
        <v>3</v>
      </c>
      <c r="AV68" s="3"/>
      <c r="AW68" s="3"/>
      <c r="AX68" s="3"/>
      <c r="AY68" s="3"/>
      <c r="AZ68" s="3">
        <v>337</v>
      </c>
      <c r="BA68" s="3">
        <v>353</v>
      </c>
      <c r="BB68" s="3"/>
      <c r="BC68" s="3" t="s">
        <v>2194</v>
      </c>
      <c r="BD68" s="15" t="str">
        <f>HYPERLINK("http://dx.doi.org/10.1177/0276146715612550","http://dx.doi.org/10.1177/0276146715612550")</f>
        <v>http://dx.doi.org/10.1177/0276146715612550</v>
      </c>
      <c r="BE68" s="3"/>
      <c r="BF68" s="3"/>
      <c r="BG68" s="3"/>
      <c r="BH68" s="3"/>
      <c r="BI68" s="3"/>
      <c r="BJ68" s="3" t="s">
        <v>2195</v>
      </c>
      <c r="BK68" s="3"/>
      <c r="BL68" s="3"/>
      <c r="BM68" s="3"/>
      <c r="BN68" s="3"/>
      <c r="BO68" s="3"/>
      <c r="BP68" s="3"/>
      <c r="BQ68" s="3"/>
      <c r="BR68" s="3"/>
      <c r="BS68" s="3"/>
      <c r="BT68" s="3"/>
      <c r="BU68" s="1" t="s">
        <v>7193</v>
      </c>
      <c r="BV68" s="1" t="s">
        <v>7193</v>
      </c>
      <c r="BW68" s="1" t="s">
        <v>7193</v>
      </c>
    </row>
    <row r="69" spans="1:75" ht="12.75" customHeight="1">
      <c r="A69" s="3" t="s">
        <v>63</v>
      </c>
      <c r="B69" s="3" t="s">
        <v>6038</v>
      </c>
      <c r="C69" s="3"/>
      <c r="D69" s="3"/>
      <c r="E69" s="3"/>
      <c r="F69" s="3" t="s">
        <v>6039</v>
      </c>
      <c r="G69" s="3"/>
      <c r="H69" s="3"/>
      <c r="I69" s="3" t="s">
        <v>6040</v>
      </c>
      <c r="J69" s="3" t="s">
        <v>6041</v>
      </c>
      <c r="K69" s="3"/>
      <c r="L69" s="3"/>
      <c r="M69" s="3"/>
      <c r="N69" s="3"/>
      <c r="O69" s="3"/>
      <c r="P69" s="3"/>
      <c r="Q69" s="3"/>
      <c r="R69" s="3"/>
      <c r="S69" s="3"/>
      <c r="T69" s="3" t="s">
        <v>6042</v>
      </c>
      <c r="U69" s="3"/>
      <c r="V69" s="3"/>
      <c r="W69" s="3"/>
      <c r="X69" s="3"/>
      <c r="Y69" s="3" t="s">
        <v>6043</v>
      </c>
      <c r="Z69" s="3" t="s">
        <v>6044</v>
      </c>
      <c r="AA69" s="3"/>
      <c r="AB69" s="3"/>
      <c r="AC69" s="3"/>
      <c r="AD69" s="3"/>
      <c r="AE69" s="3"/>
      <c r="AF69" s="3"/>
      <c r="AG69" s="3"/>
      <c r="AH69" s="3"/>
      <c r="AI69" s="3"/>
      <c r="AJ69" s="3"/>
      <c r="AK69" s="3"/>
      <c r="AL69" s="3"/>
      <c r="AM69" s="3" t="s">
        <v>6045</v>
      </c>
      <c r="AN69" s="3" t="s">
        <v>6046</v>
      </c>
      <c r="AO69" s="3"/>
      <c r="AP69" s="3"/>
      <c r="AQ69" s="3"/>
      <c r="AR69" s="3" t="s">
        <v>121</v>
      </c>
      <c r="AS69" s="3">
        <v>2023</v>
      </c>
      <c r="AT69" s="3">
        <v>116</v>
      </c>
      <c r="AU69" s="3">
        <v>2</v>
      </c>
      <c r="AV69" s="3"/>
      <c r="AW69" s="3"/>
      <c r="AX69" s="3"/>
      <c r="AY69" s="3"/>
      <c r="AZ69" s="3"/>
      <c r="BA69" s="3"/>
      <c r="BB69" s="3"/>
      <c r="BC69" s="3" t="s">
        <v>6047</v>
      </c>
      <c r="BD69" s="15" t="str">
        <f>HYPERLINK("http://dx.doi.org/10.1016/j.athoracsur.2023.04.015","http://dx.doi.org/10.1016/j.athoracsur.2023.04.015")</f>
        <v>http://dx.doi.org/10.1016/j.athoracsur.2023.04.015</v>
      </c>
      <c r="BE69" s="3"/>
      <c r="BF69" s="3" t="s">
        <v>6048</v>
      </c>
      <c r="BG69" s="3"/>
      <c r="BH69" s="3"/>
      <c r="BI69" s="3">
        <v>37080374</v>
      </c>
      <c r="BJ69" s="3" t="s">
        <v>6049</v>
      </c>
      <c r="BK69" s="3"/>
      <c r="BL69" s="3"/>
      <c r="BM69" s="3"/>
      <c r="BN69" s="3"/>
      <c r="BO69" s="3"/>
      <c r="BP69" s="3"/>
      <c r="BQ69" s="3"/>
      <c r="BR69" s="3"/>
      <c r="BS69" s="3"/>
      <c r="BT69" s="3"/>
      <c r="BU69" s="2" t="s">
        <v>7201</v>
      </c>
      <c r="BV69" s="2" t="s">
        <v>7188</v>
      </c>
      <c r="BW69" s="2" t="s">
        <v>7189</v>
      </c>
    </row>
    <row r="70" spans="1:75" ht="12.75" customHeight="1">
      <c r="A70" s="3" t="s">
        <v>63</v>
      </c>
      <c r="B70" s="3" t="s">
        <v>3436</v>
      </c>
      <c r="C70" s="3"/>
      <c r="D70" s="3"/>
      <c r="E70" s="3"/>
      <c r="F70" s="3" t="s">
        <v>3437</v>
      </c>
      <c r="G70" s="3"/>
      <c r="H70" s="3"/>
      <c r="I70" s="3" t="s">
        <v>4809</v>
      </c>
      <c r="J70" s="3" t="s">
        <v>4801</v>
      </c>
      <c r="K70" s="3"/>
      <c r="L70" s="3"/>
      <c r="M70" s="3"/>
      <c r="N70" s="3"/>
      <c r="O70" s="3"/>
      <c r="P70" s="3"/>
      <c r="Q70" s="3"/>
      <c r="R70" s="3"/>
      <c r="S70" s="3"/>
      <c r="T70" s="3" t="s">
        <v>4810</v>
      </c>
      <c r="U70" s="3"/>
      <c r="V70" s="3"/>
      <c r="W70" s="3"/>
      <c r="X70" s="3"/>
      <c r="Y70" s="3"/>
      <c r="Z70" s="3" t="s">
        <v>4811</v>
      </c>
      <c r="AA70" s="3"/>
      <c r="AB70" s="3"/>
      <c r="AC70" s="3"/>
      <c r="AD70" s="3"/>
      <c r="AE70" s="3"/>
      <c r="AF70" s="3"/>
      <c r="AG70" s="3"/>
      <c r="AH70" s="3"/>
      <c r="AI70" s="3"/>
      <c r="AJ70" s="3"/>
      <c r="AK70" s="3"/>
      <c r="AL70" s="3"/>
      <c r="AM70" s="3" t="s">
        <v>4804</v>
      </c>
      <c r="AN70" s="3" t="s">
        <v>4805</v>
      </c>
      <c r="AO70" s="3"/>
      <c r="AP70" s="3"/>
      <c r="AQ70" s="3"/>
      <c r="AR70" s="3" t="s">
        <v>121</v>
      </c>
      <c r="AS70" s="3">
        <v>2021</v>
      </c>
      <c r="AT70" s="3">
        <v>38</v>
      </c>
      <c r="AU70" s="3"/>
      <c r="AV70" s="3"/>
      <c r="AW70" s="3">
        <v>1</v>
      </c>
      <c r="AX70" s="3"/>
      <c r="AY70" s="3"/>
      <c r="AZ70" s="3" t="s">
        <v>807</v>
      </c>
      <c r="BA70" s="3" t="s">
        <v>4812</v>
      </c>
      <c r="BB70" s="3"/>
      <c r="BC70" s="3" t="s">
        <v>4813</v>
      </c>
      <c r="BD70" s="15" t="str">
        <f>HYPERLINK("http://dx.doi.org/10.1055/s-0040-1702991","http://dx.doi.org/10.1055/s-0040-1702991")</f>
        <v>http://dx.doi.org/10.1055/s-0040-1702991</v>
      </c>
      <c r="BE70" s="3"/>
      <c r="BF70" s="3"/>
      <c r="BG70" s="3"/>
      <c r="BH70" s="3"/>
      <c r="BI70" s="3">
        <v>32120416</v>
      </c>
      <c r="BJ70" s="3" t="s">
        <v>4814</v>
      </c>
      <c r="BK70" s="3"/>
      <c r="BL70" s="3"/>
      <c r="BM70" s="3"/>
      <c r="BN70" s="3"/>
      <c r="BO70" s="3"/>
      <c r="BP70" s="3"/>
      <c r="BQ70" s="3"/>
      <c r="BR70" s="3"/>
      <c r="BS70" s="3"/>
      <c r="BT70" s="3"/>
      <c r="BU70" s="1" t="s">
        <v>7236</v>
      </c>
      <c r="BV70" s="2" t="s">
        <v>7188</v>
      </c>
      <c r="BW70" s="2" t="s">
        <v>7189</v>
      </c>
    </row>
    <row r="71" spans="1:75" ht="12.75" customHeight="1">
      <c r="A71" s="6" t="s">
        <v>63</v>
      </c>
      <c r="B71" s="6" t="s">
        <v>3265</v>
      </c>
      <c r="C71" s="6"/>
      <c r="D71" s="6"/>
      <c r="E71" s="6"/>
      <c r="F71" s="6" t="s">
        <v>3266</v>
      </c>
      <c r="G71" s="6"/>
      <c r="H71" s="6"/>
      <c r="I71" s="6" t="s">
        <v>3267</v>
      </c>
      <c r="J71" s="6" t="s">
        <v>250</v>
      </c>
      <c r="K71" s="6"/>
      <c r="L71" s="6"/>
      <c r="M71" s="6"/>
      <c r="N71" s="6"/>
      <c r="O71" s="6"/>
      <c r="P71" s="6"/>
      <c r="Q71" s="6"/>
      <c r="R71" s="6"/>
      <c r="S71" s="6"/>
      <c r="T71" s="6" t="s">
        <v>3268</v>
      </c>
      <c r="U71" s="6"/>
      <c r="V71" s="6"/>
      <c r="W71" s="6"/>
      <c r="X71" s="6"/>
      <c r="Y71" s="6"/>
      <c r="Z71" s="6"/>
      <c r="AA71" s="6"/>
      <c r="AB71" s="6"/>
      <c r="AC71" s="6"/>
      <c r="AD71" s="6"/>
      <c r="AE71" s="6"/>
      <c r="AF71" s="6"/>
      <c r="AG71" s="6"/>
      <c r="AH71" s="6"/>
      <c r="AI71" s="6"/>
      <c r="AJ71" s="6"/>
      <c r="AK71" s="6"/>
      <c r="AL71" s="6"/>
      <c r="AM71" s="6" t="s">
        <v>253</v>
      </c>
      <c r="AN71" s="6" t="s">
        <v>3269</v>
      </c>
      <c r="AO71" s="6"/>
      <c r="AP71" s="6"/>
      <c r="AQ71" s="6"/>
      <c r="AR71" s="6" t="s">
        <v>445</v>
      </c>
      <c r="AS71" s="6">
        <v>2018</v>
      </c>
      <c r="AT71" s="6">
        <v>38</v>
      </c>
      <c r="AU71" s="6">
        <v>3</v>
      </c>
      <c r="AV71" s="6"/>
      <c r="AW71" s="6"/>
      <c r="AX71" s="6"/>
      <c r="AY71" s="6"/>
      <c r="AZ71" s="6">
        <v>359</v>
      </c>
      <c r="BA71" s="6">
        <v>370</v>
      </c>
      <c r="BB71" s="6"/>
      <c r="BC71" s="6" t="s">
        <v>3270</v>
      </c>
      <c r="BD71" s="9" t="str">
        <f>HYPERLINK("http://dx.doi.org/10.1177/0739456X17702222","http://dx.doi.org/10.1177/0739456X17702222")</f>
        <v>http://dx.doi.org/10.1177/0739456X17702222</v>
      </c>
      <c r="BE71" s="6"/>
      <c r="BF71" s="6"/>
      <c r="BG71" s="6"/>
      <c r="BH71" s="6"/>
      <c r="BI71" s="6"/>
      <c r="BJ71" s="6" t="s">
        <v>3271</v>
      </c>
      <c r="BK71" s="6"/>
      <c r="BL71" s="6"/>
      <c r="BM71" s="6"/>
      <c r="BN71" s="6"/>
      <c r="BO71" s="6"/>
      <c r="BP71" s="6"/>
      <c r="BQ71" s="6"/>
      <c r="BR71" s="6"/>
      <c r="BS71" s="6"/>
      <c r="BT71" s="6"/>
      <c r="BU71" s="8" t="s">
        <v>7191</v>
      </c>
      <c r="BV71" s="8" t="s">
        <v>7188</v>
      </c>
      <c r="BW71" s="8" t="s">
        <v>7189</v>
      </c>
    </row>
    <row r="72" spans="1:75" ht="12.75" customHeight="1">
      <c r="A72" s="6" t="s">
        <v>63</v>
      </c>
      <c r="B72" s="6" t="s">
        <v>1367</v>
      </c>
      <c r="C72" s="6"/>
      <c r="D72" s="6"/>
      <c r="E72" s="6"/>
      <c r="F72" s="6" t="s">
        <v>1368</v>
      </c>
      <c r="G72" s="6"/>
      <c r="H72" s="6"/>
      <c r="I72" s="6" t="s">
        <v>1369</v>
      </c>
      <c r="J72" s="6" t="s">
        <v>434</v>
      </c>
      <c r="K72" s="6"/>
      <c r="L72" s="6"/>
      <c r="M72" s="6"/>
      <c r="N72" s="6"/>
      <c r="O72" s="6"/>
      <c r="P72" s="6"/>
      <c r="Q72" s="6"/>
      <c r="R72" s="6"/>
      <c r="S72" s="6"/>
      <c r="T72" s="6" t="s">
        <v>1370</v>
      </c>
      <c r="U72" s="6"/>
      <c r="V72" s="6"/>
      <c r="W72" s="6"/>
      <c r="X72" s="6"/>
      <c r="Y72" s="6" t="s">
        <v>1371</v>
      </c>
      <c r="Z72" s="6" t="s">
        <v>1372</v>
      </c>
      <c r="AA72" s="6"/>
      <c r="AB72" s="6"/>
      <c r="AC72" s="6"/>
      <c r="AD72" s="6"/>
      <c r="AE72" s="6"/>
      <c r="AF72" s="6"/>
      <c r="AG72" s="6"/>
      <c r="AH72" s="6"/>
      <c r="AI72" s="6"/>
      <c r="AJ72" s="6"/>
      <c r="AK72" s="6"/>
      <c r="AL72" s="6"/>
      <c r="AM72" s="6" t="s">
        <v>436</v>
      </c>
      <c r="AN72" s="6" t="s">
        <v>568</v>
      </c>
      <c r="AO72" s="6"/>
      <c r="AP72" s="6"/>
      <c r="AQ72" s="6"/>
      <c r="AR72" s="6" t="s">
        <v>65</v>
      </c>
      <c r="AS72" s="6">
        <v>2014</v>
      </c>
      <c r="AT72" s="6">
        <v>55</v>
      </c>
      <c r="AU72" s="6"/>
      <c r="AV72" s="6"/>
      <c r="AW72" s="6"/>
      <c r="AX72" s="6"/>
      <c r="AY72" s="6"/>
      <c r="AZ72" s="6">
        <v>127</v>
      </c>
      <c r="BA72" s="6">
        <v>137</v>
      </c>
      <c r="BB72" s="6"/>
      <c r="BC72" s="6" t="s">
        <v>1373</v>
      </c>
      <c r="BD72" s="9" t="str">
        <f>HYPERLINK("http://dx.doi.org/10.1016/j.apgeog.2014.09.010","http://dx.doi.org/10.1016/j.apgeog.2014.09.010")</f>
        <v>http://dx.doi.org/10.1016/j.apgeog.2014.09.010</v>
      </c>
      <c r="BE72" s="6"/>
      <c r="BF72" s="6"/>
      <c r="BG72" s="6"/>
      <c r="BH72" s="6"/>
      <c r="BI72" s="6"/>
      <c r="BJ72" s="6" t="s">
        <v>1374</v>
      </c>
      <c r="BK72" s="6"/>
      <c r="BL72" s="6"/>
      <c r="BM72" s="6"/>
      <c r="BN72" s="6"/>
      <c r="BO72" s="6"/>
      <c r="BP72" s="6"/>
      <c r="BQ72" s="6"/>
      <c r="BR72" s="6"/>
      <c r="BS72" s="6"/>
      <c r="BT72" s="6"/>
      <c r="BU72" s="8" t="s">
        <v>7237</v>
      </c>
      <c r="BV72" s="8" t="s">
        <v>2039</v>
      </c>
      <c r="BW72" s="8" t="s">
        <v>7189</v>
      </c>
    </row>
    <row r="73" spans="1:75" ht="12.75" customHeight="1">
      <c r="A73" s="6" t="s">
        <v>63</v>
      </c>
      <c r="B73" s="6" t="s">
        <v>549</v>
      </c>
      <c r="C73" s="6"/>
      <c r="D73" s="6"/>
      <c r="E73" s="6"/>
      <c r="F73" s="6" t="s">
        <v>550</v>
      </c>
      <c r="G73" s="6"/>
      <c r="H73" s="6"/>
      <c r="I73" s="6" t="s">
        <v>551</v>
      </c>
      <c r="J73" s="6" t="s">
        <v>552</v>
      </c>
      <c r="K73" s="6"/>
      <c r="L73" s="6"/>
      <c r="M73" s="6"/>
      <c r="N73" s="6"/>
      <c r="O73" s="6"/>
      <c r="P73" s="6"/>
      <c r="Q73" s="6"/>
      <c r="R73" s="6"/>
      <c r="S73" s="6"/>
      <c r="T73" s="6" t="s">
        <v>553</v>
      </c>
      <c r="U73" s="6"/>
      <c r="V73" s="6"/>
      <c r="W73" s="6"/>
      <c r="X73" s="6"/>
      <c r="Y73" s="6"/>
      <c r="Z73" s="6"/>
      <c r="AA73" s="6"/>
      <c r="AB73" s="6"/>
      <c r="AC73" s="6"/>
      <c r="AD73" s="6"/>
      <c r="AE73" s="6"/>
      <c r="AF73" s="6"/>
      <c r="AG73" s="6"/>
      <c r="AH73" s="6"/>
      <c r="AI73" s="6"/>
      <c r="AJ73" s="6"/>
      <c r="AK73" s="6"/>
      <c r="AL73" s="6"/>
      <c r="AM73" s="6" t="s">
        <v>554</v>
      </c>
      <c r="AN73" s="6" t="s">
        <v>555</v>
      </c>
      <c r="AO73" s="6"/>
      <c r="AP73" s="6"/>
      <c r="AQ73" s="6"/>
      <c r="AR73" s="6" t="s">
        <v>536</v>
      </c>
      <c r="AS73" s="6">
        <v>2011</v>
      </c>
      <c r="AT73" s="6">
        <v>30</v>
      </c>
      <c r="AU73" s="6">
        <v>1</v>
      </c>
      <c r="AV73" s="6"/>
      <c r="AW73" s="6"/>
      <c r="AX73" s="6"/>
      <c r="AY73" s="6"/>
      <c r="AZ73" s="6">
        <v>153</v>
      </c>
      <c r="BA73" s="6">
        <v>176</v>
      </c>
      <c r="BB73" s="6"/>
      <c r="BC73" s="6" t="s">
        <v>556</v>
      </c>
      <c r="BD73" s="9" t="str">
        <f>HYPERLINK("http://dx.doi.org/10.1002/pam.20550","http://dx.doi.org/10.1002/pam.20550")</f>
        <v>http://dx.doi.org/10.1002/pam.20550</v>
      </c>
      <c r="BE73" s="6"/>
      <c r="BF73" s="6"/>
      <c r="BG73" s="6"/>
      <c r="BH73" s="6"/>
      <c r="BI73" s="6"/>
      <c r="BJ73" s="6" t="s">
        <v>557</v>
      </c>
      <c r="BK73" s="6"/>
      <c r="BL73" s="6"/>
      <c r="BM73" s="6"/>
      <c r="BN73" s="6"/>
      <c r="BO73" s="6"/>
      <c r="BP73" s="6"/>
      <c r="BQ73" s="6"/>
      <c r="BR73" s="6"/>
      <c r="BS73" s="6"/>
      <c r="BT73" s="6"/>
      <c r="BU73" s="8" t="s">
        <v>7201</v>
      </c>
      <c r="BV73" s="8" t="s">
        <v>7188</v>
      </c>
      <c r="BW73" s="8" t="s">
        <v>7189</v>
      </c>
    </row>
    <row r="74" spans="1:75" ht="12.75" customHeight="1">
      <c r="A74" s="6" t="s">
        <v>63</v>
      </c>
      <c r="B74" s="6" t="s">
        <v>3634</v>
      </c>
      <c r="C74" s="6"/>
      <c r="D74" s="6"/>
      <c r="E74" s="6"/>
      <c r="F74" s="6" t="s">
        <v>3635</v>
      </c>
      <c r="G74" s="6"/>
      <c r="H74" s="6"/>
      <c r="I74" s="6" t="s">
        <v>3636</v>
      </c>
      <c r="J74" s="6" t="s">
        <v>3374</v>
      </c>
      <c r="K74" s="6"/>
      <c r="L74" s="6"/>
      <c r="M74" s="6"/>
      <c r="N74" s="6"/>
      <c r="O74" s="6"/>
      <c r="P74" s="6"/>
      <c r="Q74" s="6"/>
      <c r="R74" s="6"/>
      <c r="S74" s="6"/>
      <c r="T74" s="6" t="s">
        <v>3637</v>
      </c>
      <c r="U74" s="6"/>
      <c r="V74" s="6"/>
      <c r="W74" s="6"/>
      <c r="X74" s="6"/>
      <c r="Y74" s="6" t="s">
        <v>3638</v>
      </c>
      <c r="Z74" s="6" t="s">
        <v>3639</v>
      </c>
      <c r="AA74" s="6"/>
      <c r="AB74" s="6"/>
      <c r="AC74" s="6"/>
      <c r="AD74" s="6"/>
      <c r="AE74" s="6"/>
      <c r="AF74" s="6"/>
      <c r="AG74" s="6"/>
      <c r="AH74" s="6"/>
      <c r="AI74" s="6"/>
      <c r="AJ74" s="6"/>
      <c r="AK74" s="6"/>
      <c r="AL74" s="6"/>
      <c r="AM74" s="6"/>
      <c r="AN74" s="6" t="s">
        <v>3377</v>
      </c>
      <c r="AO74" s="6"/>
      <c r="AP74" s="6"/>
      <c r="AQ74" s="6"/>
      <c r="AR74" s="6" t="s">
        <v>339</v>
      </c>
      <c r="AS74" s="6">
        <v>2019</v>
      </c>
      <c r="AT74" s="6">
        <v>11</v>
      </c>
      <c r="AU74" s="6">
        <v>7</v>
      </c>
      <c r="AV74" s="6"/>
      <c r="AW74" s="6"/>
      <c r="AX74" s="6"/>
      <c r="AY74" s="6"/>
      <c r="AZ74" s="6"/>
      <c r="BA74" s="6"/>
      <c r="BB74" s="6">
        <v>1963</v>
      </c>
      <c r="BC74" s="6" t="s">
        <v>3640</v>
      </c>
      <c r="BD74" s="9" t="str">
        <f>HYPERLINK("http://dx.doi.org/10.3390/su11071963","http://dx.doi.org/10.3390/su11071963")</f>
        <v>http://dx.doi.org/10.3390/su11071963</v>
      </c>
      <c r="BE74" s="6"/>
      <c r="BF74" s="6"/>
      <c r="BG74" s="6"/>
      <c r="BH74" s="6"/>
      <c r="BI74" s="6"/>
      <c r="BJ74" s="6" t="s">
        <v>3641</v>
      </c>
      <c r="BK74" s="6"/>
      <c r="BL74" s="6"/>
      <c r="BM74" s="6"/>
      <c r="BN74" s="6"/>
      <c r="BO74" s="6"/>
      <c r="BP74" s="6"/>
      <c r="BQ74" s="6"/>
      <c r="BR74" s="6"/>
      <c r="BS74" s="6"/>
      <c r="BT74" s="6"/>
      <c r="BU74" s="8" t="s">
        <v>7238</v>
      </c>
      <c r="BV74" s="8" t="s">
        <v>7239</v>
      </c>
      <c r="BW74" s="8" t="s">
        <v>7240</v>
      </c>
    </row>
    <row r="75" spans="1:75" ht="12.75" customHeight="1">
      <c r="A75" s="3" t="s">
        <v>63</v>
      </c>
      <c r="B75" s="3" t="s">
        <v>3272</v>
      </c>
      <c r="C75" s="3"/>
      <c r="D75" s="3"/>
      <c r="E75" s="3"/>
      <c r="F75" s="3" t="s">
        <v>3273</v>
      </c>
      <c r="G75" s="3"/>
      <c r="H75" s="3"/>
      <c r="I75" s="3" t="s">
        <v>3274</v>
      </c>
      <c r="J75" s="3" t="s">
        <v>905</v>
      </c>
      <c r="K75" s="3"/>
      <c r="L75" s="3"/>
      <c r="M75" s="3"/>
      <c r="N75" s="3"/>
      <c r="O75" s="3"/>
      <c r="P75" s="3"/>
      <c r="Q75" s="3"/>
      <c r="R75" s="3"/>
      <c r="S75" s="3"/>
      <c r="T75" s="3" t="s">
        <v>3275</v>
      </c>
      <c r="U75" s="3"/>
      <c r="V75" s="3"/>
      <c r="W75" s="3"/>
      <c r="X75" s="3"/>
      <c r="Y75" s="3"/>
      <c r="Z75" s="3" t="s">
        <v>3276</v>
      </c>
      <c r="AA75" s="3"/>
      <c r="AB75" s="3"/>
      <c r="AC75" s="3"/>
      <c r="AD75" s="3"/>
      <c r="AE75" s="3"/>
      <c r="AF75" s="3"/>
      <c r="AG75" s="3"/>
      <c r="AH75" s="3"/>
      <c r="AI75" s="3"/>
      <c r="AJ75" s="3"/>
      <c r="AK75" s="3"/>
      <c r="AL75" s="3"/>
      <c r="AM75" s="3" t="s">
        <v>908</v>
      </c>
      <c r="AN75" s="3" t="s">
        <v>909</v>
      </c>
      <c r="AO75" s="3"/>
      <c r="AP75" s="3"/>
      <c r="AQ75" s="3"/>
      <c r="AR75" s="3" t="s">
        <v>64</v>
      </c>
      <c r="AS75" s="3">
        <v>2018</v>
      </c>
      <c r="AT75" s="3">
        <v>118</v>
      </c>
      <c r="AU75" s="3">
        <v>11</v>
      </c>
      <c r="AV75" s="3"/>
      <c r="AW75" s="3"/>
      <c r="AX75" s="3"/>
      <c r="AY75" s="3"/>
      <c r="AZ75" s="3">
        <v>2045</v>
      </c>
      <c r="BA75" s="3">
        <v>2056</v>
      </c>
      <c r="BB75" s="3"/>
      <c r="BC75" s="3" t="s">
        <v>3277</v>
      </c>
      <c r="BD75" s="15" t="str">
        <f>HYPERLINK("http://dx.doi.org/10.1016/j.jand.2018.04.016","http://dx.doi.org/10.1016/j.jand.2018.04.016")</f>
        <v>http://dx.doi.org/10.1016/j.jand.2018.04.016</v>
      </c>
      <c r="BE75" s="3"/>
      <c r="BF75" s="3"/>
      <c r="BG75" s="3"/>
      <c r="BH75" s="3"/>
      <c r="BI75" s="3">
        <v>29934282</v>
      </c>
      <c r="BJ75" s="3" t="s">
        <v>3278</v>
      </c>
      <c r="BK75" s="3"/>
      <c r="BL75" s="3"/>
      <c r="BM75" s="3"/>
      <c r="BN75" s="3"/>
      <c r="BO75" s="3"/>
      <c r="BP75" s="3"/>
      <c r="BQ75" s="3"/>
      <c r="BR75" s="3"/>
      <c r="BS75" s="3"/>
      <c r="BT75" s="3"/>
      <c r="BU75" s="1" t="s">
        <v>7193</v>
      </c>
      <c r="BV75" s="2" t="s">
        <v>7188</v>
      </c>
      <c r="BW75" s="2" t="s">
        <v>7189</v>
      </c>
    </row>
    <row r="76" spans="1:75" ht="12.75" customHeight="1">
      <c r="A76" s="3" t="s">
        <v>63</v>
      </c>
      <c r="B76" s="3" t="s">
        <v>4815</v>
      </c>
      <c r="C76" s="3"/>
      <c r="D76" s="3"/>
      <c r="E76" s="3"/>
      <c r="F76" s="3" t="s">
        <v>4816</v>
      </c>
      <c r="G76" s="3"/>
      <c r="H76" s="3"/>
      <c r="I76" s="3" t="s">
        <v>4817</v>
      </c>
      <c r="J76" s="3" t="s">
        <v>423</v>
      </c>
      <c r="K76" s="3"/>
      <c r="L76" s="3"/>
      <c r="M76" s="3"/>
      <c r="N76" s="3"/>
      <c r="O76" s="3"/>
      <c r="P76" s="3"/>
      <c r="Q76" s="3"/>
      <c r="R76" s="3"/>
      <c r="S76" s="3"/>
      <c r="T76" s="3" t="s">
        <v>4818</v>
      </c>
      <c r="U76" s="3"/>
      <c r="V76" s="3"/>
      <c r="W76" s="3"/>
      <c r="X76" s="3"/>
      <c r="Y76" s="3"/>
      <c r="Z76" s="3"/>
      <c r="AA76" s="3"/>
      <c r="AB76" s="3"/>
      <c r="AC76" s="3"/>
      <c r="AD76" s="3"/>
      <c r="AE76" s="3"/>
      <c r="AF76" s="3"/>
      <c r="AG76" s="3"/>
      <c r="AH76" s="3"/>
      <c r="AI76" s="3"/>
      <c r="AJ76" s="3"/>
      <c r="AK76" s="3"/>
      <c r="AL76" s="3"/>
      <c r="AM76" s="3" t="s">
        <v>427</v>
      </c>
      <c r="AN76" s="3" t="s">
        <v>428</v>
      </c>
      <c r="AO76" s="3"/>
      <c r="AP76" s="3"/>
      <c r="AQ76" s="3"/>
      <c r="AR76" s="3" t="s">
        <v>3893</v>
      </c>
      <c r="AS76" s="3">
        <v>2021</v>
      </c>
      <c r="AT76" s="3">
        <v>16</v>
      </c>
      <c r="AU76" s="3">
        <v>3</v>
      </c>
      <c r="AV76" s="3"/>
      <c r="AW76" s="3"/>
      <c r="AX76" s="3"/>
      <c r="AY76" s="3"/>
      <c r="AZ76" s="3">
        <v>423</v>
      </c>
      <c r="BA76" s="3">
        <v>441</v>
      </c>
      <c r="BB76" s="3"/>
      <c r="BC76" s="3" t="s">
        <v>4819</v>
      </c>
      <c r="BD76" s="15" t="str">
        <f>HYPERLINK("http://dx.doi.org/10.1080/19320248.2019.1649778","http://dx.doi.org/10.1080/19320248.2019.1649778")</f>
        <v>http://dx.doi.org/10.1080/19320248.2019.1649778</v>
      </c>
      <c r="BE76" s="3"/>
      <c r="BF76" s="3"/>
      <c r="BG76" s="3"/>
      <c r="BH76" s="3"/>
      <c r="BI76" s="3"/>
      <c r="BJ76" s="3" t="s">
        <v>4820</v>
      </c>
      <c r="BK76" s="3"/>
      <c r="BL76" s="3"/>
      <c r="BM76" s="3"/>
      <c r="BN76" s="3"/>
      <c r="BO76" s="3"/>
      <c r="BP76" s="3"/>
      <c r="BQ76" s="3"/>
      <c r="BR76" s="3"/>
      <c r="BS76" s="3"/>
      <c r="BT76" s="3"/>
      <c r="BU76" s="1" t="s">
        <v>7241</v>
      </c>
      <c r="BV76" s="2" t="s">
        <v>7188</v>
      </c>
      <c r="BW76" s="2" t="s">
        <v>7189</v>
      </c>
    </row>
    <row r="77" spans="1:75" ht="12.75" customHeight="1">
      <c r="A77" s="6" t="s">
        <v>63</v>
      </c>
      <c r="B77" s="6" t="s">
        <v>1714</v>
      </c>
      <c r="C77" s="6"/>
      <c r="D77" s="6"/>
      <c r="E77" s="6"/>
      <c r="F77" s="6" t="s">
        <v>1715</v>
      </c>
      <c r="G77" s="6"/>
      <c r="H77" s="6"/>
      <c r="I77" s="6" t="s">
        <v>1716</v>
      </c>
      <c r="J77" s="6" t="s">
        <v>1717</v>
      </c>
      <c r="K77" s="6"/>
      <c r="L77" s="6"/>
      <c r="M77" s="6"/>
      <c r="N77" s="6"/>
      <c r="O77" s="6"/>
      <c r="P77" s="6"/>
      <c r="Q77" s="6"/>
      <c r="R77" s="6"/>
      <c r="S77" s="6"/>
      <c r="T77" s="6" t="s">
        <v>1718</v>
      </c>
      <c r="U77" s="6"/>
      <c r="V77" s="6"/>
      <c r="W77" s="6"/>
      <c r="X77" s="6"/>
      <c r="Y77" s="6" t="s">
        <v>1719</v>
      </c>
      <c r="Z77" s="6" t="s">
        <v>1720</v>
      </c>
      <c r="AA77" s="6"/>
      <c r="AB77" s="6"/>
      <c r="AC77" s="6"/>
      <c r="AD77" s="6"/>
      <c r="AE77" s="6"/>
      <c r="AF77" s="6"/>
      <c r="AG77" s="6"/>
      <c r="AH77" s="6"/>
      <c r="AI77" s="6"/>
      <c r="AJ77" s="6"/>
      <c r="AK77" s="6"/>
      <c r="AL77" s="6"/>
      <c r="AM77" s="6" t="s">
        <v>1721</v>
      </c>
      <c r="AN77" s="6" t="s">
        <v>1722</v>
      </c>
      <c r="AO77" s="6"/>
      <c r="AP77" s="6"/>
      <c r="AQ77" s="6"/>
      <c r="AR77" s="6" t="s">
        <v>1723</v>
      </c>
      <c r="AS77" s="6">
        <v>2015</v>
      </c>
      <c r="AT77" s="6"/>
      <c r="AU77" s="6">
        <v>25</v>
      </c>
      <c r="AV77" s="6"/>
      <c r="AW77" s="6"/>
      <c r="AX77" s="6"/>
      <c r="AY77" s="6"/>
      <c r="AZ77" s="6">
        <v>87</v>
      </c>
      <c r="BA77" s="6">
        <v>102</v>
      </c>
      <c r="BB77" s="6"/>
      <c r="BC77" s="6"/>
      <c r="BD77" s="6"/>
      <c r="BE77" s="6"/>
      <c r="BF77" s="6"/>
      <c r="BG77" s="6"/>
      <c r="BH77" s="6"/>
      <c r="BI77" s="6"/>
      <c r="BJ77" s="6" t="s">
        <v>1724</v>
      </c>
      <c r="BK77" s="6"/>
      <c r="BL77" s="6"/>
      <c r="BM77" s="6"/>
      <c r="BN77" s="6"/>
      <c r="BO77" s="6"/>
      <c r="BP77" s="6"/>
      <c r="BQ77" s="6"/>
      <c r="BR77" s="6"/>
      <c r="BS77" s="6"/>
      <c r="BT77" s="6"/>
      <c r="BU77" s="8" t="s">
        <v>7193</v>
      </c>
      <c r="BV77" s="8" t="s">
        <v>7242</v>
      </c>
      <c r="BW77" s="8" t="s">
        <v>7205</v>
      </c>
    </row>
    <row r="78" spans="1:75" ht="12.75" customHeight="1">
      <c r="A78" s="6" t="s">
        <v>63</v>
      </c>
      <c r="B78" s="6" t="s">
        <v>2726</v>
      </c>
      <c r="C78" s="6"/>
      <c r="D78" s="6"/>
      <c r="E78" s="6"/>
      <c r="F78" s="6" t="s">
        <v>2727</v>
      </c>
      <c r="G78" s="6"/>
      <c r="H78" s="6"/>
      <c r="I78" s="6" t="s">
        <v>2728</v>
      </c>
      <c r="J78" s="6" t="s">
        <v>193</v>
      </c>
      <c r="K78" s="6"/>
      <c r="L78" s="6"/>
      <c r="M78" s="6"/>
      <c r="N78" s="6"/>
      <c r="O78" s="6"/>
      <c r="P78" s="6"/>
      <c r="Q78" s="6"/>
      <c r="R78" s="6"/>
      <c r="S78" s="6"/>
      <c r="T78" s="6" t="s">
        <v>2729</v>
      </c>
      <c r="U78" s="6"/>
      <c r="V78" s="6"/>
      <c r="W78" s="6"/>
      <c r="X78" s="6"/>
      <c r="Y78" s="6" t="s">
        <v>2730</v>
      </c>
      <c r="Z78" s="6" t="s">
        <v>2731</v>
      </c>
      <c r="AA78" s="6"/>
      <c r="AB78" s="6"/>
      <c r="AC78" s="6"/>
      <c r="AD78" s="6"/>
      <c r="AE78" s="6"/>
      <c r="AF78" s="6"/>
      <c r="AG78" s="6"/>
      <c r="AH78" s="6"/>
      <c r="AI78" s="6"/>
      <c r="AJ78" s="6"/>
      <c r="AK78" s="6"/>
      <c r="AL78" s="6"/>
      <c r="AM78" s="6" t="s">
        <v>197</v>
      </c>
      <c r="AN78" s="6" t="s">
        <v>198</v>
      </c>
      <c r="AO78" s="6"/>
      <c r="AP78" s="6"/>
      <c r="AQ78" s="6"/>
      <c r="AR78" s="6"/>
      <c r="AS78" s="6">
        <v>2017</v>
      </c>
      <c r="AT78" s="6">
        <v>69</v>
      </c>
      <c r="AU78" s="6">
        <v>3</v>
      </c>
      <c r="AV78" s="6"/>
      <c r="AW78" s="6"/>
      <c r="AX78" s="6"/>
      <c r="AY78" s="6"/>
      <c r="AZ78" s="6">
        <v>455</v>
      </c>
      <c r="BA78" s="6">
        <v>471</v>
      </c>
      <c r="BB78" s="6"/>
      <c r="BC78" s="6" t="s">
        <v>2732</v>
      </c>
      <c r="BD78" s="9" t="str">
        <f>HYPERLINK("http://dx.doi.org/10.1080/00330124.2016.1266949","http://dx.doi.org/10.1080/00330124.2016.1266949")</f>
        <v>http://dx.doi.org/10.1080/00330124.2016.1266949</v>
      </c>
      <c r="BE78" s="6"/>
      <c r="BF78" s="6"/>
      <c r="BG78" s="6"/>
      <c r="BH78" s="6"/>
      <c r="BI78" s="6"/>
      <c r="BJ78" s="6" t="s">
        <v>2733</v>
      </c>
      <c r="BK78" s="6"/>
      <c r="BL78" s="6"/>
      <c r="BM78" s="6"/>
      <c r="BN78" s="6"/>
      <c r="BO78" s="6"/>
      <c r="BP78" s="6"/>
      <c r="BQ78" s="6"/>
      <c r="BR78" s="6"/>
      <c r="BS78" s="6"/>
      <c r="BT78" s="6"/>
      <c r="BU78" s="8" t="s">
        <v>7243</v>
      </c>
      <c r="BV78" s="8" t="s">
        <v>7244</v>
      </c>
      <c r="BW78" s="8" t="s">
        <v>7245</v>
      </c>
    </row>
    <row r="79" spans="1:75" ht="12.75" customHeight="1">
      <c r="A79" s="6" t="s">
        <v>63</v>
      </c>
      <c r="B79" s="6" t="s">
        <v>6050</v>
      </c>
      <c r="C79" s="6"/>
      <c r="D79" s="6"/>
      <c r="E79" s="6"/>
      <c r="F79" s="6" t="s">
        <v>6051</v>
      </c>
      <c r="G79" s="6"/>
      <c r="H79" s="6"/>
      <c r="I79" s="6" t="s">
        <v>6052</v>
      </c>
      <c r="J79" s="6" t="s">
        <v>502</v>
      </c>
      <c r="K79" s="6"/>
      <c r="L79" s="6"/>
      <c r="M79" s="6"/>
      <c r="N79" s="6"/>
      <c r="O79" s="6"/>
      <c r="P79" s="6"/>
      <c r="Q79" s="6"/>
      <c r="R79" s="6"/>
      <c r="S79" s="6"/>
      <c r="T79" s="6" t="s">
        <v>6053</v>
      </c>
      <c r="U79" s="6"/>
      <c r="V79" s="6"/>
      <c r="W79" s="6"/>
      <c r="X79" s="6"/>
      <c r="Y79" s="6" t="s">
        <v>6054</v>
      </c>
      <c r="Z79" s="6" t="s">
        <v>6055</v>
      </c>
      <c r="AA79" s="6"/>
      <c r="AB79" s="6"/>
      <c r="AC79" s="6"/>
      <c r="AD79" s="6"/>
      <c r="AE79" s="6"/>
      <c r="AF79" s="6"/>
      <c r="AG79" s="6"/>
      <c r="AH79" s="6"/>
      <c r="AI79" s="6"/>
      <c r="AJ79" s="6"/>
      <c r="AK79" s="6"/>
      <c r="AL79" s="6"/>
      <c r="AM79" s="6" t="s">
        <v>506</v>
      </c>
      <c r="AN79" s="6" t="s">
        <v>507</v>
      </c>
      <c r="AO79" s="6"/>
      <c r="AP79" s="6"/>
      <c r="AQ79" s="6"/>
      <c r="AR79" s="6" t="s">
        <v>92</v>
      </c>
      <c r="AS79" s="6">
        <v>2023</v>
      </c>
      <c r="AT79" s="6">
        <v>100</v>
      </c>
      <c r="AU79" s="6">
        <v>5</v>
      </c>
      <c r="AV79" s="6"/>
      <c r="AW79" s="6"/>
      <c r="AX79" s="6"/>
      <c r="AY79" s="6"/>
      <c r="AZ79" s="6">
        <v>950</v>
      </c>
      <c r="BA79" s="6">
        <v>961</v>
      </c>
      <c r="BB79" s="6"/>
      <c r="BC79" s="6" t="s">
        <v>6056</v>
      </c>
      <c r="BD79" s="9" t="str">
        <f>HYPERLINK("http://dx.doi.org/10.1007/s11524-023-00772-5","http://dx.doi.org/10.1007/s11524-023-00772-5")</f>
        <v>http://dx.doi.org/10.1007/s11524-023-00772-5</v>
      </c>
      <c r="BE79" s="6"/>
      <c r="BF79" s="6" t="s">
        <v>6057</v>
      </c>
      <c r="BG79" s="6"/>
      <c r="BH79" s="6"/>
      <c r="BI79" s="6">
        <v>37605103</v>
      </c>
      <c r="BJ79" s="6" t="s">
        <v>6058</v>
      </c>
      <c r="BK79" s="6"/>
      <c r="BL79" s="6"/>
      <c r="BM79" s="6"/>
      <c r="BN79" s="6"/>
      <c r="BO79" s="6"/>
      <c r="BP79" s="6"/>
      <c r="BQ79" s="6"/>
      <c r="BR79" s="6"/>
      <c r="BS79" s="6"/>
      <c r="BT79" s="6"/>
      <c r="BU79" s="8" t="s">
        <v>7201</v>
      </c>
      <c r="BV79" s="8" t="s">
        <v>7188</v>
      </c>
      <c r="BW79" s="8" t="s">
        <v>7189</v>
      </c>
    </row>
    <row r="80" spans="1:75" ht="12.75" customHeight="1">
      <c r="A80" s="6" t="s">
        <v>63</v>
      </c>
      <c r="B80" s="6" t="s">
        <v>4731</v>
      </c>
      <c r="C80" s="6"/>
      <c r="D80" s="6"/>
      <c r="E80" s="6"/>
      <c r="F80" s="6" t="s">
        <v>4732</v>
      </c>
      <c r="G80" s="6"/>
      <c r="H80" s="6"/>
      <c r="I80" s="6" t="s">
        <v>4821</v>
      </c>
      <c r="J80" s="6" t="s">
        <v>1142</v>
      </c>
      <c r="K80" s="6"/>
      <c r="L80" s="6"/>
      <c r="M80" s="6"/>
      <c r="N80" s="6"/>
      <c r="O80" s="6"/>
      <c r="P80" s="6"/>
      <c r="Q80" s="6"/>
      <c r="R80" s="6"/>
      <c r="S80" s="6"/>
      <c r="T80" s="6" t="s">
        <v>4822</v>
      </c>
      <c r="U80" s="6"/>
      <c r="V80" s="6"/>
      <c r="W80" s="6"/>
      <c r="X80" s="6"/>
      <c r="Y80" s="6" t="s">
        <v>4823</v>
      </c>
      <c r="Z80" s="6" t="s">
        <v>4824</v>
      </c>
      <c r="AA80" s="6"/>
      <c r="AB80" s="6"/>
      <c r="AC80" s="6"/>
      <c r="AD80" s="6"/>
      <c r="AE80" s="6"/>
      <c r="AF80" s="6"/>
      <c r="AG80" s="6"/>
      <c r="AH80" s="6"/>
      <c r="AI80" s="6"/>
      <c r="AJ80" s="6"/>
      <c r="AK80" s="6"/>
      <c r="AL80" s="6"/>
      <c r="AM80" s="6"/>
      <c r="AN80" s="6" t="s">
        <v>1144</v>
      </c>
      <c r="AO80" s="6"/>
      <c r="AP80" s="6"/>
      <c r="AQ80" s="6"/>
      <c r="AR80" s="6" t="s">
        <v>82</v>
      </c>
      <c r="AS80" s="6">
        <v>2021</v>
      </c>
      <c r="AT80" s="6">
        <v>18</v>
      </c>
      <c r="AU80" s="6">
        <v>5</v>
      </c>
      <c r="AV80" s="6"/>
      <c r="AW80" s="6"/>
      <c r="AX80" s="6"/>
      <c r="AY80" s="6"/>
      <c r="AZ80" s="6"/>
      <c r="BA80" s="6"/>
      <c r="BB80" s="6">
        <v>2675</v>
      </c>
      <c r="BC80" s="6" t="s">
        <v>4825</v>
      </c>
      <c r="BD80" s="9" t="str">
        <f>HYPERLINK("http://dx.doi.org/10.3390/ijerph18052675","http://dx.doi.org/10.3390/ijerph18052675")</f>
        <v>http://dx.doi.org/10.3390/ijerph18052675</v>
      </c>
      <c r="BE80" s="6"/>
      <c r="BF80" s="6"/>
      <c r="BG80" s="6"/>
      <c r="BH80" s="6"/>
      <c r="BI80" s="6">
        <v>33799939</v>
      </c>
      <c r="BJ80" s="6" t="s">
        <v>4826</v>
      </c>
      <c r="BK80" s="6"/>
      <c r="BL80" s="6"/>
      <c r="BM80" s="6"/>
      <c r="BN80" s="6"/>
      <c r="BO80" s="6"/>
      <c r="BP80" s="6"/>
      <c r="BQ80" s="6"/>
      <c r="BR80" s="6"/>
      <c r="BS80" s="6"/>
      <c r="BT80" s="6"/>
      <c r="BU80" s="8" t="s">
        <v>7246</v>
      </c>
      <c r="BV80" s="8" t="s">
        <v>7188</v>
      </c>
      <c r="BW80" s="8" t="s">
        <v>7189</v>
      </c>
    </row>
    <row r="81" spans="1:75" ht="12.75" customHeight="1">
      <c r="A81" s="3" t="s">
        <v>63</v>
      </c>
      <c r="B81" s="3" t="s">
        <v>2734</v>
      </c>
      <c r="C81" s="3"/>
      <c r="D81" s="3"/>
      <c r="E81" s="3"/>
      <c r="F81" s="3" t="s">
        <v>2735</v>
      </c>
      <c r="G81" s="3"/>
      <c r="H81" s="3"/>
      <c r="I81" s="3" t="s">
        <v>2736</v>
      </c>
      <c r="J81" s="3" t="s">
        <v>2737</v>
      </c>
      <c r="K81" s="3"/>
      <c r="L81" s="3"/>
      <c r="M81" s="3"/>
      <c r="N81" s="3"/>
      <c r="O81" s="3"/>
      <c r="P81" s="3"/>
      <c r="Q81" s="3"/>
      <c r="R81" s="3"/>
      <c r="S81" s="3"/>
      <c r="T81" s="3" t="s">
        <v>2738</v>
      </c>
      <c r="U81" s="3"/>
      <c r="V81" s="3"/>
      <c r="W81" s="3"/>
      <c r="X81" s="3"/>
      <c r="Y81" s="3" t="s">
        <v>2739</v>
      </c>
      <c r="Z81" s="3"/>
      <c r="AA81" s="3"/>
      <c r="AB81" s="3"/>
      <c r="AC81" s="3"/>
      <c r="AD81" s="3"/>
      <c r="AE81" s="3"/>
      <c r="AF81" s="3"/>
      <c r="AG81" s="3"/>
      <c r="AH81" s="3"/>
      <c r="AI81" s="3"/>
      <c r="AJ81" s="3"/>
      <c r="AK81" s="3"/>
      <c r="AL81" s="3"/>
      <c r="AM81" s="3" t="s">
        <v>2740</v>
      </c>
      <c r="AN81" s="3" t="s">
        <v>2741</v>
      </c>
      <c r="AO81" s="3"/>
      <c r="AP81" s="3"/>
      <c r="AQ81" s="3"/>
      <c r="AR81" s="3" t="s">
        <v>2048</v>
      </c>
      <c r="AS81" s="3">
        <v>2017</v>
      </c>
      <c r="AT81" s="3">
        <v>28</v>
      </c>
      <c r="AU81" s="3">
        <v>2</v>
      </c>
      <c r="AV81" s="3"/>
      <c r="AW81" s="3"/>
      <c r="AX81" s="3"/>
      <c r="AY81" s="3"/>
      <c r="AZ81" s="3">
        <v>67</v>
      </c>
      <c r="BA81" s="3">
        <v>72</v>
      </c>
      <c r="BB81" s="3"/>
      <c r="BC81" s="3"/>
      <c r="BD81" s="3"/>
      <c r="BE81" s="3"/>
      <c r="BF81" s="3"/>
      <c r="BG81" s="3"/>
      <c r="BH81" s="3"/>
      <c r="BI81" s="3"/>
      <c r="BJ81" s="3" t="s">
        <v>2742</v>
      </c>
      <c r="BK81" s="3"/>
      <c r="BL81" s="3"/>
      <c r="BM81" s="3"/>
      <c r="BN81" s="3"/>
      <c r="BO81" s="3"/>
      <c r="BP81" s="3"/>
      <c r="BQ81" s="3"/>
      <c r="BR81" s="3"/>
      <c r="BS81" s="3"/>
      <c r="BT81" s="3"/>
      <c r="BU81" s="1" t="s">
        <v>7225</v>
      </c>
      <c r="BV81" s="2" t="s">
        <v>7188</v>
      </c>
      <c r="BW81" s="2" t="s">
        <v>7189</v>
      </c>
    </row>
    <row r="82" spans="1:75" ht="12.75" customHeight="1">
      <c r="A82" s="3" t="s">
        <v>63</v>
      </c>
      <c r="B82" s="3" t="s">
        <v>352</v>
      </c>
      <c r="C82" s="3"/>
      <c r="D82" s="3"/>
      <c r="E82" s="3"/>
      <c r="F82" s="3" t="s">
        <v>353</v>
      </c>
      <c r="G82" s="3"/>
      <c r="H82" s="3"/>
      <c r="I82" s="3" t="s">
        <v>354</v>
      </c>
      <c r="J82" s="3" t="s">
        <v>158</v>
      </c>
      <c r="K82" s="3"/>
      <c r="L82" s="3"/>
      <c r="M82" s="3"/>
      <c r="N82" s="3"/>
      <c r="O82" s="3"/>
      <c r="P82" s="3"/>
      <c r="Q82" s="3"/>
      <c r="R82" s="3"/>
      <c r="S82" s="3"/>
      <c r="T82" s="3" t="s">
        <v>355</v>
      </c>
      <c r="U82" s="3"/>
      <c r="V82" s="3"/>
      <c r="W82" s="3"/>
      <c r="X82" s="3"/>
      <c r="Y82" s="3" t="s">
        <v>356</v>
      </c>
      <c r="Z82" s="3" t="s">
        <v>357</v>
      </c>
      <c r="AA82" s="3"/>
      <c r="AB82" s="3"/>
      <c r="AC82" s="3"/>
      <c r="AD82" s="3"/>
      <c r="AE82" s="3"/>
      <c r="AF82" s="3"/>
      <c r="AG82" s="3"/>
      <c r="AH82" s="3"/>
      <c r="AI82" s="3"/>
      <c r="AJ82" s="3"/>
      <c r="AK82" s="3"/>
      <c r="AL82" s="3"/>
      <c r="AM82" s="3" t="s">
        <v>160</v>
      </c>
      <c r="AN82" s="3" t="s">
        <v>161</v>
      </c>
      <c r="AO82" s="3"/>
      <c r="AP82" s="3"/>
      <c r="AQ82" s="3"/>
      <c r="AR82" s="3" t="s">
        <v>66</v>
      </c>
      <c r="AS82" s="3">
        <v>2009</v>
      </c>
      <c r="AT82" s="3">
        <v>74</v>
      </c>
      <c r="AU82" s="3">
        <v>2</v>
      </c>
      <c r="AV82" s="3"/>
      <c r="AW82" s="3"/>
      <c r="AX82" s="3"/>
      <c r="AY82" s="3"/>
      <c r="AZ82" s="3">
        <v>153</v>
      </c>
      <c r="BA82" s="3">
        <v>177</v>
      </c>
      <c r="BB82" s="3"/>
      <c r="BC82" s="3" t="s">
        <v>358</v>
      </c>
      <c r="BD82" s="15" t="str">
        <f>HYPERLINK("http://dx.doi.org/10.1111/j.1549-0831.2009.tb00387.x","http://dx.doi.org/10.1111/j.1549-0831.2009.tb00387.x")</f>
        <v>http://dx.doi.org/10.1111/j.1549-0831.2009.tb00387.x</v>
      </c>
      <c r="BE82" s="3"/>
      <c r="BF82" s="3"/>
      <c r="BG82" s="3"/>
      <c r="BH82" s="3"/>
      <c r="BI82" s="3"/>
      <c r="BJ82" s="3" t="s">
        <v>359</v>
      </c>
      <c r="BK82" s="3"/>
      <c r="BL82" s="3"/>
      <c r="BM82" s="3"/>
      <c r="BN82" s="3"/>
      <c r="BO82" s="3"/>
      <c r="BP82" s="3"/>
      <c r="BQ82" s="3"/>
      <c r="BR82" s="3"/>
      <c r="BS82" s="3"/>
      <c r="BT82" s="3"/>
      <c r="BU82" s="13" t="s">
        <v>7199</v>
      </c>
      <c r="BV82" s="2" t="s">
        <v>7188</v>
      </c>
      <c r="BW82" s="2" t="s">
        <v>7189</v>
      </c>
    </row>
    <row r="83" spans="1:75" ht="12.75" customHeight="1">
      <c r="A83" s="6" t="s">
        <v>63</v>
      </c>
      <c r="B83" s="6" t="s">
        <v>6607</v>
      </c>
      <c r="C83" s="6"/>
      <c r="D83" s="6"/>
      <c r="E83" s="6"/>
      <c r="F83" s="6" t="s">
        <v>6608</v>
      </c>
      <c r="G83" s="6"/>
      <c r="H83" s="6"/>
      <c r="I83" s="6" t="s">
        <v>6433</v>
      </c>
      <c r="J83" s="6" t="s">
        <v>3528</v>
      </c>
      <c r="K83" s="6"/>
      <c r="L83" s="6"/>
      <c r="M83" s="6"/>
      <c r="N83" s="6"/>
      <c r="O83" s="6"/>
      <c r="P83" s="6"/>
      <c r="Q83" s="6"/>
      <c r="R83" s="6"/>
      <c r="S83" s="6"/>
      <c r="T83" s="6" t="s">
        <v>6609</v>
      </c>
      <c r="U83" s="6"/>
      <c r="V83" s="6"/>
      <c r="W83" s="6"/>
      <c r="X83" s="6"/>
      <c r="Y83" s="6"/>
      <c r="Z83" s="6"/>
      <c r="AA83" s="6"/>
      <c r="AB83" s="6"/>
      <c r="AC83" s="6"/>
      <c r="AD83" s="6"/>
      <c r="AE83" s="6"/>
      <c r="AF83" s="6"/>
      <c r="AG83" s="6"/>
      <c r="AH83" s="6"/>
      <c r="AI83" s="6"/>
      <c r="AJ83" s="6"/>
      <c r="AK83" s="6"/>
      <c r="AL83" s="6"/>
      <c r="AM83" s="6" t="s">
        <v>3530</v>
      </c>
      <c r="AN83" s="6" t="s">
        <v>3531</v>
      </c>
      <c r="AO83" s="6"/>
      <c r="AP83" s="6"/>
      <c r="AQ83" s="6"/>
      <c r="AR83" s="6" t="s">
        <v>445</v>
      </c>
      <c r="AS83" s="6">
        <v>2024</v>
      </c>
      <c r="AT83" s="6">
        <v>188</v>
      </c>
      <c r="AU83" s="6"/>
      <c r="AV83" s="6"/>
      <c r="AW83" s="6"/>
      <c r="AX83" s="6"/>
      <c r="AY83" s="6"/>
      <c r="AZ83" s="6">
        <v>8</v>
      </c>
      <c r="BA83" s="6">
        <v>12</v>
      </c>
      <c r="BB83" s="6"/>
      <c r="BC83" s="6" t="s">
        <v>6610</v>
      </c>
      <c r="BD83" s="9" t="str">
        <f>HYPERLINK("http://dx.doi.org/10.1016/j.ygyno.2024.05.029","http://dx.doi.org/10.1016/j.ygyno.2024.05.029")</f>
        <v>http://dx.doi.org/10.1016/j.ygyno.2024.05.029</v>
      </c>
      <c r="BE83" s="6"/>
      <c r="BF83" s="6" t="s">
        <v>122</v>
      </c>
      <c r="BG83" s="6"/>
      <c r="BH83" s="6"/>
      <c r="BI83" s="6">
        <v>38861918</v>
      </c>
      <c r="BJ83" s="6" t="s">
        <v>6611</v>
      </c>
      <c r="BK83" s="6"/>
      <c r="BL83" s="6"/>
      <c r="BM83" s="6"/>
      <c r="BN83" s="6"/>
      <c r="BO83" s="6"/>
      <c r="BP83" s="6"/>
      <c r="BQ83" s="6"/>
      <c r="BR83" s="6"/>
      <c r="BS83" s="6"/>
      <c r="BT83" s="6"/>
      <c r="BU83" s="8" t="s">
        <v>7247</v>
      </c>
      <c r="BV83" s="8" t="s">
        <v>7188</v>
      </c>
      <c r="BW83" s="8" t="s">
        <v>7189</v>
      </c>
    </row>
    <row r="84" spans="1:75" ht="12.75" customHeight="1">
      <c r="A84" s="3" t="s">
        <v>63</v>
      </c>
      <c r="B84" s="3" t="s">
        <v>4142</v>
      </c>
      <c r="C84" s="3"/>
      <c r="D84" s="3"/>
      <c r="E84" s="3"/>
      <c r="F84" s="3" t="s">
        <v>4143</v>
      </c>
      <c r="G84" s="3"/>
      <c r="H84" s="3"/>
      <c r="I84" s="3" t="s">
        <v>4144</v>
      </c>
      <c r="J84" s="3" t="s">
        <v>1004</v>
      </c>
      <c r="K84" s="3"/>
      <c r="L84" s="3"/>
      <c r="M84" s="3"/>
      <c r="N84" s="3"/>
      <c r="O84" s="3"/>
      <c r="P84" s="3"/>
      <c r="Q84" s="3"/>
      <c r="R84" s="3"/>
      <c r="S84" s="3"/>
      <c r="T84" s="3" t="s">
        <v>4145</v>
      </c>
      <c r="U84" s="3"/>
      <c r="V84" s="3"/>
      <c r="W84" s="3"/>
      <c r="X84" s="3"/>
      <c r="Y84" s="3"/>
      <c r="Z84" s="3"/>
      <c r="AA84" s="3"/>
      <c r="AB84" s="3"/>
      <c r="AC84" s="3"/>
      <c r="AD84" s="3"/>
      <c r="AE84" s="3"/>
      <c r="AF84" s="3"/>
      <c r="AG84" s="3"/>
      <c r="AH84" s="3"/>
      <c r="AI84" s="3"/>
      <c r="AJ84" s="3"/>
      <c r="AK84" s="3"/>
      <c r="AL84" s="3"/>
      <c r="AM84" s="3" t="s">
        <v>1006</v>
      </c>
      <c r="AN84" s="3" t="s">
        <v>1007</v>
      </c>
      <c r="AO84" s="3"/>
      <c r="AP84" s="3"/>
      <c r="AQ84" s="3"/>
      <c r="AR84" s="3" t="s">
        <v>68</v>
      </c>
      <c r="AS84" s="3">
        <v>2020</v>
      </c>
      <c r="AT84" s="3">
        <v>23</v>
      </c>
      <c r="AU84" s="3">
        <v>5</v>
      </c>
      <c r="AV84" s="3"/>
      <c r="AW84" s="3"/>
      <c r="AX84" s="3"/>
      <c r="AY84" s="3"/>
      <c r="AZ84" s="3">
        <v>806</v>
      </c>
      <c r="BA84" s="3">
        <v>811</v>
      </c>
      <c r="BB84" s="3" t="s">
        <v>4146</v>
      </c>
      <c r="BC84" s="3" t="s">
        <v>4147</v>
      </c>
      <c r="BD84" s="15" t="str">
        <f>HYPERLINK("http://dx.doi.org/10.1017/S136898001900363X","http://dx.doi.org/10.1017/S136898001900363X")</f>
        <v>http://dx.doi.org/10.1017/S136898001900363X</v>
      </c>
      <c r="BE84" s="3"/>
      <c r="BF84" s="3"/>
      <c r="BG84" s="3"/>
      <c r="BH84" s="3"/>
      <c r="BI84" s="3">
        <v>31957629</v>
      </c>
      <c r="BJ84" s="3" t="s">
        <v>4148</v>
      </c>
      <c r="BK84" s="3"/>
      <c r="BL84" s="3"/>
      <c r="BM84" s="3"/>
      <c r="BN84" s="3"/>
      <c r="BO84" s="3"/>
      <c r="BP84" s="3"/>
      <c r="BQ84" s="3"/>
      <c r="BR84" s="3"/>
      <c r="BS84" s="3"/>
      <c r="BT84" s="3"/>
      <c r="BU84" s="1" t="s">
        <v>7193</v>
      </c>
      <c r="BV84" s="2" t="s">
        <v>7188</v>
      </c>
      <c r="BW84" s="2" t="s">
        <v>7189</v>
      </c>
    </row>
    <row r="85" spans="1:75" ht="12.75" customHeight="1">
      <c r="A85" s="4" t="s">
        <v>63</v>
      </c>
      <c r="B85" s="4" t="s">
        <v>4149</v>
      </c>
      <c r="C85" s="4"/>
      <c r="D85" s="4"/>
      <c r="E85" s="4"/>
      <c r="F85" s="4" t="s">
        <v>4150</v>
      </c>
      <c r="G85" s="4"/>
      <c r="H85" s="4"/>
      <c r="I85" s="4" t="s">
        <v>4151</v>
      </c>
      <c r="J85" s="4" t="s">
        <v>1142</v>
      </c>
      <c r="K85" s="4"/>
      <c r="L85" s="4"/>
      <c r="M85" s="4"/>
      <c r="N85" s="4"/>
      <c r="O85" s="4"/>
      <c r="P85" s="4"/>
      <c r="Q85" s="4"/>
      <c r="R85" s="4"/>
      <c r="S85" s="4"/>
      <c r="T85" s="4" t="s">
        <v>4152</v>
      </c>
      <c r="U85" s="4"/>
      <c r="V85" s="4"/>
      <c r="W85" s="4"/>
      <c r="X85" s="4"/>
      <c r="Y85" s="4"/>
      <c r="Z85" s="4"/>
      <c r="AA85" s="4"/>
      <c r="AB85" s="4"/>
      <c r="AC85" s="4"/>
      <c r="AD85" s="4"/>
      <c r="AE85" s="4"/>
      <c r="AF85" s="4"/>
      <c r="AG85" s="4"/>
      <c r="AH85" s="4"/>
      <c r="AI85" s="4"/>
      <c r="AJ85" s="4"/>
      <c r="AK85" s="4"/>
      <c r="AL85" s="4"/>
      <c r="AM85" s="4"/>
      <c r="AN85" s="4" t="s">
        <v>1144</v>
      </c>
      <c r="AO85" s="4"/>
      <c r="AP85" s="4"/>
      <c r="AQ85" s="4"/>
      <c r="AR85" s="4" t="s">
        <v>78</v>
      </c>
      <c r="AS85" s="4">
        <v>2020</v>
      </c>
      <c r="AT85" s="4">
        <v>17</v>
      </c>
      <c r="AU85" s="4">
        <v>10</v>
      </c>
      <c r="AV85" s="4"/>
      <c r="AW85" s="4"/>
      <c r="AX85" s="4"/>
      <c r="AY85" s="4"/>
      <c r="AZ85" s="4"/>
      <c r="BA85" s="4"/>
      <c r="BB85" s="4">
        <v>3359</v>
      </c>
      <c r="BC85" s="4" t="s">
        <v>4153</v>
      </c>
      <c r="BD85" s="5" t="str">
        <f>HYPERLINK("http://dx.doi.org/10.3390/ijerph17103359","http://dx.doi.org/10.3390/ijerph17103359")</f>
        <v>http://dx.doi.org/10.3390/ijerph17103359</v>
      </c>
      <c r="BE85" s="4"/>
      <c r="BF85" s="4"/>
      <c r="BG85" s="4"/>
      <c r="BH85" s="4"/>
      <c r="BI85" s="4">
        <v>32408608</v>
      </c>
      <c r="BJ85" s="4" t="s">
        <v>4154</v>
      </c>
      <c r="BK85" s="4"/>
      <c r="BL85" s="4"/>
      <c r="BM85" s="4"/>
      <c r="BN85" s="4"/>
      <c r="BO85" s="4"/>
      <c r="BP85" s="4"/>
      <c r="BQ85" s="4"/>
      <c r="BR85" s="4"/>
      <c r="BS85" s="4"/>
      <c r="BT85" s="4"/>
      <c r="BU85" s="12" t="s">
        <v>7248</v>
      </c>
      <c r="BV85" s="12" t="s">
        <v>2039</v>
      </c>
      <c r="BW85" s="12" t="s">
        <v>7189</v>
      </c>
    </row>
    <row r="86" spans="1:75" ht="12.75" customHeight="1">
      <c r="A86" s="3" t="s">
        <v>63</v>
      </c>
      <c r="B86" s="3" t="s">
        <v>510</v>
      </c>
      <c r="C86" s="3"/>
      <c r="D86" s="3"/>
      <c r="E86" s="3"/>
      <c r="F86" s="3" t="s">
        <v>511</v>
      </c>
      <c r="G86" s="3"/>
      <c r="H86" s="3"/>
      <c r="I86" s="3" t="s">
        <v>981</v>
      </c>
      <c r="J86" s="3" t="s">
        <v>982</v>
      </c>
      <c r="K86" s="3"/>
      <c r="L86" s="3"/>
      <c r="M86" s="3"/>
      <c r="N86" s="3"/>
      <c r="O86" s="3"/>
      <c r="P86" s="3"/>
      <c r="Q86" s="3"/>
      <c r="R86" s="3"/>
      <c r="S86" s="3"/>
      <c r="T86" s="3" t="s">
        <v>983</v>
      </c>
      <c r="U86" s="3"/>
      <c r="V86" s="3"/>
      <c r="W86" s="3"/>
      <c r="X86" s="3"/>
      <c r="Y86" s="3"/>
      <c r="Z86" s="3"/>
      <c r="AA86" s="3"/>
      <c r="AB86" s="3"/>
      <c r="AC86" s="3"/>
      <c r="AD86" s="3"/>
      <c r="AE86" s="3"/>
      <c r="AF86" s="3"/>
      <c r="AG86" s="3"/>
      <c r="AH86" s="3"/>
      <c r="AI86" s="3"/>
      <c r="AJ86" s="3"/>
      <c r="AK86" s="3"/>
      <c r="AL86" s="3"/>
      <c r="AM86" s="3" t="s">
        <v>984</v>
      </c>
      <c r="AN86" s="3" t="s">
        <v>985</v>
      </c>
      <c r="AO86" s="3"/>
      <c r="AP86" s="3"/>
      <c r="AQ86" s="3"/>
      <c r="AR86" s="3" t="s">
        <v>279</v>
      </c>
      <c r="AS86" s="3">
        <v>2013</v>
      </c>
      <c r="AT86" s="3">
        <v>57</v>
      </c>
      <c r="AU86" s="3">
        <v>2</v>
      </c>
      <c r="AV86" s="3"/>
      <c r="AW86" s="3"/>
      <c r="AX86" s="3"/>
      <c r="AY86" s="3"/>
      <c r="AZ86" s="3">
        <v>133</v>
      </c>
      <c r="BA86" s="3">
        <v>153</v>
      </c>
      <c r="BB86" s="3"/>
      <c r="BC86" s="3" t="s">
        <v>986</v>
      </c>
      <c r="BD86" s="15" t="str">
        <f>HYPERLINK("http://dx.doi.org/10.1111/j.1541-0064.2012.00454.x","http://dx.doi.org/10.1111/j.1541-0064.2012.00454.x")</f>
        <v>http://dx.doi.org/10.1111/j.1541-0064.2012.00454.x</v>
      </c>
      <c r="BE86" s="3"/>
      <c r="BF86" s="3"/>
      <c r="BG86" s="3"/>
      <c r="BH86" s="3"/>
      <c r="BI86" s="3"/>
      <c r="BJ86" s="3" t="s">
        <v>987</v>
      </c>
      <c r="BK86" s="3"/>
      <c r="BL86" s="3"/>
      <c r="BM86" s="3"/>
      <c r="BN86" s="3"/>
      <c r="BO86" s="3"/>
      <c r="BP86" s="3"/>
      <c r="BQ86" s="3"/>
      <c r="BR86" s="3"/>
      <c r="BS86" s="3"/>
      <c r="BT86" s="3"/>
      <c r="BU86" s="1" t="s">
        <v>7249</v>
      </c>
      <c r="BV86" s="2" t="s">
        <v>2039</v>
      </c>
      <c r="BW86" s="2" t="s">
        <v>7189</v>
      </c>
    </row>
    <row r="87" spans="1:75" ht="12.75" customHeight="1">
      <c r="A87" s="6" t="s">
        <v>63</v>
      </c>
      <c r="B87" s="6" t="s">
        <v>754</v>
      </c>
      <c r="C87" s="6"/>
      <c r="D87" s="6"/>
      <c r="E87" s="6"/>
      <c r="F87" s="6" t="s">
        <v>755</v>
      </c>
      <c r="G87" s="6"/>
      <c r="H87" s="6"/>
      <c r="I87" s="6" t="s">
        <v>756</v>
      </c>
      <c r="J87" s="6" t="s">
        <v>184</v>
      </c>
      <c r="K87" s="6"/>
      <c r="L87" s="6"/>
      <c r="M87" s="6"/>
      <c r="N87" s="6"/>
      <c r="O87" s="6"/>
      <c r="P87" s="6"/>
      <c r="Q87" s="6"/>
      <c r="R87" s="6"/>
      <c r="S87" s="6"/>
      <c r="T87" s="6" t="s">
        <v>757</v>
      </c>
      <c r="U87" s="6"/>
      <c r="V87" s="6"/>
      <c r="W87" s="6"/>
      <c r="X87" s="6"/>
      <c r="Y87" s="6" t="s">
        <v>758</v>
      </c>
      <c r="Z87" s="6" t="s">
        <v>759</v>
      </c>
      <c r="AA87" s="6"/>
      <c r="AB87" s="6"/>
      <c r="AC87" s="6"/>
      <c r="AD87" s="6"/>
      <c r="AE87" s="6"/>
      <c r="AF87" s="6"/>
      <c r="AG87" s="6"/>
      <c r="AH87" s="6"/>
      <c r="AI87" s="6"/>
      <c r="AJ87" s="6"/>
      <c r="AK87" s="6"/>
      <c r="AL87" s="6"/>
      <c r="AM87" s="6" t="s">
        <v>186</v>
      </c>
      <c r="AN87" s="6" t="s">
        <v>760</v>
      </c>
      <c r="AO87" s="6"/>
      <c r="AP87" s="6"/>
      <c r="AQ87" s="6"/>
      <c r="AR87" s="6" t="s">
        <v>66</v>
      </c>
      <c r="AS87" s="6">
        <v>2012</v>
      </c>
      <c r="AT87" s="6" t="s">
        <v>761</v>
      </c>
      <c r="AU87" s="6">
        <v>2</v>
      </c>
      <c r="AV87" s="6"/>
      <c r="AW87" s="6"/>
      <c r="AX87" s="6"/>
      <c r="AY87" s="6"/>
      <c r="AZ87" s="6">
        <v>141</v>
      </c>
      <c r="BA87" s="6">
        <v>159</v>
      </c>
      <c r="BB87" s="6"/>
      <c r="BC87" s="6" t="s">
        <v>762</v>
      </c>
      <c r="BD87" s="9" t="str">
        <f>HYPERLINK("http://dx.doi.org/10.1111/j.1468-0467.2012.00401.x","http://dx.doi.org/10.1111/j.1468-0467.2012.00401.x")</f>
        <v>http://dx.doi.org/10.1111/j.1468-0467.2012.00401.x</v>
      </c>
      <c r="BE87" s="6"/>
      <c r="BF87" s="6"/>
      <c r="BG87" s="6"/>
      <c r="BH87" s="6"/>
      <c r="BI87" s="6"/>
      <c r="BJ87" s="6" t="s">
        <v>763</v>
      </c>
      <c r="BK87" s="6"/>
      <c r="BL87" s="6"/>
      <c r="BM87" s="6"/>
      <c r="BN87" s="6"/>
      <c r="BO87" s="6"/>
      <c r="BP87" s="6"/>
      <c r="BQ87" s="6"/>
      <c r="BR87" s="6"/>
      <c r="BS87" s="6"/>
      <c r="BT87" s="6"/>
      <c r="BU87" s="8" t="s">
        <v>7250</v>
      </c>
      <c r="BV87" s="8" t="s">
        <v>7227</v>
      </c>
      <c r="BW87" s="8" t="s">
        <v>7228</v>
      </c>
    </row>
    <row r="88" spans="1:75" ht="12.75" customHeight="1">
      <c r="A88" s="3" t="s">
        <v>63</v>
      </c>
      <c r="B88" s="3" t="s">
        <v>1375</v>
      </c>
      <c r="C88" s="3"/>
      <c r="D88" s="3"/>
      <c r="E88" s="3"/>
      <c r="F88" s="3" t="s">
        <v>1376</v>
      </c>
      <c r="G88" s="3"/>
      <c r="H88" s="3"/>
      <c r="I88" s="3" t="s">
        <v>1377</v>
      </c>
      <c r="J88" s="3" t="s">
        <v>1378</v>
      </c>
      <c r="K88" s="3"/>
      <c r="L88" s="3"/>
      <c r="M88" s="3"/>
      <c r="N88" s="3"/>
      <c r="O88" s="3"/>
      <c r="P88" s="3"/>
      <c r="Q88" s="3"/>
      <c r="R88" s="3"/>
      <c r="S88" s="3"/>
      <c r="T88" s="3" t="s">
        <v>1379</v>
      </c>
      <c r="U88" s="3"/>
      <c r="V88" s="3"/>
      <c r="W88" s="3"/>
      <c r="X88" s="3"/>
      <c r="Y88" s="3"/>
      <c r="Z88" s="3" t="s">
        <v>1380</v>
      </c>
      <c r="AA88" s="3"/>
      <c r="AB88" s="3"/>
      <c r="AC88" s="3"/>
      <c r="AD88" s="3"/>
      <c r="AE88" s="3"/>
      <c r="AF88" s="3"/>
      <c r="AG88" s="3"/>
      <c r="AH88" s="3"/>
      <c r="AI88" s="3"/>
      <c r="AJ88" s="3"/>
      <c r="AK88" s="3"/>
      <c r="AL88" s="3"/>
      <c r="AM88" s="3" t="s">
        <v>1381</v>
      </c>
      <c r="AN88" s="3" t="s">
        <v>1382</v>
      </c>
      <c r="AO88" s="3"/>
      <c r="AP88" s="3"/>
      <c r="AQ88" s="3"/>
      <c r="AR88" s="3" t="s">
        <v>68</v>
      </c>
      <c r="AS88" s="3">
        <v>2014</v>
      </c>
      <c r="AT88" s="3">
        <v>38</v>
      </c>
      <c r="AU88" s="3">
        <v>2</v>
      </c>
      <c r="AV88" s="3"/>
      <c r="AW88" s="3"/>
      <c r="AX88" s="3"/>
      <c r="AY88" s="3"/>
      <c r="AZ88" s="3">
        <v>248</v>
      </c>
      <c r="BA88" s="3">
        <v>266</v>
      </c>
      <c r="BB88" s="3"/>
      <c r="BC88" s="3" t="s">
        <v>1383</v>
      </c>
      <c r="BD88" s="15" t="str">
        <f>HYPERLINK("http://dx.doi.org/10.1177/0309132513484378","http://dx.doi.org/10.1177/0309132513484378")</f>
        <v>http://dx.doi.org/10.1177/0309132513484378</v>
      </c>
      <c r="BE88" s="3"/>
      <c r="BF88" s="3"/>
      <c r="BG88" s="3"/>
      <c r="BH88" s="3"/>
      <c r="BI88" s="3"/>
      <c r="BJ88" s="3" t="s">
        <v>1384</v>
      </c>
      <c r="BK88" s="3"/>
      <c r="BL88" s="3"/>
      <c r="BM88" s="3"/>
      <c r="BN88" s="3"/>
      <c r="BO88" s="3"/>
      <c r="BP88" s="3"/>
      <c r="BQ88" s="3"/>
      <c r="BR88" s="3"/>
      <c r="BS88" s="3"/>
      <c r="BT88" s="3"/>
      <c r="BU88" s="1" t="s">
        <v>7193</v>
      </c>
      <c r="BV88" s="2" t="s">
        <v>7188</v>
      </c>
      <c r="BW88" s="2" t="s">
        <v>7189</v>
      </c>
    </row>
    <row r="89" spans="1:75" ht="12.75" customHeight="1">
      <c r="A89" s="3" t="s">
        <v>63</v>
      </c>
      <c r="B89" s="3" t="s">
        <v>558</v>
      </c>
      <c r="C89" s="3"/>
      <c r="D89" s="3"/>
      <c r="E89" s="3"/>
      <c r="F89" s="3" t="s">
        <v>559</v>
      </c>
      <c r="G89" s="3"/>
      <c r="H89" s="3"/>
      <c r="I89" s="3" t="s">
        <v>560</v>
      </c>
      <c r="J89" s="3" t="s">
        <v>380</v>
      </c>
      <c r="K89" s="3"/>
      <c r="L89" s="3"/>
      <c r="M89" s="3"/>
      <c r="N89" s="3"/>
      <c r="O89" s="3"/>
      <c r="P89" s="3"/>
      <c r="Q89" s="3"/>
      <c r="R89" s="3"/>
      <c r="S89" s="3"/>
      <c r="T89" s="3" t="s">
        <v>561</v>
      </c>
      <c r="U89" s="3"/>
      <c r="V89" s="3"/>
      <c r="W89" s="3"/>
      <c r="X89" s="3"/>
      <c r="Y89" s="3"/>
      <c r="Z89" s="3"/>
      <c r="AA89" s="3"/>
      <c r="AB89" s="3"/>
      <c r="AC89" s="3"/>
      <c r="AD89" s="3"/>
      <c r="AE89" s="3"/>
      <c r="AF89" s="3"/>
      <c r="AG89" s="3"/>
      <c r="AH89" s="3"/>
      <c r="AI89" s="3"/>
      <c r="AJ89" s="3"/>
      <c r="AK89" s="3"/>
      <c r="AL89" s="3"/>
      <c r="AM89" s="3" t="s">
        <v>382</v>
      </c>
      <c r="AN89" s="3" t="s">
        <v>383</v>
      </c>
      <c r="AO89" s="3"/>
      <c r="AP89" s="3"/>
      <c r="AQ89" s="3"/>
      <c r="AR89" s="3" t="s">
        <v>82</v>
      </c>
      <c r="AS89" s="3">
        <v>2011</v>
      </c>
      <c r="AT89" s="3">
        <v>17</v>
      </c>
      <c r="AU89" s="3">
        <v>2</v>
      </c>
      <c r="AV89" s="3"/>
      <c r="AW89" s="3"/>
      <c r="AX89" s="3"/>
      <c r="AY89" s="3"/>
      <c r="AZ89" s="3">
        <v>696</v>
      </c>
      <c r="BA89" s="3">
        <v>700</v>
      </c>
      <c r="BB89" s="3"/>
      <c r="BC89" s="3" t="s">
        <v>562</v>
      </c>
      <c r="BD89" s="15" t="str">
        <f>HYPERLINK("http://dx.doi.org/10.1016/j.healthplace.2010.12.012","http://dx.doi.org/10.1016/j.healthplace.2010.12.012")</f>
        <v>http://dx.doi.org/10.1016/j.healthplace.2010.12.012</v>
      </c>
      <c r="BE89" s="3"/>
      <c r="BF89" s="3"/>
      <c r="BG89" s="3"/>
      <c r="BH89" s="3"/>
      <c r="BI89" s="3">
        <v>21256070</v>
      </c>
      <c r="BJ89" s="3" t="s">
        <v>563</v>
      </c>
      <c r="BK89" s="3"/>
      <c r="BL89" s="3"/>
      <c r="BM89" s="3"/>
      <c r="BN89" s="3"/>
      <c r="BO89" s="3"/>
      <c r="BP89" s="3"/>
      <c r="BQ89" s="3"/>
      <c r="BR89" s="3"/>
      <c r="BS89" s="3"/>
      <c r="BT89" s="3"/>
      <c r="BU89" s="2" t="s">
        <v>7251</v>
      </c>
      <c r="BV89" s="2" t="s">
        <v>7188</v>
      </c>
      <c r="BW89" s="2" t="s">
        <v>7189</v>
      </c>
    </row>
    <row r="90" spans="1:75" ht="12.75" customHeight="1">
      <c r="A90" s="3" t="s">
        <v>63</v>
      </c>
      <c r="B90" s="3" t="s">
        <v>2196</v>
      </c>
      <c r="C90" s="3"/>
      <c r="D90" s="3"/>
      <c r="E90" s="3"/>
      <c r="F90" s="3" t="s">
        <v>2197</v>
      </c>
      <c r="G90" s="3"/>
      <c r="H90" s="3"/>
      <c r="I90" s="3" t="s">
        <v>2198</v>
      </c>
      <c r="J90" s="3" t="s">
        <v>2199</v>
      </c>
      <c r="K90" s="3"/>
      <c r="L90" s="3"/>
      <c r="M90" s="3"/>
      <c r="N90" s="3"/>
      <c r="O90" s="3"/>
      <c r="P90" s="3"/>
      <c r="Q90" s="3"/>
      <c r="R90" s="3"/>
      <c r="S90" s="3"/>
      <c r="T90" s="3" t="s">
        <v>2200</v>
      </c>
      <c r="U90" s="3"/>
      <c r="V90" s="3"/>
      <c r="W90" s="3"/>
      <c r="X90" s="3"/>
      <c r="Y90" s="3"/>
      <c r="Z90" s="3"/>
      <c r="AA90" s="3"/>
      <c r="AB90" s="3"/>
      <c r="AC90" s="3"/>
      <c r="AD90" s="3"/>
      <c r="AE90" s="3"/>
      <c r="AF90" s="3"/>
      <c r="AG90" s="3"/>
      <c r="AH90" s="3"/>
      <c r="AI90" s="3"/>
      <c r="AJ90" s="3"/>
      <c r="AK90" s="3"/>
      <c r="AL90" s="3"/>
      <c r="AM90" s="3" t="s">
        <v>2201</v>
      </c>
      <c r="AN90" s="3" t="s">
        <v>2202</v>
      </c>
      <c r="AO90" s="3"/>
      <c r="AP90" s="3"/>
      <c r="AQ90" s="3"/>
      <c r="AR90" s="3" t="s">
        <v>82</v>
      </c>
      <c r="AS90" s="3">
        <v>2016</v>
      </c>
      <c r="AT90" s="3">
        <v>9</v>
      </c>
      <c r="AU90" s="3">
        <v>1</v>
      </c>
      <c r="AV90" s="3"/>
      <c r="AW90" s="3"/>
      <c r="AX90" s="3"/>
      <c r="AY90" s="3"/>
      <c r="AZ90" s="3">
        <v>57</v>
      </c>
      <c r="BA90" s="3">
        <v>71</v>
      </c>
      <c r="BB90" s="3"/>
      <c r="BC90" s="3" t="s">
        <v>2203</v>
      </c>
      <c r="BD90" s="15" t="str">
        <f>HYPERLINK("http://dx.doi.org/10.1007/s12076-015-0138-2","http://dx.doi.org/10.1007/s12076-015-0138-2")</f>
        <v>http://dx.doi.org/10.1007/s12076-015-0138-2</v>
      </c>
      <c r="BE90" s="3"/>
      <c r="BF90" s="3"/>
      <c r="BG90" s="3"/>
      <c r="BH90" s="3"/>
      <c r="BI90" s="3"/>
      <c r="BJ90" s="3" t="s">
        <v>2204</v>
      </c>
      <c r="BK90" s="3"/>
      <c r="BL90" s="3"/>
      <c r="BM90" s="3"/>
      <c r="BN90" s="3"/>
      <c r="BO90" s="3"/>
      <c r="BP90" s="3"/>
      <c r="BQ90" s="3"/>
      <c r="BR90" s="3"/>
      <c r="BS90" s="3"/>
      <c r="BT90" s="3"/>
      <c r="BU90" s="1" t="s">
        <v>7193</v>
      </c>
      <c r="BV90" s="2" t="s">
        <v>7188</v>
      </c>
      <c r="BW90" s="2" t="s">
        <v>7189</v>
      </c>
    </row>
    <row r="91" spans="1:75" ht="12.75" customHeight="1">
      <c r="A91" s="3" t="s">
        <v>63</v>
      </c>
      <c r="B91" s="3" t="s">
        <v>564</v>
      </c>
      <c r="C91" s="3"/>
      <c r="D91" s="3"/>
      <c r="E91" s="3"/>
      <c r="F91" s="3" t="s">
        <v>565</v>
      </c>
      <c r="G91" s="3"/>
      <c r="H91" s="3"/>
      <c r="I91" s="3" t="s">
        <v>566</v>
      </c>
      <c r="J91" s="3" t="s">
        <v>434</v>
      </c>
      <c r="K91" s="3"/>
      <c r="L91" s="3"/>
      <c r="M91" s="3"/>
      <c r="N91" s="3"/>
      <c r="O91" s="3"/>
      <c r="P91" s="3"/>
      <c r="Q91" s="3"/>
      <c r="R91" s="3"/>
      <c r="S91" s="3"/>
      <c r="T91" s="3" t="s">
        <v>567</v>
      </c>
      <c r="U91" s="3"/>
      <c r="V91" s="3"/>
      <c r="W91" s="3"/>
      <c r="X91" s="3"/>
      <c r="Y91" s="3"/>
      <c r="Z91" s="3"/>
      <c r="AA91" s="3"/>
      <c r="AB91" s="3"/>
      <c r="AC91" s="3"/>
      <c r="AD91" s="3"/>
      <c r="AE91" s="3"/>
      <c r="AF91" s="3"/>
      <c r="AG91" s="3"/>
      <c r="AH91" s="3"/>
      <c r="AI91" s="3"/>
      <c r="AJ91" s="3"/>
      <c r="AK91" s="3"/>
      <c r="AL91" s="3"/>
      <c r="AM91" s="3" t="s">
        <v>436</v>
      </c>
      <c r="AN91" s="3" t="s">
        <v>568</v>
      </c>
      <c r="AO91" s="3"/>
      <c r="AP91" s="3"/>
      <c r="AQ91" s="3"/>
      <c r="AR91" s="3" t="s">
        <v>92</v>
      </c>
      <c r="AS91" s="3">
        <v>2011</v>
      </c>
      <c r="AT91" s="3">
        <v>31</v>
      </c>
      <c r="AU91" s="3">
        <v>4</v>
      </c>
      <c r="AV91" s="3"/>
      <c r="AW91" s="3"/>
      <c r="AX91" s="3" t="s">
        <v>569</v>
      </c>
      <c r="AY91" s="3"/>
      <c r="AZ91" s="3">
        <v>1224</v>
      </c>
      <c r="BA91" s="3">
        <v>1231</v>
      </c>
      <c r="BB91" s="3"/>
      <c r="BC91" s="3" t="s">
        <v>570</v>
      </c>
      <c r="BD91" s="15" t="str">
        <f>HYPERLINK("http://dx.doi.org/10.1016/j.apgeog.2010.09.004","http://dx.doi.org/10.1016/j.apgeog.2010.09.004")</f>
        <v>http://dx.doi.org/10.1016/j.apgeog.2010.09.004</v>
      </c>
      <c r="BE91" s="3"/>
      <c r="BF91" s="3"/>
      <c r="BG91" s="3"/>
      <c r="BH91" s="3"/>
      <c r="BI91" s="3"/>
      <c r="BJ91" s="3" t="s">
        <v>571</v>
      </c>
      <c r="BK91" s="3"/>
      <c r="BL91" s="3"/>
      <c r="BM91" s="3"/>
      <c r="BN91" s="3"/>
      <c r="BO91" s="3"/>
      <c r="BP91" s="3"/>
      <c r="BQ91" s="3"/>
      <c r="BR91" s="3"/>
      <c r="BS91" s="3"/>
      <c r="BT91" s="3"/>
      <c r="BU91" s="13" t="s">
        <v>7252</v>
      </c>
      <c r="BV91" s="2" t="s">
        <v>7188</v>
      </c>
      <c r="BW91" s="2" t="s">
        <v>7189</v>
      </c>
    </row>
    <row r="92" spans="1:75" ht="12.75" customHeight="1">
      <c r="A92" s="4" t="s">
        <v>63</v>
      </c>
      <c r="B92" s="4" t="s">
        <v>1385</v>
      </c>
      <c r="C92" s="4"/>
      <c r="D92" s="4"/>
      <c r="E92" s="4"/>
      <c r="F92" s="4" t="s">
        <v>1386</v>
      </c>
      <c r="G92" s="4"/>
      <c r="H92" s="4"/>
      <c r="I92" s="4" t="s">
        <v>1387</v>
      </c>
      <c r="J92" s="4" t="s">
        <v>1313</v>
      </c>
      <c r="K92" s="4"/>
      <c r="L92" s="4"/>
      <c r="M92" s="4"/>
      <c r="N92" s="4"/>
      <c r="O92" s="4"/>
      <c r="P92" s="4"/>
      <c r="Q92" s="4"/>
      <c r="R92" s="4"/>
      <c r="S92" s="4"/>
      <c r="T92" s="4" t="s">
        <v>1388</v>
      </c>
      <c r="U92" s="4"/>
      <c r="V92" s="4"/>
      <c r="W92" s="4"/>
      <c r="X92" s="4"/>
      <c r="Y92" s="4"/>
      <c r="Z92" s="4"/>
      <c r="AA92" s="4"/>
      <c r="AB92" s="4"/>
      <c r="AC92" s="4"/>
      <c r="AD92" s="4"/>
      <c r="AE92" s="4"/>
      <c r="AF92" s="4"/>
      <c r="AG92" s="4"/>
      <c r="AH92" s="4"/>
      <c r="AI92" s="4"/>
      <c r="AJ92" s="4"/>
      <c r="AK92" s="4"/>
      <c r="AL92" s="4"/>
      <c r="AM92" s="4" t="s">
        <v>1314</v>
      </c>
      <c r="AN92" s="4" t="s">
        <v>1315</v>
      </c>
      <c r="AO92" s="4"/>
      <c r="AP92" s="4"/>
      <c r="AQ92" s="4"/>
      <c r="AR92" s="4" t="s">
        <v>1316</v>
      </c>
      <c r="AS92" s="4">
        <v>2014</v>
      </c>
      <c r="AT92" s="4">
        <v>34</v>
      </c>
      <c r="AU92" s="4">
        <v>2</v>
      </c>
      <c r="AV92" s="4"/>
      <c r="AW92" s="4"/>
      <c r="AX92" s="4"/>
      <c r="AY92" s="4"/>
      <c r="AZ92" s="4">
        <v>228</v>
      </c>
      <c r="BA92" s="4">
        <v>250</v>
      </c>
      <c r="BB92" s="4"/>
      <c r="BC92" s="4" t="s">
        <v>1389</v>
      </c>
      <c r="BD92" s="5" t="str">
        <f>HYPERLINK("http://dx.doi.org/10.2993/0278-0771-34.2.228","http://dx.doi.org/10.2993/0278-0771-34.2.228")</f>
        <v>http://dx.doi.org/10.2993/0278-0771-34.2.228</v>
      </c>
      <c r="BE92" s="4"/>
      <c r="BF92" s="4"/>
      <c r="BG92" s="4"/>
      <c r="BH92" s="4"/>
      <c r="BI92" s="4"/>
      <c r="BJ92" s="4" t="s">
        <v>1390</v>
      </c>
      <c r="BK92" s="4"/>
      <c r="BL92" s="4"/>
      <c r="BM92" s="4"/>
      <c r="BN92" s="4"/>
      <c r="BO92" s="4"/>
      <c r="BP92" s="4"/>
      <c r="BQ92" s="4"/>
      <c r="BR92" s="4"/>
      <c r="BS92" s="4"/>
      <c r="BT92" s="4"/>
      <c r="BU92" s="12" t="s">
        <v>7253</v>
      </c>
      <c r="BV92" s="12" t="s">
        <v>7188</v>
      </c>
      <c r="BW92" s="12" t="s">
        <v>7189</v>
      </c>
    </row>
    <row r="93" spans="1:75" ht="12.75" customHeight="1">
      <c r="A93" s="3" t="s">
        <v>63</v>
      </c>
      <c r="B93" s="3" t="s">
        <v>4155</v>
      </c>
      <c r="C93" s="3"/>
      <c r="D93" s="3"/>
      <c r="E93" s="3"/>
      <c r="F93" s="3" t="s">
        <v>4156</v>
      </c>
      <c r="G93" s="3"/>
      <c r="H93" s="3"/>
      <c r="I93" s="3" t="s">
        <v>4157</v>
      </c>
      <c r="J93" s="3" t="s">
        <v>423</v>
      </c>
      <c r="K93" s="3"/>
      <c r="L93" s="3"/>
      <c r="M93" s="3"/>
      <c r="N93" s="3"/>
      <c r="O93" s="3"/>
      <c r="P93" s="3"/>
      <c r="Q93" s="3"/>
      <c r="R93" s="3"/>
      <c r="S93" s="3"/>
      <c r="T93" s="3" t="s">
        <v>4158</v>
      </c>
      <c r="U93" s="3"/>
      <c r="V93" s="3"/>
      <c r="W93" s="3"/>
      <c r="X93" s="3"/>
      <c r="Y93" s="3" t="s">
        <v>4159</v>
      </c>
      <c r="Z93" s="3" t="s">
        <v>4160</v>
      </c>
      <c r="AA93" s="3"/>
      <c r="AB93" s="3"/>
      <c r="AC93" s="3"/>
      <c r="AD93" s="3"/>
      <c r="AE93" s="3"/>
      <c r="AF93" s="3"/>
      <c r="AG93" s="3"/>
      <c r="AH93" s="3"/>
      <c r="AI93" s="3"/>
      <c r="AJ93" s="3"/>
      <c r="AK93" s="3"/>
      <c r="AL93" s="3"/>
      <c r="AM93" s="3" t="s">
        <v>427</v>
      </c>
      <c r="AN93" s="3" t="s">
        <v>428</v>
      </c>
      <c r="AO93" s="3"/>
      <c r="AP93" s="3"/>
      <c r="AQ93" s="3"/>
      <c r="AR93" s="3" t="s">
        <v>4161</v>
      </c>
      <c r="AS93" s="3">
        <v>2020</v>
      </c>
      <c r="AT93" s="3">
        <v>15</v>
      </c>
      <c r="AU93" s="3">
        <v>3</v>
      </c>
      <c r="AV93" s="3"/>
      <c r="AW93" s="3"/>
      <c r="AX93" s="3"/>
      <c r="AY93" s="3"/>
      <c r="AZ93" s="3">
        <v>327</v>
      </c>
      <c r="BA93" s="3">
        <v>338</v>
      </c>
      <c r="BB93" s="3"/>
      <c r="BC93" s="3" t="s">
        <v>4162</v>
      </c>
      <c r="BD93" s="15" t="str">
        <f>HYPERLINK("http://dx.doi.org/10.1080/19320248.2019.1578320","http://dx.doi.org/10.1080/19320248.2019.1578320")</f>
        <v>http://dx.doi.org/10.1080/19320248.2019.1578320</v>
      </c>
      <c r="BE93" s="3"/>
      <c r="BF93" s="3"/>
      <c r="BG93" s="3"/>
      <c r="BH93" s="3"/>
      <c r="BI93" s="3"/>
      <c r="BJ93" s="3" t="s">
        <v>4163</v>
      </c>
      <c r="BK93" s="3"/>
      <c r="BL93" s="3"/>
      <c r="BM93" s="3"/>
      <c r="BN93" s="3"/>
      <c r="BO93" s="3"/>
      <c r="BP93" s="3"/>
      <c r="BQ93" s="3"/>
      <c r="BR93" s="3"/>
      <c r="BS93" s="3"/>
      <c r="BT93" s="3"/>
      <c r="BU93" s="1" t="s">
        <v>7254</v>
      </c>
      <c r="BV93" s="2" t="s">
        <v>7188</v>
      </c>
      <c r="BW93" s="2" t="s">
        <v>7189</v>
      </c>
    </row>
    <row r="94" spans="1:75" ht="12.75" customHeight="1">
      <c r="A94" s="6" t="s">
        <v>63</v>
      </c>
      <c r="B94" s="6" t="s">
        <v>6059</v>
      </c>
      <c r="C94" s="6"/>
      <c r="D94" s="6"/>
      <c r="E94" s="6"/>
      <c r="F94" s="6" t="s">
        <v>6060</v>
      </c>
      <c r="G94" s="6"/>
      <c r="H94" s="6"/>
      <c r="I94" s="6" t="s">
        <v>6061</v>
      </c>
      <c r="J94" s="6" t="s">
        <v>6062</v>
      </c>
      <c r="K94" s="6"/>
      <c r="L94" s="6"/>
      <c r="M94" s="6"/>
      <c r="N94" s="6"/>
      <c r="O94" s="6"/>
      <c r="P94" s="6"/>
      <c r="Q94" s="6"/>
      <c r="R94" s="6"/>
      <c r="S94" s="6"/>
      <c r="T94" s="6" t="s">
        <v>6063</v>
      </c>
      <c r="U94" s="6"/>
      <c r="V94" s="6"/>
      <c r="W94" s="6"/>
      <c r="X94" s="6"/>
      <c r="Y94" s="6" t="s">
        <v>5930</v>
      </c>
      <c r="Z94" s="6"/>
      <c r="AA94" s="6"/>
      <c r="AB94" s="6"/>
      <c r="AC94" s="6"/>
      <c r="AD94" s="6"/>
      <c r="AE94" s="6"/>
      <c r="AF94" s="6"/>
      <c r="AG94" s="6"/>
      <c r="AH94" s="6"/>
      <c r="AI94" s="6"/>
      <c r="AJ94" s="6"/>
      <c r="AK94" s="6"/>
      <c r="AL94" s="6"/>
      <c r="AM94" s="6"/>
      <c r="AN94" s="6" t="s">
        <v>6064</v>
      </c>
      <c r="AO94" s="6"/>
      <c r="AP94" s="6"/>
      <c r="AQ94" s="6"/>
      <c r="AR94" s="6" t="s">
        <v>6065</v>
      </c>
      <c r="AS94" s="6">
        <v>2023</v>
      </c>
      <c r="AT94" s="6">
        <v>22</v>
      </c>
      <c r="AU94" s="6">
        <v>1</v>
      </c>
      <c r="AV94" s="6"/>
      <c r="AW94" s="6"/>
      <c r="AX94" s="6"/>
      <c r="AY94" s="6"/>
      <c r="AZ94" s="6"/>
      <c r="BA94" s="6"/>
      <c r="BB94" s="6">
        <v>69</v>
      </c>
      <c r="BC94" s="6" t="s">
        <v>6066</v>
      </c>
      <c r="BD94" s="9" t="str">
        <f>HYPERLINK("http://dx.doi.org/10.1186/s12938-023-01108-9","http://dx.doi.org/10.1186/s12938-023-01108-9")</f>
        <v>http://dx.doi.org/10.1186/s12938-023-01108-9</v>
      </c>
      <c r="BE94" s="6"/>
      <c r="BF94" s="6"/>
      <c r="BG94" s="6"/>
      <c r="BH94" s="6"/>
      <c r="BI94" s="6">
        <v>37430279</v>
      </c>
      <c r="BJ94" s="6" t="s">
        <v>6067</v>
      </c>
      <c r="BK94" s="6"/>
      <c r="BL94" s="6"/>
      <c r="BM94" s="6"/>
      <c r="BN94" s="6"/>
      <c r="BO94" s="6"/>
      <c r="BP94" s="6"/>
      <c r="BQ94" s="6"/>
      <c r="BR94" s="6"/>
      <c r="BS94" s="6"/>
      <c r="BT94" s="6"/>
      <c r="BU94" s="8" t="s">
        <v>7193</v>
      </c>
      <c r="BV94" s="8" t="s">
        <v>7193</v>
      </c>
      <c r="BW94" s="8" t="s">
        <v>7193</v>
      </c>
    </row>
    <row r="95" spans="1:75" ht="12.75" customHeight="1">
      <c r="A95" s="3" t="s">
        <v>63</v>
      </c>
      <c r="B95" s="3" t="s">
        <v>6612</v>
      </c>
      <c r="C95" s="3"/>
      <c r="D95" s="3"/>
      <c r="E95" s="3"/>
      <c r="F95" s="3" t="s">
        <v>6613</v>
      </c>
      <c r="G95" s="3"/>
      <c r="H95" s="3"/>
      <c r="I95" s="3" t="s">
        <v>6614</v>
      </c>
      <c r="J95" s="3" t="s">
        <v>6615</v>
      </c>
      <c r="K95" s="3"/>
      <c r="L95" s="3"/>
      <c r="M95" s="3"/>
      <c r="N95" s="3"/>
      <c r="O95" s="3"/>
      <c r="P95" s="3"/>
      <c r="Q95" s="3"/>
      <c r="R95" s="3"/>
      <c r="S95" s="3"/>
      <c r="T95" s="3" t="s">
        <v>6616</v>
      </c>
      <c r="U95" s="3"/>
      <c r="V95" s="3"/>
      <c r="W95" s="3"/>
      <c r="X95" s="3"/>
      <c r="Y95" s="3" t="s">
        <v>6617</v>
      </c>
      <c r="Z95" s="3" t="s">
        <v>6618</v>
      </c>
      <c r="AA95" s="3"/>
      <c r="AB95" s="3"/>
      <c r="AC95" s="3"/>
      <c r="AD95" s="3"/>
      <c r="AE95" s="3"/>
      <c r="AF95" s="3"/>
      <c r="AG95" s="3"/>
      <c r="AH95" s="3"/>
      <c r="AI95" s="3"/>
      <c r="AJ95" s="3"/>
      <c r="AK95" s="3"/>
      <c r="AL95" s="3"/>
      <c r="AM95" s="3" t="s">
        <v>6619</v>
      </c>
      <c r="AN95" s="3" t="s">
        <v>6620</v>
      </c>
      <c r="AO95" s="3"/>
      <c r="AP95" s="3"/>
      <c r="AQ95" s="3"/>
      <c r="AR95" s="3" t="s">
        <v>78</v>
      </c>
      <c r="AS95" s="3">
        <v>2024</v>
      </c>
      <c r="AT95" s="3">
        <v>56</v>
      </c>
      <c r="AU95" s="3">
        <v>3</v>
      </c>
      <c r="AV95" s="3"/>
      <c r="AW95" s="3"/>
      <c r="AX95" s="3"/>
      <c r="AY95" s="3"/>
      <c r="AZ95" s="3">
        <v>493</v>
      </c>
      <c r="BA95" s="3">
        <v>503</v>
      </c>
      <c r="BB95" s="3"/>
      <c r="BC95" s="3" t="s">
        <v>6621</v>
      </c>
      <c r="BD95" s="15" t="str">
        <f>HYPERLINK("http://dx.doi.org/10.1017/S0021932024000087","http://dx.doi.org/10.1017/S0021932024000087")</f>
        <v>http://dx.doi.org/10.1017/S0021932024000087</v>
      </c>
      <c r="BE95" s="3"/>
      <c r="BF95" s="3" t="s">
        <v>6622</v>
      </c>
      <c r="BG95" s="3"/>
      <c r="BH95" s="3"/>
      <c r="BI95" s="3">
        <v>38415307</v>
      </c>
      <c r="BJ95" s="3" t="s">
        <v>6623</v>
      </c>
      <c r="BK95" s="3"/>
      <c r="BL95" s="3"/>
      <c r="BM95" s="3"/>
      <c r="BN95" s="3"/>
      <c r="BO95" s="3"/>
      <c r="BP95" s="3"/>
      <c r="BQ95" s="3"/>
      <c r="BR95" s="3"/>
      <c r="BS95" s="3"/>
      <c r="BT95" s="3"/>
      <c r="BU95" s="1" t="s">
        <v>7255</v>
      </c>
      <c r="BV95" s="2" t="s">
        <v>3516</v>
      </c>
      <c r="BW95" s="2" t="s">
        <v>7196</v>
      </c>
    </row>
    <row r="96" spans="1:75" ht="12.75" customHeight="1">
      <c r="A96" s="6" t="s">
        <v>63</v>
      </c>
      <c r="B96" s="6" t="s">
        <v>3643</v>
      </c>
      <c r="C96" s="6"/>
      <c r="D96" s="6"/>
      <c r="E96" s="6"/>
      <c r="F96" s="6" t="s">
        <v>3644</v>
      </c>
      <c r="G96" s="6"/>
      <c r="H96" s="6"/>
      <c r="I96" s="6" t="s">
        <v>3645</v>
      </c>
      <c r="J96" s="6" t="s">
        <v>3374</v>
      </c>
      <c r="K96" s="6"/>
      <c r="L96" s="6"/>
      <c r="M96" s="6"/>
      <c r="N96" s="6"/>
      <c r="O96" s="6"/>
      <c r="P96" s="6"/>
      <c r="Q96" s="6"/>
      <c r="R96" s="6"/>
      <c r="S96" s="6"/>
      <c r="T96" s="6" t="s">
        <v>3646</v>
      </c>
      <c r="U96" s="6"/>
      <c r="V96" s="6"/>
      <c r="W96" s="6"/>
      <c r="X96" s="6"/>
      <c r="Y96" s="6"/>
      <c r="Z96" s="6"/>
      <c r="AA96" s="6"/>
      <c r="AB96" s="6"/>
      <c r="AC96" s="6"/>
      <c r="AD96" s="6"/>
      <c r="AE96" s="6"/>
      <c r="AF96" s="6"/>
      <c r="AG96" s="6"/>
      <c r="AH96" s="6"/>
      <c r="AI96" s="6"/>
      <c r="AJ96" s="6"/>
      <c r="AK96" s="6"/>
      <c r="AL96" s="6"/>
      <c r="AM96" s="6"/>
      <c r="AN96" s="6" t="s">
        <v>3377</v>
      </c>
      <c r="AO96" s="6"/>
      <c r="AP96" s="6"/>
      <c r="AQ96" s="6"/>
      <c r="AR96" s="6" t="s">
        <v>1701</v>
      </c>
      <c r="AS96" s="6">
        <v>2019</v>
      </c>
      <c r="AT96" s="6">
        <v>11</v>
      </c>
      <c r="AU96" s="6">
        <v>1</v>
      </c>
      <c r="AV96" s="6"/>
      <c r="AW96" s="6"/>
      <c r="AX96" s="6"/>
      <c r="AY96" s="6"/>
      <c r="AZ96" s="6"/>
      <c r="BA96" s="6"/>
      <c r="BB96" s="6">
        <v>37</v>
      </c>
      <c r="BC96" s="6" t="s">
        <v>3647</v>
      </c>
      <c r="BD96" s="9" t="str">
        <f>HYPERLINK("http://dx.doi.org/10.3390/su11010037","http://dx.doi.org/10.3390/su11010037")</f>
        <v>http://dx.doi.org/10.3390/su11010037</v>
      </c>
      <c r="BE96" s="6"/>
      <c r="BF96" s="6"/>
      <c r="BG96" s="6"/>
      <c r="BH96" s="6"/>
      <c r="BI96" s="6"/>
      <c r="BJ96" s="6" t="s">
        <v>3648</v>
      </c>
      <c r="BK96" s="6"/>
      <c r="BL96" s="6"/>
      <c r="BM96" s="6"/>
      <c r="BN96" s="6"/>
      <c r="BO96" s="6"/>
      <c r="BP96" s="6"/>
      <c r="BQ96" s="6"/>
      <c r="BR96" s="6"/>
      <c r="BS96" s="6"/>
      <c r="BT96" s="6"/>
      <c r="BU96" s="8" t="s">
        <v>7256</v>
      </c>
      <c r="BV96" s="8" t="s">
        <v>3642</v>
      </c>
      <c r="BW96" s="8" t="s">
        <v>7228</v>
      </c>
    </row>
    <row r="97" spans="1:75" ht="12.75" customHeight="1">
      <c r="A97" s="6" t="s">
        <v>63</v>
      </c>
      <c r="B97" s="6" t="s">
        <v>765</v>
      </c>
      <c r="C97" s="6"/>
      <c r="D97" s="6"/>
      <c r="E97" s="6"/>
      <c r="F97" s="6" t="s">
        <v>766</v>
      </c>
      <c r="G97" s="6"/>
      <c r="H97" s="6"/>
      <c r="I97" s="6" t="s">
        <v>767</v>
      </c>
      <c r="J97" s="6" t="s">
        <v>768</v>
      </c>
      <c r="K97" s="6"/>
      <c r="L97" s="6"/>
      <c r="M97" s="6"/>
      <c r="N97" s="6"/>
      <c r="O97" s="6"/>
      <c r="P97" s="6"/>
      <c r="Q97" s="6"/>
      <c r="R97" s="6"/>
      <c r="S97" s="6"/>
      <c r="T97" s="6" t="s">
        <v>769</v>
      </c>
      <c r="U97" s="6"/>
      <c r="V97" s="6"/>
      <c r="W97" s="6"/>
      <c r="X97" s="6"/>
      <c r="Y97" s="6" t="s">
        <v>770</v>
      </c>
      <c r="Z97" s="6" t="s">
        <v>771</v>
      </c>
      <c r="AA97" s="6"/>
      <c r="AB97" s="6"/>
      <c r="AC97" s="6"/>
      <c r="AD97" s="6"/>
      <c r="AE97" s="6"/>
      <c r="AF97" s="6"/>
      <c r="AG97" s="6"/>
      <c r="AH97" s="6"/>
      <c r="AI97" s="6"/>
      <c r="AJ97" s="6"/>
      <c r="AK97" s="6"/>
      <c r="AL97" s="6"/>
      <c r="AM97" s="6" t="s">
        <v>772</v>
      </c>
      <c r="AN97" s="6" t="s">
        <v>773</v>
      </c>
      <c r="AO97" s="6"/>
      <c r="AP97" s="6"/>
      <c r="AQ97" s="6"/>
      <c r="AR97" s="6" t="s">
        <v>400</v>
      </c>
      <c r="AS97" s="6">
        <v>2012</v>
      </c>
      <c r="AT97" s="6">
        <v>24</v>
      </c>
      <c r="AU97" s="6">
        <v>3</v>
      </c>
      <c r="AV97" s="6"/>
      <c r="AW97" s="6"/>
      <c r="AX97" s="6"/>
      <c r="AY97" s="6"/>
      <c r="AZ97" s="6">
        <v>296</v>
      </c>
      <c r="BA97" s="6">
        <v>301</v>
      </c>
      <c r="BB97" s="6"/>
      <c r="BC97" s="6" t="s">
        <v>774</v>
      </c>
      <c r="BD97" s="9" t="str">
        <f>HYPERLINK("http://dx.doi.org/10.1002/ajhb.22270","http://dx.doi.org/10.1002/ajhb.22270")</f>
        <v>http://dx.doi.org/10.1002/ajhb.22270</v>
      </c>
      <c r="BE97" s="6"/>
      <c r="BF97" s="6"/>
      <c r="BG97" s="6"/>
      <c r="BH97" s="6"/>
      <c r="BI97" s="6">
        <v>22450869</v>
      </c>
      <c r="BJ97" s="6" t="s">
        <v>775</v>
      </c>
      <c r="BK97" s="6"/>
      <c r="BL97" s="6"/>
      <c r="BM97" s="6"/>
      <c r="BN97" s="6"/>
      <c r="BO97" s="6"/>
      <c r="BP97" s="6"/>
      <c r="BQ97" s="6"/>
      <c r="BR97" s="6"/>
      <c r="BS97" s="6"/>
      <c r="BT97" s="6"/>
      <c r="BU97" s="8" t="s">
        <v>7257</v>
      </c>
      <c r="BV97" s="8" t="s">
        <v>764</v>
      </c>
      <c r="BW97" s="8" t="s">
        <v>7196</v>
      </c>
    </row>
    <row r="98" spans="1:75" ht="12" customHeight="1">
      <c r="A98" s="6" t="s">
        <v>63</v>
      </c>
      <c r="B98" s="6" t="s">
        <v>1725</v>
      </c>
      <c r="C98" s="6"/>
      <c r="D98" s="6"/>
      <c r="E98" s="6"/>
      <c r="F98" s="6" t="s">
        <v>1726</v>
      </c>
      <c r="G98" s="6"/>
      <c r="H98" s="6"/>
      <c r="I98" s="6" t="s">
        <v>1727</v>
      </c>
      <c r="J98" s="6" t="s">
        <v>1728</v>
      </c>
      <c r="K98" s="6"/>
      <c r="L98" s="6"/>
      <c r="M98" s="6"/>
      <c r="N98" s="6"/>
      <c r="O98" s="6"/>
      <c r="P98" s="6"/>
      <c r="Q98" s="6"/>
      <c r="R98" s="6"/>
      <c r="S98" s="6"/>
      <c r="T98" s="6" t="s">
        <v>1729</v>
      </c>
      <c r="U98" s="6"/>
      <c r="V98" s="6"/>
      <c r="W98" s="6"/>
      <c r="X98" s="6"/>
      <c r="Y98" s="6"/>
      <c r="Z98" s="6" t="s">
        <v>1730</v>
      </c>
      <c r="AA98" s="6"/>
      <c r="AB98" s="6"/>
      <c r="AC98" s="6"/>
      <c r="AD98" s="6"/>
      <c r="AE98" s="6"/>
      <c r="AF98" s="6"/>
      <c r="AG98" s="6"/>
      <c r="AH98" s="6"/>
      <c r="AI98" s="6"/>
      <c r="AJ98" s="6"/>
      <c r="AK98" s="6"/>
      <c r="AL98" s="6"/>
      <c r="AM98" s="6" t="s">
        <v>984</v>
      </c>
      <c r="AN98" s="6" t="s">
        <v>985</v>
      </c>
      <c r="AO98" s="6"/>
      <c r="AP98" s="6"/>
      <c r="AQ98" s="6"/>
      <c r="AR98" s="6" t="s">
        <v>937</v>
      </c>
      <c r="AS98" s="6">
        <v>2015</v>
      </c>
      <c r="AT98" s="6">
        <v>59</v>
      </c>
      <c r="AU98" s="6">
        <v>3</v>
      </c>
      <c r="AV98" s="6"/>
      <c r="AW98" s="6"/>
      <c r="AX98" s="6"/>
      <c r="AY98" s="6"/>
      <c r="AZ98" s="6">
        <v>267</v>
      </c>
      <c r="BA98" s="6">
        <v>282</v>
      </c>
      <c r="BB98" s="6"/>
      <c r="BC98" s="6" t="s">
        <v>1731</v>
      </c>
      <c r="BD98" s="9" t="str">
        <f>HYPERLINK("http://dx.doi.org/10.1111/cag.12176","http://dx.doi.org/10.1111/cag.12176")</f>
        <v>http://dx.doi.org/10.1111/cag.12176</v>
      </c>
      <c r="BE98" s="6"/>
      <c r="BF98" s="6"/>
      <c r="BG98" s="6"/>
      <c r="BH98" s="6"/>
      <c r="BI98" s="6"/>
      <c r="BJ98" s="6" t="s">
        <v>1732</v>
      </c>
      <c r="BK98" s="6"/>
      <c r="BL98" s="6"/>
      <c r="BM98" s="6"/>
      <c r="BN98" s="6"/>
      <c r="BO98" s="6"/>
      <c r="BP98" s="6"/>
      <c r="BQ98" s="6"/>
      <c r="BR98" s="6"/>
      <c r="BS98" s="6"/>
      <c r="BT98" s="6"/>
      <c r="BU98" s="8" t="s">
        <v>7258</v>
      </c>
      <c r="BV98" s="8" t="s">
        <v>2039</v>
      </c>
      <c r="BW98" s="8" t="s">
        <v>7189</v>
      </c>
    </row>
    <row r="99" spans="1:75" ht="12.75" customHeight="1">
      <c r="A99" s="6" t="s">
        <v>63</v>
      </c>
      <c r="B99" s="6" t="s">
        <v>3279</v>
      </c>
      <c r="C99" s="6"/>
      <c r="D99" s="6"/>
      <c r="E99" s="6"/>
      <c r="F99" s="6" t="s">
        <v>3280</v>
      </c>
      <c r="G99" s="6"/>
      <c r="H99" s="6"/>
      <c r="I99" s="6" t="s">
        <v>3281</v>
      </c>
      <c r="J99" s="6" t="s">
        <v>3282</v>
      </c>
      <c r="K99" s="6"/>
      <c r="L99" s="6"/>
      <c r="M99" s="6"/>
      <c r="N99" s="6"/>
      <c r="O99" s="6"/>
      <c r="P99" s="6"/>
      <c r="Q99" s="6"/>
      <c r="R99" s="6"/>
      <c r="S99" s="6"/>
      <c r="T99" s="6" t="s">
        <v>3283</v>
      </c>
      <c r="U99" s="6"/>
      <c r="V99" s="6"/>
      <c r="W99" s="6"/>
      <c r="X99" s="6"/>
      <c r="Y99" s="6"/>
      <c r="Z99" s="6" t="s">
        <v>3284</v>
      </c>
      <c r="AA99" s="6"/>
      <c r="AB99" s="6"/>
      <c r="AC99" s="6"/>
      <c r="AD99" s="6"/>
      <c r="AE99" s="6"/>
      <c r="AF99" s="6"/>
      <c r="AG99" s="6"/>
      <c r="AH99" s="6"/>
      <c r="AI99" s="6"/>
      <c r="AJ99" s="6"/>
      <c r="AK99" s="6"/>
      <c r="AL99" s="6"/>
      <c r="AM99" s="6"/>
      <c r="AN99" s="6" t="s">
        <v>3285</v>
      </c>
      <c r="AO99" s="6"/>
      <c r="AP99" s="6"/>
      <c r="AQ99" s="6"/>
      <c r="AR99" s="6" t="s">
        <v>66</v>
      </c>
      <c r="AS99" s="6">
        <v>2018</v>
      </c>
      <c r="AT99" s="6">
        <v>2</v>
      </c>
      <c r="AU99" s="6">
        <v>2</v>
      </c>
      <c r="AV99" s="6"/>
      <c r="AW99" s="6"/>
      <c r="AX99" s="6"/>
      <c r="AY99" s="6"/>
      <c r="AZ99" s="6"/>
      <c r="BA99" s="6"/>
      <c r="BB99" s="6">
        <v>46</v>
      </c>
      <c r="BC99" s="6" t="s">
        <v>3286</v>
      </c>
      <c r="BD99" s="9" t="str">
        <f>HYPERLINK("http://dx.doi.org/10.3390/urbansci2020046","http://dx.doi.org/10.3390/urbansci2020046")</f>
        <v>http://dx.doi.org/10.3390/urbansci2020046</v>
      </c>
      <c r="BE99" s="6"/>
      <c r="BF99" s="6"/>
      <c r="BG99" s="6"/>
      <c r="BH99" s="6"/>
      <c r="BI99" s="6"/>
      <c r="BJ99" s="6" t="s">
        <v>3287</v>
      </c>
      <c r="BK99" s="6"/>
      <c r="BL99" s="6"/>
      <c r="BM99" s="6"/>
      <c r="BN99" s="6"/>
      <c r="BO99" s="6"/>
      <c r="BP99" s="6"/>
      <c r="BQ99" s="6"/>
      <c r="BR99" s="6"/>
      <c r="BS99" s="6"/>
      <c r="BT99" s="6"/>
      <c r="BU99" s="8" t="s">
        <v>7193</v>
      </c>
      <c r="BV99" s="8" t="s">
        <v>7188</v>
      </c>
      <c r="BW99" s="8" t="s">
        <v>7189</v>
      </c>
    </row>
    <row r="100" spans="1:75" ht="12.75" customHeight="1">
      <c r="A100" s="6" t="s">
        <v>63</v>
      </c>
      <c r="B100" s="6" t="s">
        <v>1733</v>
      </c>
      <c r="C100" s="6"/>
      <c r="D100" s="6"/>
      <c r="E100" s="6"/>
      <c r="F100" s="6" t="s">
        <v>1734</v>
      </c>
      <c r="G100" s="6"/>
      <c r="H100" s="6"/>
      <c r="I100" s="6" t="s">
        <v>1735</v>
      </c>
      <c r="J100" s="6" t="s">
        <v>434</v>
      </c>
      <c r="K100" s="6"/>
      <c r="L100" s="6"/>
      <c r="M100" s="6"/>
      <c r="N100" s="6"/>
      <c r="O100" s="6"/>
      <c r="P100" s="6"/>
      <c r="Q100" s="6"/>
      <c r="R100" s="6"/>
      <c r="S100" s="6"/>
      <c r="T100" s="6" t="s">
        <v>1736</v>
      </c>
      <c r="U100" s="6"/>
      <c r="V100" s="6"/>
      <c r="W100" s="6"/>
      <c r="X100" s="6"/>
      <c r="Y100" s="6" t="s">
        <v>271</v>
      </c>
      <c r="Z100" s="6" t="s">
        <v>1737</v>
      </c>
      <c r="AA100" s="6"/>
      <c r="AB100" s="6"/>
      <c r="AC100" s="6"/>
      <c r="AD100" s="6"/>
      <c r="AE100" s="6"/>
      <c r="AF100" s="6"/>
      <c r="AG100" s="6"/>
      <c r="AH100" s="6"/>
      <c r="AI100" s="6"/>
      <c r="AJ100" s="6"/>
      <c r="AK100" s="6"/>
      <c r="AL100" s="6"/>
      <c r="AM100" s="6" t="s">
        <v>436</v>
      </c>
      <c r="AN100" s="6" t="s">
        <v>568</v>
      </c>
      <c r="AO100" s="6"/>
      <c r="AP100" s="6"/>
      <c r="AQ100" s="6"/>
      <c r="AR100" s="6" t="s">
        <v>121</v>
      </c>
      <c r="AS100" s="6">
        <v>2015</v>
      </c>
      <c r="AT100" s="6">
        <v>62</v>
      </c>
      <c r="AU100" s="6"/>
      <c r="AV100" s="6"/>
      <c r="AW100" s="6"/>
      <c r="AX100" s="6"/>
      <c r="AY100" s="6"/>
      <c r="AZ100" s="6">
        <v>8</v>
      </c>
      <c r="BA100" s="6">
        <v>18</v>
      </c>
      <c r="BB100" s="6"/>
      <c r="BC100" s="6" t="s">
        <v>1738</v>
      </c>
      <c r="BD100" s="9" t="str">
        <f>HYPERLINK("http://dx.doi.org/10.1016/j.apgeog.2015.04.03","http://dx.doi.org/10.1016/j.apgeog.2015.04.03")</f>
        <v>http://dx.doi.org/10.1016/j.apgeog.2015.04.03</v>
      </c>
      <c r="BE100" s="6"/>
      <c r="BF100" s="6"/>
      <c r="BG100" s="6"/>
      <c r="BH100" s="6"/>
      <c r="BI100" s="6"/>
      <c r="BJ100" s="6" t="s">
        <v>1739</v>
      </c>
      <c r="BK100" s="6"/>
      <c r="BL100" s="6"/>
      <c r="BM100" s="6"/>
      <c r="BN100" s="6"/>
      <c r="BO100" s="6"/>
      <c r="BP100" s="6"/>
      <c r="BQ100" s="6"/>
      <c r="BR100" s="6"/>
      <c r="BS100" s="6"/>
      <c r="BT100" s="6"/>
      <c r="BU100" s="8" t="s">
        <v>7230</v>
      </c>
      <c r="BV100" s="8" t="s">
        <v>7204</v>
      </c>
      <c r="BW100" s="8" t="s">
        <v>7205</v>
      </c>
    </row>
    <row r="101" spans="1:75" ht="12.75" customHeight="1">
      <c r="A101" s="3" t="s">
        <v>63</v>
      </c>
      <c r="B101" s="3" t="s">
        <v>5389</v>
      </c>
      <c r="C101" s="3"/>
      <c r="D101" s="3"/>
      <c r="E101" s="3"/>
      <c r="F101" s="3" t="s">
        <v>5390</v>
      </c>
      <c r="G101" s="3"/>
      <c r="H101" s="3"/>
      <c r="I101" s="3" t="s">
        <v>5391</v>
      </c>
      <c r="J101" s="3" t="s">
        <v>5392</v>
      </c>
      <c r="K101" s="3"/>
      <c r="L101" s="3"/>
      <c r="M101" s="3"/>
      <c r="N101" s="3"/>
      <c r="O101" s="3"/>
      <c r="P101" s="3"/>
      <c r="Q101" s="3"/>
      <c r="R101" s="3"/>
      <c r="S101" s="3"/>
      <c r="T101" s="3" t="s">
        <v>5393</v>
      </c>
      <c r="U101" s="3"/>
      <c r="V101" s="3"/>
      <c r="W101" s="3"/>
      <c r="X101" s="3"/>
      <c r="Y101" s="3"/>
      <c r="Z101" s="3"/>
      <c r="AA101" s="3"/>
      <c r="AB101" s="3"/>
      <c r="AC101" s="3"/>
      <c r="AD101" s="3"/>
      <c r="AE101" s="3"/>
      <c r="AF101" s="3"/>
      <c r="AG101" s="3"/>
      <c r="AH101" s="3"/>
      <c r="AI101" s="3"/>
      <c r="AJ101" s="3"/>
      <c r="AK101" s="3"/>
      <c r="AL101" s="3"/>
      <c r="AM101" s="3" t="s">
        <v>5394</v>
      </c>
      <c r="AN101" s="3" t="s">
        <v>5395</v>
      </c>
      <c r="AO101" s="3"/>
      <c r="AP101" s="3"/>
      <c r="AQ101" s="3"/>
      <c r="AR101" s="3" t="s">
        <v>65</v>
      </c>
      <c r="AS101" s="3">
        <v>2022</v>
      </c>
      <c r="AT101" s="3">
        <v>110</v>
      </c>
      <c r="AU101" s="3">
        <v>6</v>
      </c>
      <c r="AV101" s="3"/>
      <c r="AW101" s="3"/>
      <c r="AX101" s="3"/>
      <c r="AY101" s="3"/>
      <c r="AZ101" s="3">
        <v>1717</v>
      </c>
      <c r="BA101" s="3">
        <v>1776</v>
      </c>
      <c r="BB101" s="3"/>
      <c r="BC101" s="3" t="s">
        <v>5396</v>
      </c>
      <c r="BD101" s="15" t="str">
        <f>HYPERLINK("http://dx.doi.org/10.15779/Z38GM81P9R","http://dx.doi.org/10.15779/Z38GM81P9R")</f>
        <v>http://dx.doi.org/10.15779/Z38GM81P9R</v>
      </c>
      <c r="BE101" s="3"/>
      <c r="BF101" s="3"/>
      <c r="BG101" s="3"/>
      <c r="BH101" s="3"/>
      <c r="BI101" s="3"/>
      <c r="BJ101" s="3" t="s">
        <v>5397</v>
      </c>
      <c r="BK101" s="3"/>
      <c r="BL101" s="3"/>
      <c r="BM101" s="3"/>
      <c r="BN101" s="3"/>
      <c r="BO101" s="3"/>
      <c r="BP101" s="3"/>
      <c r="BQ101" s="3"/>
      <c r="BR101" s="3"/>
      <c r="BS101" s="3"/>
      <c r="BT101" s="3"/>
      <c r="BU101" s="1" t="s">
        <v>7193</v>
      </c>
      <c r="BV101" s="2" t="s">
        <v>7188</v>
      </c>
      <c r="BW101" s="2" t="s">
        <v>7189</v>
      </c>
    </row>
    <row r="102" spans="1:75" ht="12.75" customHeight="1">
      <c r="A102" s="3" t="s">
        <v>63</v>
      </c>
      <c r="B102" s="3" t="s">
        <v>2743</v>
      </c>
      <c r="C102" s="3"/>
      <c r="D102" s="3"/>
      <c r="E102" s="3"/>
      <c r="F102" s="3" t="s">
        <v>2744</v>
      </c>
      <c r="G102" s="3"/>
      <c r="H102" s="3"/>
      <c r="I102" s="3" t="s">
        <v>2745</v>
      </c>
      <c r="J102" s="3" t="s">
        <v>423</v>
      </c>
      <c r="K102" s="3"/>
      <c r="L102" s="3"/>
      <c r="M102" s="3"/>
      <c r="N102" s="3"/>
      <c r="O102" s="3"/>
      <c r="P102" s="3"/>
      <c r="Q102" s="3"/>
      <c r="R102" s="3"/>
      <c r="S102" s="3"/>
      <c r="T102" s="3" t="s">
        <v>2746</v>
      </c>
      <c r="U102" s="3"/>
      <c r="V102" s="3"/>
      <c r="W102" s="3"/>
      <c r="X102" s="3"/>
      <c r="Y102" s="3"/>
      <c r="Z102" s="3" t="s">
        <v>2747</v>
      </c>
      <c r="AA102" s="3"/>
      <c r="AB102" s="3"/>
      <c r="AC102" s="3"/>
      <c r="AD102" s="3"/>
      <c r="AE102" s="3"/>
      <c r="AF102" s="3"/>
      <c r="AG102" s="3"/>
      <c r="AH102" s="3"/>
      <c r="AI102" s="3"/>
      <c r="AJ102" s="3"/>
      <c r="AK102" s="3"/>
      <c r="AL102" s="3"/>
      <c r="AM102" s="3" t="s">
        <v>427</v>
      </c>
      <c r="AN102" s="3" t="s">
        <v>428</v>
      </c>
      <c r="AO102" s="3"/>
      <c r="AP102" s="3"/>
      <c r="AQ102" s="3"/>
      <c r="AR102" s="3"/>
      <c r="AS102" s="3">
        <v>2017</v>
      </c>
      <c r="AT102" s="3">
        <v>12</v>
      </c>
      <c r="AU102" s="3">
        <v>3</v>
      </c>
      <c r="AV102" s="3"/>
      <c r="AW102" s="3"/>
      <c r="AX102" s="3"/>
      <c r="AY102" s="3"/>
      <c r="AZ102" s="3">
        <v>375</v>
      </c>
      <c r="BA102" s="3">
        <v>393</v>
      </c>
      <c r="BB102" s="3"/>
      <c r="BC102" s="3" t="s">
        <v>2748</v>
      </c>
      <c r="BD102" s="15" t="str">
        <f>HYPERLINK("http://dx.doi.org/10.1080/19320248.2017.1284025","http://dx.doi.org/10.1080/19320248.2017.1284025")</f>
        <v>http://dx.doi.org/10.1080/19320248.2017.1284025</v>
      </c>
      <c r="BE102" s="3"/>
      <c r="BF102" s="3"/>
      <c r="BG102" s="3"/>
      <c r="BH102" s="3"/>
      <c r="BI102" s="3"/>
      <c r="BJ102" s="3" t="s">
        <v>2749</v>
      </c>
      <c r="BK102" s="3"/>
      <c r="BL102" s="3"/>
      <c r="BM102" s="3"/>
      <c r="BN102" s="3"/>
      <c r="BO102" s="3"/>
      <c r="BP102" s="3"/>
      <c r="BQ102" s="3"/>
      <c r="BR102" s="3"/>
      <c r="BS102" s="3"/>
      <c r="BT102" s="3"/>
      <c r="BU102" s="1" t="s">
        <v>7225</v>
      </c>
      <c r="BV102" s="2" t="s">
        <v>7188</v>
      </c>
      <c r="BW102" s="2" t="s">
        <v>7189</v>
      </c>
    </row>
    <row r="103" spans="1:75" ht="12.75" customHeight="1">
      <c r="A103" s="3" t="s">
        <v>63</v>
      </c>
      <c r="B103" s="3" t="s">
        <v>5398</v>
      </c>
      <c r="C103" s="3"/>
      <c r="D103" s="3"/>
      <c r="E103" s="3"/>
      <c r="F103" s="3" t="s">
        <v>5399</v>
      </c>
      <c r="G103" s="3"/>
      <c r="H103" s="3"/>
      <c r="I103" s="3" t="s">
        <v>5400</v>
      </c>
      <c r="J103" s="3" t="s">
        <v>5401</v>
      </c>
      <c r="K103" s="3"/>
      <c r="L103" s="3"/>
      <c r="M103" s="3"/>
      <c r="N103" s="3"/>
      <c r="O103" s="3"/>
      <c r="P103" s="3"/>
      <c r="Q103" s="3"/>
      <c r="R103" s="3"/>
      <c r="S103" s="3"/>
      <c r="T103" s="3" t="s">
        <v>5402</v>
      </c>
      <c r="U103" s="3"/>
      <c r="V103" s="3"/>
      <c r="W103" s="3"/>
      <c r="X103" s="3"/>
      <c r="Y103" s="3" t="s">
        <v>5403</v>
      </c>
      <c r="Z103" s="3" t="s">
        <v>5404</v>
      </c>
      <c r="AA103" s="3"/>
      <c r="AB103" s="3"/>
      <c r="AC103" s="3"/>
      <c r="AD103" s="3"/>
      <c r="AE103" s="3"/>
      <c r="AF103" s="3"/>
      <c r="AG103" s="3"/>
      <c r="AH103" s="3"/>
      <c r="AI103" s="3"/>
      <c r="AJ103" s="3"/>
      <c r="AK103" s="3"/>
      <c r="AL103" s="3"/>
      <c r="AM103" s="3" t="s">
        <v>5405</v>
      </c>
      <c r="AN103" s="3" t="s">
        <v>5406</v>
      </c>
      <c r="AO103" s="3"/>
      <c r="AP103" s="3"/>
      <c r="AQ103" s="3"/>
      <c r="AR103" s="3" t="s">
        <v>78</v>
      </c>
      <c r="AS103" s="3">
        <v>2022</v>
      </c>
      <c r="AT103" s="3">
        <v>2676</v>
      </c>
      <c r="AU103" s="3">
        <v>5</v>
      </c>
      <c r="AV103" s="3"/>
      <c r="AW103" s="3"/>
      <c r="AX103" s="3"/>
      <c r="AY103" s="3"/>
      <c r="AZ103" s="3">
        <v>571</v>
      </c>
      <c r="BA103" s="3">
        <v>589</v>
      </c>
      <c r="BB103" s="3">
        <v>3611981221089308</v>
      </c>
      <c r="BC103" s="3" t="s">
        <v>5407</v>
      </c>
      <c r="BD103" s="15" t="str">
        <f>HYPERLINK("http://dx.doi.org/10.1177/03611981221089308","http://dx.doi.org/10.1177/03611981221089308")</f>
        <v>http://dx.doi.org/10.1177/03611981221089308</v>
      </c>
      <c r="BE103" s="3"/>
      <c r="BF103" s="3" t="s">
        <v>5408</v>
      </c>
      <c r="BG103" s="3"/>
      <c r="BH103" s="3"/>
      <c r="BI103" s="3"/>
      <c r="BJ103" s="3" t="s">
        <v>5409</v>
      </c>
      <c r="BK103" s="3"/>
      <c r="BL103" s="3"/>
      <c r="BM103" s="3"/>
      <c r="BN103" s="3"/>
      <c r="BO103" s="3"/>
      <c r="BP103" s="3"/>
      <c r="BQ103" s="3"/>
      <c r="BR103" s="3"/>
      <c r="BS103" s="3"/>
      <c r="BT103" s="3"/>
      <c r="BU103" s="1" t="s">
        <v>7259</v>
      </c>
      <c r="BV103" s="2" t="s">
        <v>7188</v>
      </c>
      <c r="BW103" s="2" t="s">
        <v>7189</v>
      </c>
    </row>
    <row r="104" spans="1:75" ht="12.75" customHeight="1">
      <c r="A104" s="3" t="s">
        <v>63</v>
      </c>
      <c r="B104" s="3" t="s">
        <v>776</v>
      </c>
      <c r="C104" s="3"/>
      <c r="D104" s="3"/>
      <c r="E104" s="3"/>
      <c r="F104" s="3" t="s">
        <v>777</v>
      </c>
      <c r="G104" s="3"/>
      <c r="H104" s="3"/>
      <c r="I104" s="3" t="s">
        <v>778</v>
      </c>
      <c r="J104" s="3" t="s">
        <v>779</v>
      </c>
      <c r="K104" s="3"/>
      <c r="L104" s="3"/>
      <c r="M104" s="3"/>
      <c r="N104" s="3"/>
      <c r="O104" s="3"/>
      <c r="P104" s="3"/>
      <c r="Q104" s="3"/>
      <c r="R104" s="3"/>
      <c r="S104" s="3"/>
      <c r="T104" s="3" t="s">
        <v>780</v>
      </c>
      <c r="U104" s="3"/>
      <c r="V104" s="3"/>
      <c r="W104" s="3"/>
      <c r="X104" s="3"/>
      <c r="Y104" s="3" t="s">
        <v>781</v>
      </c>
      <c r="Z104" s="3"/>
      <c r="AA104" s="3"/>
      <c r="AB104" s="3"/>
      <c r="AC104" s="3"/>
      <c r="AD104" s="3"/>
      <c r="AE104" s="3"/>
      <c r="AF104" s="3"/>
      <c r="AG104" s="3"/>
      <c r="AH104" s="3"/>
      <c r="AI104" s="3"/>
      <c r="AJ104" s="3"/>
      <c r="AK104" s="3"/>
      <c r="AL104" s="3"/>
      <c r="AM104" s="3"/>
      <c r="AN104" s="3" t="s">
        <v>782</v>
      </c>
      <c r="AO104" s="3"/>
      <c r="AP104" s="3"/>
      <c r="AQ104" s="3"/>
      <c r="AR104" s="3" t="s">
        <v>783</v>
      </c>
      <c r="AS104" s="3">
        <v>2012</v>
      </c>
      <c r="AT104" s="3">
        <v>9</v>
      </c>
      <c r="AU104" s="3"/>
      <c r="AV104" s="3"/>
      <c r="AW104" s="3"/>
      <c r="AX104" s="3"/>
      <c r="AY104" s="3"/>
      <c r="AZ104" s="3"/>
      <c r="BA104" s="3"/>
      <c r="BB104" s="3">
        <v>41</v>
      </c>
      <c r="BC104" s="3" t="s">
        <v>784</v>
      </c>
      <c r="BD104" s="15" t="str">
        <f>HYPERLINK("http://dx.doi.org/10.1186/1479-5868-9-41","http://dx.doi.org/10.1186/1479-5868-9-41")</f>
        <v>http://dx.doi.org/10.1186/1479-5868-9-41</v>
      </c>
      <c r="BE104" s="3"/>
      <c r="BF104" s="3"/>
      <c r="BG104" s="3"/>
      <c r="BH104" s="3"/>
      <c r="BI104" s="3">
        <v>22490237</v>
      </c>
      <c r="BJ104" s="3" t="s">
        <v>785</v>
      </c>
      <c r="BK104" s="3"/>
      <c r="BL104" s="3"/>
      <c r="BM104" s="3"/>
      <c r="BN104" s="3"/>
      <c r="BO104" s="3"/>
      <c r="BP104" s="3"/>
      <c r="BQ104" s="3"/>
      <c r="BR104" s="3"/>
      <c r="BS104" s="3"/>
      <c r="BT104" s="3"/>
      <c r="BU104" s="1" t="s">
        <v>7260</v>
      </c>
      <c r="BV104" s="2" t="s">
        <v>7188</v>
      </c>
      <c r="BW104" s="2" t="s">
        <v>7189</v>
      </c>
    </row>
    <row r="105" spans="1:75" ht="12.75" customHeight="1">
      <c r="A105" s="6" t="s">
        <v>63</v>
      </c>
      <c r="B105" s="6" t="s">
        <v>6068</v>
      </c>
      <c r="C105" s="6"/>
      <c r="D105" s="6"/>
      <c r="E105" s="6"/>
      <c r="F105" s="6" t="s">
        <v>6069</v>
      </c>
      <c r="G105" s="6"/>
      <c r="H105" s="6"/>
      <c r="I105" s="6" t="s">
        <v>6070</v>
      </c>
      <c r="J105" s="6" t="s">
        <v>3729</v>
      </c>
      <c r="K105" s="6"/>
      <c r="L105" s="6"/>
      <c r="M105" s="6"/>
      <c r="N105" s="6"/>
      <c r="O105" s="6"/>
      <c r="P105" s="6"/>
      <c r="Q105" s="6"/>
      <c r="R105" s="6"/>
      <c r="S105" s="6"/>
      <c r="T105" s="6" t="s">
        <v>6071</v>
      </c>
      <c r="U105" s="6"/>
      <c r="V105" s="6"/>
      <c r="W105" s="6"/>
      <c r="X105" s="6"/>
      <c r="Y105" s="6" t="s">
        <v>6072</v>
      </c>
      <c r="Z105" s="6" t="s">
        <v>6073</v>
      </c>
      <c r="AA105" s="6"/>
      <c r="AB105" s="6"/>
      <c r="AC105" s="6"/>
      <c r="AD105" s="6"/>
      <c r="AE105" s="6"/>
      <c r="AF105" s="6"/>
      <c r="AG105" s="6"/>
      <c r="AH105" s="6"/>
      <c r="AI105" s="6"/>
      <c r="AJ105" s="6"/>
      <c r="AK105" s="6"/>
      <c r="AL105" s="6"/>
      <c r="AM105" s="6" t="s">
        <v>3733</v>
      </c>
      <c r="AN105" s="6" t="s">
        <v>3734</v>
      </c>
      <c r="AO105" s="6"/>
      <c r="AP105" s="6"/>
      <c r="AQ105" s="6"/>
      <c r="AR105" s="6" t="s">
        <v>2083</v>
      </c>
      <c r="AS105" s="6">
        <v>2023</v>
      </c>
      <c r="AT105" s="6">
        <v>196</v>
      </c>
      <c r="AU105" s="6"/>
      <c r="AV105" s="6"/>
      <c r="AW105" s="6"/>
      <c r="AX105" s="6"/>
      <c r="AY105" s="6"/>
      <c r="AZ105" s="6">
        <v>70</v>
      </c>
      <c r="BA105" s="6">
        <v>76</v>
      </c>
      <c r="BB105" s="6"/>
      <c r="BC105" s="6" t="s">
        <v>6074</v>
      </c>
      <c r="BD105" s="9" t="str">
        <f>HYPERLINK("http://dx.doi.org/10.1016/j.amjcard.2023.03.010","http://dx.doi.org/10.1016/j.amjcard.2023.03.010")</f>
        <v>http://dx.doi.org/10.1016/j.amjcard.2023.03.010</v>
      </c>
      <c r="BE105" s="6"/>
      <c r="BF105" s="6" t="s">
        <v>6075</v>
      </c>
      <c r="BG105" s="6"/>
      <c r="BH105" s="6"/>
      <c r="BI105" s="6">
        <v>37094491</v>
      </c>
      <c r="BJ105" s="6" t="s">
        <v>6076</v>
      </c>
      <c r="BK105" s="6"/>
      <c r="BL105" s="6"/>
      <c r="BM105" s="6"/>
      <c r="BN105" s="6"/>
      <c r="BO105" s="6"/>
      <c r="BP105" s="6"/>
      <c r="BQ105" s="6"/>
      <c r="BR105" s="6"/>
      <c r="BS105" s="6"/>
      <c r="BT105" s="6"/>
      <c r="BU105" s="8" t="s">
        <v>7193</v>
      </c>
      <c r="BV105" s="8" t="s">
        <v>7188</v>
      </c>
      <c r="BW105" s="8" t="s">
        <v>7189</v>
      </c>
    </row>
    <row r="106" spans="1:75" ht="12.75" customHeight="1">
      <c r="A106" s="6" t="s">
        <v>63</v>
      </c>
      <c r="B106" s="6" t="s">
        <v>6077</v>
      </c>
      <c r="C106" s="6"/>
      <c r="D106" s="6"/>
      <c r="E106" s="6"/>
      <c r="F106" s="6" t="s">
        <v>6078</v>
      </c>
      <c r="G106" s="6"/>
      <c r="H106" s="6"/>
      <c r="I106" s="6" t="s">
        <v>6079</v>
      </c>
      <c r="J106" s="6" t="s">
        <v>6080</v>
      </c>
      <c r="K106" s="6"/>
      <c r="L106" s="6"/>
      <c r="M106" s="6"/>
      <c r="N106" s="6"/>
      <c r="O106" s="6"/>
      <c r="P106" s="6"/>
      <c r="Q106" s="6"/>
      <c r="R106" s="6"/>
      <c r="S106" s="6"/>
      <c r="T106" s="6" t="s">
        <v>6081</v>
      </c>
      <c r="U106" s="6"/>
      <c r="V106" s="6"/>
      <c r="W106" s="6"/>
      <c r="X106" s="6"/>
      <c r="Y106" s="6" t="s">
        <v>6082</v>
      </c>
      <c r="Z106" s="6" t="s">
        <v>6083</v>
      </c>
      <c r="AA106" s="6"/>
      <c r="AB106" s="6"/>
      <c r="AC106" s="6"/>
      <c r="AD106" s="6"/>
      <c r="AE106" s="6"/>
      <c r="AF106" s="6"/>
      <c r="AG106" s="6"/>
      <c r="AH106" s="6"/>
      <c r="AI106" s="6"/>
      <c r="AJ106" s="6"/>
      <c r="AK106" s="6"/>
      <c r="AL106" s="6"/>
      <c r="AM106" s="6" t="s">
        <v>6084</v>
      </c>
      <c r="AN106" s="6" t="s">
        <v>6085</v>
      </c>
      <c r="AO106" s="6"/>
      <c r="AP106" s="6"/>
      <c r="AQ106" s="6"/>
      <c r="AR106" s="6" t="s">
        <v>82</v>
      </c>
      <c r="AS106" s="6">
        <v>2023</v>
      </c>
      <c r="AT106" s="6">
        <v>169</v>
      </c>
      <c r="AU106" s="6"/>
      <c r="AV106" s="6"/>
      <c r="AW106" s="6"/>
      <c r="AX106" s="6"/>
      <c r="AY106" s="6"/>
      <c r="AZ106" s="6"/>
      <c r="BA106" s="6"/>
      <c r="BB106" s="6">
        <v>103589</v>
      </c>
      <c r="BC106" s="6" t="s">
        <v>6086</v>
      </c>
      <c r="BD106" s="9" t="str">
        <f>HYPERLINK("http://dx.doi.org/10.1016/j.tra.2023.103589","http://dx.doi.org/10.1016/j.tra.2023.103589")</f>
        <v>http://dx.doi.org/10.1016/j.tra.2023.103589</v>
      </c>
      <c r="BE106" s="6"/>
      <c r="BF106" s="6" t="s">
        <v>6087</v>
      </c>
      <c r="BG106" s="6"/>
      <c r="BH106" s="6"/>
      <c r="BI106" s="6"/>
      <c r="BJ106" s="6" t="s">
        <v>6088</v>
      </c>
      <c r="BK106" s="6"/>
      <c r="BL106" s="6"/>
      <c r="BM106" s="6"/>
      <c r="BN106" s="6"/>
      <c r="BO106" s="6"/>
      <c r="BP106" s="6"/>
      <c r="BQ106" s="6"/>
      <c r="BR106" s="6"/>
      <c r="BS106" s="6"/>
      <c r="BT106" s="6"/>
      <c r="BU106" s="8" t="s">
        <v>7193</v>
      </c>
      <c r="BV106" s="8" t="s">
        <v>7188</v>
      </c>
      <c r="BW106" s="8" t="s">
        <v>7189</v>
      </c>
    </row>
    <row r="107" spans="1:75" ht="12.75" customHeight="1">
      <c r="A107" s="3" t="s">
        <v>63</v>
      </c>
      <c r="B107" s="3" t="s">
        <v>4164</v>
      </c>
      <c r="C107" s="3"/>
      <c r="D107" s="3"/>
      <c r="E107" s="3"/>
      <c r="F107" s="3" t="s">
        <v>4165</v>
      </c>
      <c r="G107" s="3"/>
      <c r="H107" s="3"/>
      <c r="I107" s="3" t="s">
        <v>4166</v>
      </c>
      <c r="J107" s="3" t="s">
        <v>1142</v>
      </c>
      <c r="K107" s="3"/>
      <c r="L107" s="3"/>
      <c r="M107" s="3"/>
      <c r="N107" s="3"/>
      <c r="O107" s="3"/>
      <c r="P107" s="3"/>
      <c r="Q107" s="3"/>
      <c r="R107" s="3"/>
      <c r="S107" s="3"/>
      <c r="T107" s="3" t="s">
        <v>4167</v>
      </c>
      <c r="U107" s="3"/>
      <c r="V107" s="3"/>
      <c r="W107" s="3"/>
      <c r="X107" s="3"/>
      <c r="Y107" s="3"/>
      <c r="Z107" s="3" t="s">
        <v>4168</v>
      </c>
      <c r="AA107" s="3"/>
      <c r="AB107" s="3"/>
      <c r="AC107" s="3"/>
      <c r="AD107" s="3"/>
      <c r="AE107" s="3"/>
      <c r="AF107" s="3"/>
      <c r="AG107" s="3"/>
      <c r="AH107" s="3"/>
      <c r="AI107" s="3"/>
      <c r="AJ107" s="3"/>
      <c r="AK107" s="3"/>
      <c r="AL107" s="3"/>
      <c r="AM107" s="3"/>
      <c r="AN107" s="3" t="s">
        <v>1144</v>
      </c>
      <c r="AO107" s="3"/>
      <c r="AP107" s="3"/>
      <c r="AQ107" s="3"/>
      <c r="AR107" s="3" t="s">
        <v>78</v>
      </c>
      <c r="AS107" s="3">
        <v>2020</v>
      </c>
      <c r="AT107" s="3">
        <v>17</v>
      </c>
      <c r="AU107" s="3">
        <v>10</v>
      </c>
      <c r="AV107" s="3"/>
      <c r="AW107" s="3"/>
      <c r="AX107" s="3"/>
      <c r="AY107" s="3"/>
      <c r="AZ107" s="3"/>
      <c r="BA107" s="3"/>
      <c r="BB107" s="3">
        <v>3354</v>
      </c>
      <c r="BC107" s="3" t="s">
        <v>4169</v>
      </c>
      <c r="BD107" s="15" t="str">
        <f>HYPERLINK("http://dx.doi.org/10.3390/ijerph17103354","http://dx.doi.org/10.3390/ijerph17103354")</f>
        <v>http://dx.doi.org/10.3390/ijerph17103354</v>
      </c>
      <c r="BE107" s="3"/>
      <c r="BF107" s="3"/>
      <c r="BG107" s="3"/>
      <c r="BH107" s="3"/>
      <c r="BI107" s="3">
        <v>32408579</v>
      </c>
      <c r="BJ107" s="3" t="s">
        <v>4170</v>
      </c>
      <c r="BK107" s="3"/>
      <c r="BL107" s="3"/>
      <c r="BM107" s="3"/>
      <c r="BN107" s="3"/>
      <c r="BO107" s="3"/>
      <c r="BP107" s="3"/>
      <c r="BQ107" s="3"/>
      <c r="BR107" s="3"/>
      <c r="BS107" s="3"/>
      <c r="BT107" s="3"/>
      <c r="BU107" s="13" t="s">
        <v>7261</v>
      </c>
      <c r="BV107" s="2" t="s">
        <v>7188</v>
      </c>
      <c r="BW107" s="2" t="s">
        <v>7189</v>
      </c>
    </row>
    <row r="108" spans="1:75" ht="13.5" customHeight="1">
      <c r="A108" s="3" t="s">
        <v>63</v>
      </c>
      <c r="B108" s="3" t="s">
        <v>4171</v>
      </c>
      <c r="C108" s="3"/>
      <c r="D108" s="3"/>
      <c r="E108" s="3"/>
      <c r="F108" s="3" t="s">
        <v>4172</v>
      </c>
      <c r="G108" s="3"/>
      <c r="H108" s="3"/>
      <c r="I108" s="3" t="s">
        <v>4173</v>
      </c>
      <c r="J108" s="3" t="s">
        <v>3459</v>
      </c>
      <c r="K108" s="3"/>
      <c r="L108" s="3"/>
      <c r="M108" s="3"/>
      <c r="N108" s="3"/>
      <c r="O108" s="3"/>
      <c r="P108" s="3"/>
      <c r="Q108" s="3"/>
      <c r="R108" s="3"/>
      <c r="S108" s="3"/>
      <c r="T108" s="3" t="s">
        <v>4174</v>
      </c>
      <c r="U108" s="3"/>
      <c r="V108" s="3"/>
      <c r="W108" s="3"/>
      <c r="X108" s="3"/>
      <c r="Y108" s="3" t="s">
        <v>4175</v>
      </c>
      <c r="Z108" s="3" t="s">
        <v>4176</v>
      </c>
      <c r="AA108" s="3"/>
      <c r="AB108" s="3"/>
      <c r="AC108" s="3"/>
      <c r="AD108" s="3"/>
      <c r="AE108" s="3"/>
      <c r="AF108" s="3"/>
      <c r="AG108" s="3"/>
      <c r="AH108" s="3"/>
      <c r="AI108" s="3"/>
      <c r="AJ108" s="3"/>
      <c r="AK108" s="3"/>
      <c r="AL108" s="3"/>
      <c r="AM108" s="3" t="s">
        <v>3463</v>
      </c>
      <c r="AN108" s="3"/>
      <c r="AO108" s="3"/>
      <c r="AP108" s="3"/>
      <c r="AQ108" s="3"/>
      <c r="AR108" s="3" t="s">
        <v>173</v>
      </c>
      <c r="AS108" s="3">
        <v>2020</v>
      </c>
      <c r="AT108" s="3">
        <v>136</v>
      </c>
      <c r="AU108" s="3">
        <v>1</v>
      </c>
      <c r="AV108" s="3"/>
      <c r="AW108" s="3"/>
      <c r="AX108" s="3"/>
      <c r="AY108" s="3"/>
      <c r="AZ108" s="3">
        <v>140</v>
      </c>
      <c r="BA108" s="3">
        <v>145</v>
      </c>
      <c r="BB108" s="3"/>
      <c r="BC108" s="3" t="s">
        <v>4177</v>
      </c>
      <c r="BD108" s="15" t="str">
        <f>HYPERLINK("http://dx.doi.org/10.1097/AOG.0000000000003868","http://dx.doi.org/10.1097/AOG.0000000000003868")</f>
        <v>http://dx.doi.org/10.1097/AOG.0000000000003868</v>
      </c>
      <c r="BE108" s="3"/>
      <c r="BF108" s="3"/>
      <c r="BG108" s="3"/>
      <c r="BH108" s="3"/>
      <c r="BI108" s="3">
        <v>32541293</v>
      </c>
      <c r="BJ108" s="3" t="s">
        <v>4178</v>
      </c>
      <c r="BK108" s="3"/>
      <c r="BL108" s="3"/>
      <c r="BM108" s="3"/>
      <c r="BN108" s="3"/>
      <c r="BO108" s="3"/>
      <c r="BP108" s="3"/>
      <c r="BQ108" s="3"/>
      <c r="BR108" s="3"/>
      <c r="BS108" s="3"/>
      <c r="BT108" s="3"/>
      <c r="BU108" s="1" t="s">
        <v>7262</v>
      </c>
      <c r="BV108" s="2" t="s">
        <v>7188</v>
      </c>
      <c r="BW108" s="2" t="s">
        <v>7189</v>
      </c>
    </row>
    <row r="109" spans="1:75" ht="12.75" customHeight="1">
      <c r="A109" s="6" t="s">
        <v>63</v>
      </c>
      <c r="B109" s="6" t="s">
        <v>85</v>
      </c>
      <c r="C109" s="6"/>
      <c r="D109" s="6"/>
      <c r="E109" s="6"/>
      <c r="F109" s="6" t="s">
        <v>85</v>
      </c>
      <c r="G109" s="6"/>
      <c r="H109" s="6"/>
      <c r="I109" s="6" t="s">
        <v>86</v>
      </c>
      <c r="J109" s="6" t="s">
        <v>87</v>
      </c>
      <c r="K109" s="6"/>
      <c r="L109" s="6"/>
      <c r="M109" s="6"/>
      <c r="N109" s="6"/>
      <c r="O109" s="6"/>
      <c r="P109" s="6"/>
      <c r="Q109" s="6"/>
      <c r="R109" s="6"/>
      <c r="S109" s="6"/>
      <c r="T109" s="6" t="s">
        <v>88</v>
      </c>
      <c r="U109" s="6"/>
      <c r="V109" s="6"/>
      <c r="W109" s="6"/>
      <c r="X109" s="6"/>
      <c r="Y109" s="6" t="s">
        <v>89</v>
      </c>
      <c r="Z109" s="6" t="s">
        <v>90</v>
      </c>
      <c r="AA109" s="6"/>
      <c r="AB109" s="6"/>
      <c r="AC109" s="6"/>
      <c r="AD109" s="6"/>
      <c r="AE109" s="6"/>
      <c r="AF109" s="6"/>
      <c r="AG109" s="6"/>
      <c r="AH109" s="6"/>
      <c r="AI109" s="6"/>
      <c r="AJ109" s="6"/>
      <c r="AK109" s="6"/>
      <c r="AL109" s="6"/>
      <c r="AM109" s="6" t="s">
        <v>91</v>
      </c>
      <c r="AN109" s="6"/>
      <c r="AO109" s="6"/>
      <c r="AP109" s="6"/>
      <c r="AQ109" s="6"/>
      <c r="AR109" s="6" t="s">
        <v>92</v>
      </c>
      <c r="AS109" s="6">
        <v>2002</v>
      </c>
      <c r="AT109" s="6">
        <v>39</v>
      </c>
      <c r="AU109" s="6">
        <v>11</v>
      </c>
      <c r="AV109" s="6"/>
      <c r="AW109" s="6"/>
      <c r="AX109" s="6"/>
      <c r="AY109" s="6"/>
      <c r="AZ109" s="6">
        <v>2083</v>
      </c>
      <c r="BA109" s="6">
        <v>2100</v>
      </c>
      <c r="BB109" s="6"/>
      <c r="BC109" s="6" t="s">
        <v>93</v>
      </c>
      <c r="BD109" s="9" t="str">
        <f>HYPERLINK("http://dx.doi.org/10.1080/0042098022000011371","http://dx.doi.org/10.1080/0042098022000011371")</f>
        <v>http://dx.doi.org/10.1080/0042098022000011371</v>
      </c>
      <c r="BE109" s="6"/>
      <c r="BF109" s="6"/>
      <c r="BG109" s="6"/>
      <c r="BH109" s="6"/>
      <c r="BI109" s="6"/>
      <c r="BJ109" s="6" t="s">
        <v>94</v>
      </c>
      <c r="BK109" s="6"/>
      <c r="BL109" s="6"/>
      <c r="BM109" s="6"/>
      <c r="BN109" s="6"/>
      <c r="BO109" s="6"/>
      <c r="BP109" s="6"/>
      <c r="BQ109" s="6"/>
      <c r="BR109" s="6"/>
      <c r="BS109" s="6"/>
      <c r="BT109" s="6"/>
      <c r="BU109" s="8" t="s">
        <v>7183</v>
      </c>
      <c r="BV109" s="8" t="s">
        <v>7214</v>
      </c>
      <c r="BW109" s="8" t="s">
        <v>7205</v>
      </c>
    </row>
    <row r="110" spans="1:75" ht="12.75" customHeight="1">
      <c r="A110" s="3" t="s">
        <v>63</v>
      </c>
      <c r="B110" s="3" t="s">
        <v>4827</v>
      </c>
      <c r="C110" s="3"/>
      <c r="D110" s="3"/>
      <c r="E110" s="3"/>
      <c r="F110" s="3" t="s">
        <v>4828</v>
      </c>
      <c r="G110" s="3"/>
      <c r="H110" s="3"/>
      <c r="I110" s="3" t="s">
        <v>4829</v>
      </c>
      <c r="J110" s="3" t="s">
        <v>4830</v>
      </c>
      <c r="K110" s="3"/>
      <c r="L110" s="3"/>
      <c r="M110" s="3"/>
      <c r="N110" s="3" t="s">
        <v>4831</v>
      </c>
      <c r="O110" s="3" t="s">
        <v>4832</v>
      </c>
      <c r="P110" s="3" t="s">
        <v>4833</v>
      </c>
      <c r="Q110" s="3"/>
      <c r="R110" s="3"/>
      <c r="S110" s="3"/>
      <c r="T110" s="3" t="s">
        <v>4834</v>
      </c>
      <c r="U110" s="3"/>
      <c r="V110" s="3"/>
      <c r="W110" s="3"/>
      <c r="X110" s="3"/>
      <c r="Y110" s="3" t="s">
        <v>4835</v>
      </c>
      <c r="Z110" s="3" t="s">
        <v>4836</v>
      </c>
      <c r="AA110" s="3"/>
      <c r="AB110" s="3"/>
      <c r="AC110" s="3"/>
      <c r="AD110" s="3"/>
      <c r="AE110" s="3"/>
      <c r="AF110" s="3"/>
      <c r="AG110" s="3"/>
      <c r="AH110" s="3"/>
      <c r="AI110" s="3"/>
      <c r="AJ110" s="3"/>
      <c r="AK110" s="3"/>
      <c r="AL110" s="3"/>
      <c r="AM110" s="3" t="s">
        <v>4837</v>
      </c>
      <c r="AN110" s="3" t="s">
        <v>4838</v>
      </c>
      <c r="AO110" s="3"/>
      <c r="AP110" s="3"/>
      <c r="AQ110" s="3"/>
      <c r="AR110" s="3" t="s">
        <v>133</v>
      </c>
      <c r="AS110" s="3">
        <v>2021</v>
      </c>
      <c r="AT110" s="3">
        <v>70</v>
      </c>
      <c r="AU110" s="3"/>
      <c r="AV110" s="3"/>
      <c r="AW110" s="3"/>
      <c r="AX110" s="3"/>
      <c r="AY110" s="3"/>
      <c r="AZ110" s="3">
        <v>36</v>
      </c>
      <c r="BA110" s="3">
        <v>42</v>
      </c>
      <c r="BB110" s="3"/>
      <c r="BC110" s="3" t="s">
        <v>4839</v>
      </c>
      <c r="BD110" s="15" t="str">
        <f>HYPERLINK("http://dx.doi.org/10.1016/j.avsg.2020.06.052","http://dx.doi.org/10.1016/j.avsg.2020.06.052")</f>
        <v>http://dx.doi.org/10.1016/j.avsg.2020.06.052</v>
      </c>
      <c r="BE110" s="3"/>
      <c r="BF110" s="3"/>
      <c r="BG110" s="3"/>
      <c r="BH110" s="3"/>
      <c r="BI110" s="3">
        <v>32628994</v>
      </c>
      <c r="BJ110" s="3" t="s">
        <v>4840</v>
      </c>
      <c r="BK110" s="3"/>
      <c r="BL110" s="3"/>
      <c r="BM110" s="3"/>
      <c r="BN110" s="3"/>
      <c r="BO110" s="3"/>
      <c r="BP110" s="3"/>
      <c r="BQ110" s="3"/>
      <c r="BR110" s="3"/>
      <c r="BS110" s="3"/>
      <c r="BT110" s="3"/>
      <c r="BU110" s="1" t="s">
        <v>7263</v>
      </c>
      <c r="BV110" s="2" t="s">
        <v>7188</v>
      </c>
      <c r="BW110" s="2" t="s">
        <v>7189</v>
      </c>
    </row>
    <row r="111" spans="1:75" ht="12.75" customHeight="1">
      <c r="A111" s="4" t="s">
        <v>63</v>
      </c>
      <c r="B111" s="4" t="s">
        <v>5410</v>
      </c>
      <c r="C111" s="4"/>
      <c r="D111" s="4"/>
      <c r="E111" s="4"/>
      <c r="F111" s="4" t="s">
        <v>5411</v>
      </c>
      <c r="G111" s="4"/>
      <c r="H111" s="4"/>
      <c r="I111" s="4" t="s">
        <v>5412</v>
      </c>
      <c r="J111" s="4" t="s">
        <v>5413</v>
      </c>
      <c r="K111" s="4"/>
      <c r="L111" s="4"/>
      <c r="M111" s="4"/>
      <c r="N111" s="4"/>
      <c r="O111" s="4"/>
      <c r="P111" s="4"/>
      <c r="Q111" s="4"/>
      <c r="R111" s="4"/>
      <c r="S111" s="4"/>
      <c r="T111" s="4" t="s">
        <v>5414</v>
      </c>
      <c r="U111" s="4"/>
      <c r="V111" s="4"/>
      <c r="W111" s="4"/>
      <c r="X111" s="4"/>
      <c r="Y111" s="4" t="s">
        <v>5415</v>
      </c>
      <c r="Z111" s="4" t="s">
        <v>5416</v>
      </c>
      <c r="AA111" s="4"/>
      <c r="AB111" s="4"/>
      <c r="AC111" s="4"/>
      <c r="AD111" s="4"/>
      <c r="AE111" s="4"/>
      <c r="AF111" s="4"/>
      <c r="AG111" s="4"/>
      <c r="AH111" s="4"/>
      <c r="AI111" s="4"/>
      <c r="AJ111" s="4"/>
      <c r="AK111" s="4"/>
      <c r="AL111" s="4"/>
      <c r="AM111" s="4" t="s">
        <v>5417</v>
      </c>
      <c r="AN111" s="4" t="s">
        <v>5418</v>
      </c>
      <c r="AO111" s="4"/>
      <c r="AP111" s="4"/>
      <c r="AQ111" s="4"/>
      <c r="AR111" s="4"/>
      <c r="AS111" s="4">
        <v>2022</v>
      </c>
      <c r="AT111" s="4">
        <v>42</v>
      </c>
      <c r="AU111" s="4">
        <v>3</v>
      </c>
      <c r="AV111" s="4"/>
      <c r="AW111" s="4"/>
      <c r="AX111" s="4"/>
      <c r="AY111" s="4"/>
      <c r="AZ111" s="4">
        <v>97</v>
      </c>
      <c r="BA111" s="4">
        <v>109</v>
      </c>
      <c r="BB111" s="4"/>
      <c r="BC111" s="4" t="s">
        <v>5419</v>
      </c>
      <c r="BD111" s="5" t="str">
        <f>HYPERLINK("http://dx.doi.org/10.12873/423duque","http://dx.doi.org/10.12873/423duque")</f>
        <v>http://dx.doi.org/10.12873/423duque</v>
      </c>
      <c r="BE111" s="4"/>
      <c r="BF111" s="4"/>
      <c r="BG111" s="4"/>
      <c r="BH111" s="4"/>
      <c r="BI111" s="4"/>
      <c r="BJ111" s="4" t="s">
        <v>5420</v>
      </c>
      <c r="BK111" s="4"/>
      <c r="BL111" s="4"/>
      <c r="BM111" s="4"/>
      <c r="BN111" s="4"/>
      <c r="BO111" s="4"/>
      <c r="BP111" s="4"/>
      <c r="BQ111" s="4"/>
      <c r="BR111" s="4"/>
      <c r="BS111" s="4"/>
      <c r="BT111" s="4"/>
      <c r="BU111" s="12" t="s">
        <v>7264</v>
      </c>
      <c r="BV111" s="12" t="s">
        <v>7265</v>
      </c>
      <c r="BW111" s="12" t="s">
        <v>7196</v>
      </c>
    </row>
    <row r="112" spans="1:75" ht="12.75" customHeight="1">
      <c r="A112" s="3" t="s">
        <v>63</v>
      </c>
      <c r="B112" s="3" t="s">
        <v>988</v>
      </c>
      <c r="C112" s="3"/>
      <c r="D112" s="3"/>
      <c r="E112" s="3"/>
      <c r="F112" s="3" t="s">
        <v>989</v>
      </c>
      <c r="G112" s="3"/>
      <c r="H112" s="3"/>
      <c r="I112" s="3" t="s">
        <v>990</v>
      </c>
      <c r="J112" s="3" t="s">
        <v>87</v>
      </c>
      <c r="K112" s="3"/>
      <c r="L112" s="3"/>
      <c r="M112" s="3"/>
      <c r="N112" s="3"/>
      <c r="O112" s="3"/>
      <c r="P112" s="3"/>
      <c r="Q112" s="3"/>
      <c r="R112" s="3"/>
      <c r="S112" s="3"/>
      <c r="T112" s="3" t="s">
        <v>991</v>
      </c>
      <c r="U112" s="3"/>
      <c r="V112" s="3"/>
      <c r="W112" s="3"/>
      <c r="X112" s="3"/>
      <c r="Y112" s="3"/>
      <c r="Z112" s="3"/>
      <c r="AA112" s="3"/>
      <c r="AB112" s="3"/>
      <c r="AC112" s="3"/>
      <c r="AD112" s="3"/>
      <c r="AE112" s="3"/>
      <c r="AF112" s="3"/>
      <c r="AG112" s="3"/>
      <c r="AH112" s="3"/>
      <c r="AI112" s="3"/>
      <c r="AJ112" s="3"/>
      <c r="AK112" s="3"/>
      <c r="AL112" s="3"/>
      <c r="AM112" s="3" t="s">
        <v>91</v>
      </c>
      <c r="AN112" s="3" t="s">
        <v>113</v>
      </c>
      <c r="AO112" s="3"/>
      <c r="AP112" s="3"/>
      <c r="AQ112" s="3"/>
      <c r="AR112" s="3" t="s">
        <v>133</v>
      </c>
      <c r="AS112" s="3">
        <v>2013</v>
      </c>
      <c r="AT112" s="3">
        <v>50</v>
      </c>
      <c r="AU112" s="3">
        <v>1</v>
      </c>
      <c r="AV112" s="3"/>
      <c r="AW112" s="3"/>
      <c r="AX112" s="3"/>
      <c r="AY112" s="3"/>
      <c r="AZ112" s="3">
        <v>88</v>
      </c>
      <c r="BA112" s="3">
        <v>106</v>
      </c>
      <c r="BB112" s="3"/>
      <c r="BC112" s="3" t="s">
        <v>992</v>
      </c>
      <c r="BD112" s="15" t="str">
        <f>HYPERLINK("http://dx.doi.org/10.1177/0042098012448555","http://dx.doi.org/10.1177/0042098012448555")</f>
        <v>http://dx.doi.org/10.1177/0042098012448555</v>
      </c>
      <c r="BE112" s="3"/>
      <c r="BF112" s="3"/>
      <c r="BG112" s="3"/>
      <c r="BH112" s="3"/>
      <c r="BI112" s="3"/>
      <c r="BJ112" s="3" t="s">
        <v>993</v>
      </c>
      <c r="BK112" s="3"/>
      <c r="BL112" s="3"/>
      <c r="BM112" s="3"/>
      <c r="BN112" s="3"/>
      <c r="BO112" s="3"/>
      <c r="BP112" s="3"/>
      <c r="BQ112" s="3"/>
      <c r="BR112" s="3"/>
      <c r="BS112" s="3"/>
      <c r="BT112" s="3"/>
      <c r="BU112" s="1" t="s">
        <v>7254</v>
      </c>
      <c r="BV112" s="2" t="s">
        <v>7188</v>
      </c>
      <c r="BW112" s="2" t="s">
        <v>7189</v>
      </c>
    </row>
    <row r="113" spans="1:75" ht="12.75" customHeight="1">
      <c r="A113" s="6" t="s">
        <v>63</v>
      </c>
      <c r="B113" s="6" t="s">
        <v>3649</v>
      </c>
      <c r="C113" s="6"/>
      <c r="D113" s="6"/>
      <c r="E113" s="6"/>
      <c r="F113" s="6" t="s">
        <v>3650</v>
      </c>
      <c r="G113" s="6"/>
      <c r="H113" s="6"/>
      <c r="I113" s="6" t="s">
        <v>3651</v>
      </c>
      <c r="J113" s="6" t="s">
        <v>3652</v>
      </c>
      <c r="K113" s="6"/>
      <c r="L113" s="6"/>
      <c r="M113" s="6"/>
      <c r="N113" s="6"/>
      <c r="O113" s="6"/>
      <c r="P113" s="6"/>
      <c r="Q113" s="6"/>
      <c r="R113" s="6"/>
      <c r="S113" s="6"/>
      <c r="T113" s="6" t="s">
        <v>3653</v>
      </c>
      <c r="U113" s="6"/>
      <c r="V113" s="6"/>
      <c r="W113" s="6"/>
      <c r="X113" s="6"/>
      <c r="Y113" s="6" t="s">
        <v>2144</v>
      </c>
      <c r="Z113" s="6" t="s">
        <v>2145</v>
      </c>
      <c r="AA113" s="6"/>
      <c r="AB113" s="6"/>
      <c r="AC113" s="6"/>
      <c r="AD113" s="6"/>
      <c r="AE113" s="6"/>
      <c r="AF113" s="6"/>
      <c r="AG113" s="6"/>
      <c r="AH113" s="6"/>
      <c r="AI113" s="6"/>
      <c r="AJ113" s="6"/>
      <c r="AK113" s="6"/>
      <c r="AL113" s="6"/>
      <c r="AM113" s="6" t="s">
        <v>3654</v>
      </c>
      <c r="AN113" s="6" t="s">
        <v>3655</v>
      </c>
      <c r="AO113" s="6"/>
      <c r="AP113" s="6"/>
      <c r="AQ113" s="6"/>
      <c r="AR113" s="6" t="s">
        <v>121</v>
      </c>
      <c r="AS113" s="6">
        <v>2019</v>
      </c>
      <c r="AT113" s="6">
        <v>87</v>
      </c>
      <c r="AU113" s="6"/>
      <c r="AV113" s="6"/>
      <c r="AW113" s="6"/>
      <c r="AX113" s="6"/>
      <c r="AY113" s="6"/>
      <c r="AZ113" s="6"/>
      <c r="BA113" s="6"/>
      <c r="BB113" s="6">
        <v>101747</v>
      </c>
      <c r="BC113" s="6" t="s">
        <v>3656</v>
      </c>
      <c r="BD113" s="9" t="str">
        <f>HYPERLINK("http://dx.doi.org/10.1016/j.foodpol.2019.101747","http://dx.doi.org/10.1016/j.foodpol.2019.101747")</f>
        <v>http://dx.doi.org/10.1016/j.foodpol.2019.101747</v>
      </c>
      <c r="BE113" s="6"/>
      <c r="BF113" s="6"/>
      <c r="BG113" s="6"/>
      <c r="BH113" s="6"/>
      <c r="BI113" s="6"/>
      <c r="BJ113" s="6" t="s">
        <v>3657</v>
      </c>
      <c r="BK113" s="6"/>
      <c r="BL113" s="6"/>
      <c r="BM113" s="6"/>
      <c r="BN113" s="6"/>
      <c r="BO113" s="6"/>
      <c r="BP113" s="6"/>
      <c r="BQ113" s="6"/>
      <c r="BR113" s="6"/>
      <c r="BS113" s="6"/>
      <c r="BT113" s="6"/>
      <c r="BU113" s="8" t="s">
        <v>7193</v>
      </c>
      <c r="BV113" s="8" t="s">
        <v>7188</v>
      </c>
      <c r="BW113" s="8" t="s">
        <v>7189</v>
      </c>
    </row>
    <row r="114" spans="1:75" ht="12.75" customHeight="1">
      <c r="A114" s="3" t="s">
        <v>63</v>
      </c>
      <c r="B114" s="3" t="s">
        <v>6089</v>
      </c>
      <c r="C114" s="3"/>
      <c r="D114" s="3"/>
      <c r="E114" s="3"/>
      <c r="F114" s="3" t="s">
        <v>6090</v>
      </c>
      <c r="G114" s="3"/>
      <c r="H114" s="3"/>
      <c r="I114" s="3" t="s">
        <v>6091</v>
      </c>
      <c r="J114" s="3" t="s">
        <v>6092</v>
      </c>
      <c r="K114" s="3"/>
      <c r="L114" s="3"/>
      <c r="M114" s="3"/>
      <c r="N114" s="3"/>
      <c r="O114" s="3"/>
      <c r="P114" s="3"/>
      <c r="Q114" s="3"/>
      <c r="R114" s="3"/>
      <c r="S114" s="3"/>
      <c r="T114" s="3" t="s">
        <v>6093</v>
      </c>
      <c r="U114" s="3"/>
      <c r="V114" s="3"/>
      <c r="W114" s="3"/>
      <c r="X114" s="3"/>
      <c r="Y114" s="3"/>
      <c r="Z114" s="3" t="s">
        <v>6094</v>
      </c>
      <c r="AA114" s="3"/>
      <c r="AB114" s="3"/>
      <c r="AC114" s="3"/>
      <c r="AD114" s="3"/>
      <c r="AE114" s="3"/>
      <c r="AF114" s="3"/>
      <c r="AG114" s="3"/>
      <c r="AH114" s="3"/>
      <c r="AI114" s="3"/>
      <c r="AJ114" s="3"/>
      <c r="AK114" s="3"/>
      <c r="AL114" s="3"/>
      <c r="AM114" s="3" t="s">
        <v>6095</v>
      </c>
      <c r="AN114" s="3" t="s">
        <v>6096</v>
      </c>
      <c r="AO114" s="3"/>
      <c r="AP114" s="3"/>
      <c r="AQ114" s="3"/>
      <c r="AR114" s="3" t="s">
        <v>121</v>
      </c>
      <c r="AS114" s="3">
        <v>2023</v>
      </c>
      <c r="AT114" s="3">
        <v>153</v>
      </c>
      <c r="AU114" s="3">
        <v>8</v>
      </c>
      <c r="AV114" s="3"/>
      <c r="AW114" s="3"/>
      <c r="AX114" s="3"/>
      <c r="AY114" s="3"/>
      <c r="AZ114" s="3">
        <v>2432</v>
      </c>
      <c r="BA114" s="3">
        <v>2441</v>
      </c>
      <c r="BB114" s="3"/>
      <c r="BC114" s="3" t="s">
        <v>6097</v>
      </c>
      <c r="BD114" s="15" t="str">
        <f>HYPERLINK("http://dx.doi.org/10.1016/j.tjnut.2023.06.032","http://dx.doi.org/10.1016/j.tjnut.2023.06.032")</f>
        <v>http://dx.doi.org/10.1016/j.tjnut.2023.06.032</v>
      </c>
      <c r="BE114" s="3"/>
      <c r="BF114" s="3" t="s">
        <v>6057</v>
      </c>
      <c r="BG114" s="3"/>
      <c r="BH114" s="3"/>
      <c r="BI114" s="3">
        <v>37364682</v>
      </c>
      <c r="BJ114" s="3" t="s">
        <v>6098</v>
      </c>
      <c r="BK114" s="3"/>
      <c r="BL114" s="3"/>
      <c r="BM114" s="3"/>
      <c r="BN114" s="3"/>
      <c r="BO114" s="3"/>
      <c r="BP114" s="3"/>
      <c r="BQ114" s="3"/>
      <c r="BR114" s="3"/>
      <c r="BS114" s="3"/>
      <c r="BT114" s="3"/>
      <c r="BU114" s="2" t="s">
        <v>7201</v>
      </c>
      <c r="BV114" s="2" t="s">
        <v>7188</v>
      </c>
      <c r="BW114" s="2" t="s">
        <v>7189</v>
      </c>
    </row>
    <row r="115" spans="1:75" ht="12.75" customHeight="1">
      <c r="A115" s="6" t="s">
        <v>63</v>
      </c>
      <c r="B115" s="6" t="s">
        <v>614</v>
      </c>
      <c r="C115" s="6"/>
      <c r="D115" s="6"/>
      <c r="E115" s="6"/>
      <c r="F115" s="6" t="s">
        <v>2205</v>
      </c>
      <c r="G115" s="6"/>
      <c r="H115" s="6"/>
      <c r="I115" s="6" t="s">
        <v>2206</v>
      </c>
      <c r="J115" s="6" t="s">
        <v>2207</v>
      </c>
      <c r="K115" s="6"/>
      <c r="L115" s="6"/>
      <c r="M115" s="6"/>
      <c r="N115" s="6"/>
      <c r="O115" s="6"/>
      <c r="P115" s="6"/>
      <c r="Q115" s="6"/>
      <c r="R115" s="6"/>
      <c r="S115" s="6"/>
      <c r="T115" s="6" t="s">
        <v>2208</v>
      </c>
      <c r="U115" s="6"/>
      <c r="V115" s="6"/>
      <c r="W115" s="6"/>
      <c r="X115" s="6"/>
      <c r="Y115" s="6" t="s">
        <v>2209</v>
      </c>
      <c r="Z115" s="6" t="s">
        <v>618</v>
      </c>
      <c r="AA115" s="6"/>
      <c r="AB115" s="6"/>
      <c r="AC115" s="6"/>
      <c r="AD115" s="6"/>
      <c r="AE115" s="6"/>
      <c r="AF115" s="6"/>
      <c r="AG115" s="6"/>
      <c r="AH115" s="6"/>
      <c r="AI115" s="6"/>
      <c r="AJ115" s="6"/>
      <c r="AK115" s="6"/>
      <c r="AL115" s="6"/>
      <c r="AM115" s="6" t="s">
        <v>2210</v>
      </c>
      <c r="AN115" s="6" t="s">
        <v>2211</v>
      </c>
      <c r="AO115" s="6"/>
      <c r="AP115" s="6"/>
      <c r="AQ115" s="6"/>
      <c r="AR115" s="6" t="s">
        <v>66</v>
      </c>
      <c r="AS115" s="6">
        <v>2016</v>
      </c>
      <c r="AT115" s="6">
        <v>81</v>
      </c>
      <c r="AU115" s="6">
        <v>3</v>
      </c>
      <c r="AV115" s="6"/>
      <c r="AW115" s="6"/>
      <c r="AX115" s="6"/>
      <c r="AY115" s="6"/>
      <c r="AZ115" s="6">
        <v>443</v>
      </c>
      <c r="BA115" s="6">
        <v>455</v>
      </c>
      <c r="BB115" s="6"/>
      <c r="BC115" s="6" t="s">
        <v>2212</v>
      </c>
      <c r="BD115" s="9" t="str">
        <f>HYPERLINK("http://dx.doi.org/10.1007/s10708-015-9634-6","http://dx.doi.org/10.1007/s10708-015-9634-6")</f>
        <v>http://dx.doi.org/10.1007/s10708-015-9634-6</v>
      </c>
      <c r="BE115" s="6"/>
      <c r="BF115" s="6"/>
      <c r="BG115" s="6"/>
      <c r="BH115" s="6"/>
      <c r="BI115" s="6"/>
      <c r="BJ115" s="6" t="s">
        <v>2213</v>
      </c>
      <c r="BK115" s="6"/>
      <c r="BL115" s="6"/>
      <c r="BM115" s="6"/>
      <c r="BN115" s="6"/>
      <c r="BO115" s="6"/>
      <c r="BP115" s="6"/>
      <c r="BQ115" s="6"/>
      <c r="BR115" s="6"/>
      <c r="BS115" s="6"/>
      <c r="BT115" s="6"/>
      <c r="BU115" s="8" t="s">
        <v>7266</v>
      </c>
      <c r="BV115" s="8" t="s">
        <v>7267</v>
      </c>
      <c r="BW115" s="8" t="s">
        <v>7189</v>
      </c>
    </row>
    <row r="116" spans="1:75" ht="12.75" customHeight="1">
      <c r="A116" s="6" t="s">
        <v>63</v>
      </c>
      <c r="B116" s="6" t="s">
        <v>572</v>
      </c>
      <c r="C116" s="6"/>
      <c r="D116" s="6"/>
      <c r="E116" s="6"/>
      <c r="F116" s="6" t="s">
        <v>573</v>
      </c>
      <c r="G116" s="6"/>
      <c r="H116" s="6"/>
      <c r="I116" s="6" t="s">
        <v>574</v>
      </c>
      <c r="J116" s="6" t="s">
        <v>434</v>
      </c>
      <c r="K116" s="6"/>
      <c r="L116" s="6"/>
      <c r="M116" s="6"/>
      <c r="N116" s="6"/>
      <c r="O116" s="6"/>
      <c r="P116" s="6"/>
      <c r="Q116" s="6"/>
      <c r="R116" s="6"/>
      <c r="S116" s="6"/>
      <c r="T116" s="6" t="s">
        <v>575</v>
      </c>
      <c r="U116" s="6"/>
      <c r="V116" s="6"/>
      <c r="W116" s="6"/>
      <c r="X116" s="6"/>
      <c r="Y116" s="6"/>
      <c r="Z116" s="6"/>
      <c r="AA116" s="6"/>
      <c r="AB116" s="6"/>
      <c r="AC116" s="6"/>
      <c r="AD116" s="6"/>
      <c r="AE116" s="6"/>
      <c r="AF116" s="6"/>
      <c r="AG116" s="6"/>
      <c r="AH116" s="6"/>
      <c r="AI116" s="6"/>
      <c r="AJ116" s="6"/>
      <c r="AK116" s="6"/>
      <c r="AL116" s="6"/>
      <c r="AM116" s="6" t="s">
        <v>436</v>
      </c>
      <c r="AN116" s="6" t="s">
        <v>568</v>
      </c>
      <c r="AO116" s="6"/>
      <c r="AP116" s="6"/>
      <c r="AQ116" s="6"/>
      <c r="AR116" s="6" t="s">
        <v>92</v>
      </c>
      <c r="AS116" s="6">
        <v>2011</v>
      </c>
      <c r="AT116" s="6">
        <v>31</v>
      </c>
      <c r="AU116" s="6">
        <v>4</v>
      </c>
      <c r="AV116" s="6"/>
      <c r="AW116" s="6"/>
      <c r="AX116" s="6" t="s">
        <v>569</v>
      </c>
      <c r="AY116" s="6"/>
      <c r="AZ116" s="6">
        <v>1210</v>
      </c>
      <c r="BA116" s="6">
        <v>1215</v>
      </c>
      <c r="BB116" s="6"/>
      <c r="BC116" s="6" t="s">
        <v>576</v>
      </c>
      <c r="BD116" s="9" t="str">
        <f>HYPERLINK("http://dx.doi.org/10.1016/j.apgeog.2010.09.006","http://dx.doi.org/10.1016/j.apgeog.2010.09.006")</f>
        <v>http://dx.doi.org/10.1016/j.apgeog.2010.09.006</v>
      </c>
      <c r="BE116" s="6"/>
      <c r="BF116" s="6"/>
      <c r="BG116" s="6"/>
      <c r="BH116" s="6"/>
      <c r="BI116" s="6"/>
      <c r="BJ116" s="6" t="s">
        <v>577</v>
      </c>
      <c r="BK116" s="6"/>
      <c r="BL116" s="6"/>
      <c r="BM116" s="6"/>
      <c r="BN116" s="6"/>
      <c r="BO116" s="6"/>
      <c r="BP116" s="6"/>
      <c r="BQ116" s="6"/>
      <c r="BR116" s="6"/>
      <c r="BS116" s="6"/>
      <c r="BT116" s="6"/>
      <c r="BU116" s="8" t="s">
        <v>7268</v>
      </c>
      <c r="BV116" s="8" t="s">
        <v>7188</v>
      </c>
      <c r="BW116" s="8" t="s">
        <v>7189</v>
      </c>
    </row>
    <row r="117" spans="1:75" ht="12.75" customHeight="1">
      <c r="A117" s="6" t="s">
        <v>63</v>
      </c>
      <c r="B117" s="6" t="s">
        <v>2214</v>
      </c>
      <c r="C117" s="6"/>
      <c r="D117" s="6"/>
      <c r="E117" s="6"/>
      <c r="F117" s="6" t="s">
        <v>2215</v>
      </c>
      <c r="G117" s="6"/>
      <c r="H117" s="6"/>
      <c r="I117" s="6" t="s">
        <v>2216</v>
      </c>
      <c r="J117" s="6" t="s">
        <v>2217</v>
      </c>
      <c r="K117" s="6"/>
      <c r="L117" s="6"/>
      <c r="M117" s="6"/>
      <c r="N117" s="6"/>
      <c r="O117" s="6"/>
      <c r="P117" s="6"/>
      <c r="Q117" s="6"/>
      <c r="R117" s="6"/>
      <c r="S117" s="6"/>
      <c r="T117" s="6" t="s">
        <v>2218</v>
      </c>
      <c r="U117" s="6"/>
      <c r="V117" s="6"/>
      <c r="W117" s="6"/>
      <c r="X117" s="6"/>
      <c r="Y117" s="6" t="s">
        <v>2219</v>
      </c>
      <c r="Z117" s="6"/>
      <c r="AA117" s="6"/>
      <c r="AB117" s="6"/>
      <c r="AC117" s="6"/>
      <c r="AD117" s="6"/>
      <c r="AE117" s="6"/>
      <c r="AF117" s="6"/>
      <c r="AG117" s="6"/>
      <c r="AH117" s="6"/>
      <c r="AI117" s="6"/>
      <c r="AJ117" s="6"/>
      <c r="AK117" s="6"/>
      <c r="AL117" s="6"/>
      <c r="AM117" s="6" t="s">
        <v>2220</v>
      </c>
      <c r="AN117" s="6" t="s">
        <v>2221</v>
      </c>
      <c r="AO117" s="6"/>
      <c r="AP117" s="6"/>
      <c r="AQ117" s="6"/>
      <c r="AR117" s="6" t="s">
        <v>68</v>
      </c>
      <c r="AS117" s="6">
        <v>2016</v>
      </c>
      <c r="AT117" s="6">
        <v>53</v>
      </c>
      <c r="AU117" s="6">
        <v>2</v>
      </c>
      <c r="AV117" s="6"/>
      <c r="AW117" s="6"/>
      <c r="AX117" s="6"/>
      <c r="AY117" s="6"/>
      <c r="AZ117" s="6">
        <v>171</v>
      </c>
      <c r="BA117" s="6">
        <v>181</v>
      </c>
      <c r="BB117" s="6"/>
      <c r="BC117" s="6" t="s">
        <v>2222</v>
      </c>
      <c r="BD117" s="9" t="str">
        <f>HYPERLINK("http://dx.doi.org/10.1007/s12115-016-9993-8","http://dx.doi.org/10.1007/s12115-016-9993-8")</f>
        <v>http://dx.doi.org/10.1007/s12115-016-9993-8</v>
      </c>
      <c r="BE117" s="6"/>
      <c r="BF117" s="6"/>
      <c r="BG117" s="6"/>
      <c r="BH117" s="6"/>
      <c r="BI117" s="6"/>
      <c r="BJ117" s="6" t="s">
        <v>2223</v>
      </c>
      <c r="BK117" s="6"/>
      <c r="BL117" s="6"/>
      <c r="BM117" s="6"/>
      <c r="BN117" s="6"/>
      <c r="BO117" s="6"/>
      <c r="BP117" s="6"/>
      <c r="BQ117" s="6"/>
      <c r="BR117" s="6"/>
      <c r="BS117" s="6"/>
      <c r="BT117" s="6"/>
      <c r="BU117" s="8" t="s">
        <v>7193</v>
      </c>
      <c r="BV117" s="8" t="s">
        <v>7188</v>
      </c>
      <c r="BW117" s="8" t="s">
        <v>7189</v>
      </c>
    </row>
    <row r="118" spans="1:75" ht="12.75" customHeight="1">
      <c r="A118" s="6" t="s">
        <v>63</v>
      </c>
      <c r="B118" s="6" t="s">
        <v>1391</v>
      </c>
      <c r="C118" s="6"/>
      <c r="D118" s="6"/>
      <c r="E118" s="6"/>
      <c r="F118" s="6" t="s">
        <v>1392</v>
      </c>
      <c r="G118" s="6"/>
      <c r="H118" s="6"/>
      <c r="I118" s="6" t="s">
        <v>1393</v>
      </c>
      <c r="J118" s="6" t="s">
        <v>221</v>
      </c>
      <c r="K118" s="6"/>
      <c r="L118" s="6"/>
      <c r="M118" s="6"/>
      <c r="N118" s="6"/>
      <c r="O118" s="6"/>
      <c r="P118" s="6"/>
      <c r="Q118" s="6"/>
      <c r="R118" s="6"/>
      <c r="S118" s="6"/>
      <c r="T118" s="6" t="s">
        <v>1394</v>
      </c>
      <c r="U118" s="6"/>
      <c r="V118" s="6"/>
      <c r="W118" s="6"/>
      <c r="X118" s="6"/>
      <c r="Y118" s="6" t="s">
        <v>1395</v>
      </c>
      <c r="Z118" s="6"/>
      <c r="AA118" s="6"/>
      <c r="AB118" s="6"/>
      <c r="AC118" s="6"/>
      <c r="AD118" s="6"/>
      <c r="AE118" s="6"/>
      <c r="AF118" s="6"/>
      <c r="AG118" s="6"/>
      <c r="AH118" s="6"/>
      <c r="AI118" s="6"/>
      <c r="AJ118" s="6"/>
      <c r="AK118" s="6"/>
      <c r="AL118" s="6"/>
      <c r="AM118" s="6" t="s">
        <v>223</v>
      </c>
      <c r="AN118" s="6" t="s">
        <v>224</v>
      </c>
      <c r="AO118" s="6"/>
      <c r="AP118" s="6"/>
      <c r="AQ118" s="6"/>
      <c r="AR118" s="6" t="s">
        <v>65</v>
      </c>
      <c r="AS118" s="6">
        <v>2014</v>
      </c>
      <c r="AT118" s="6">
        <v>31</v>
      </c>
      <c r="AU118" s="6">
        <v>4</v>
      </c>
      <c r="AV118" s="6"/>
      <c r="AW118" s="6"/>
      <c r="AX118" s="6"/>
      <c r="AY118" s="6"/>
      <c r="AZ118" s="6">
        <v>537</v>
      </c>
      <c r="BA118" s="6">
        <v>547</v>
      </c>
      <c r="BB118" s="6"/>
      <c r="BC118" s="6" t="s">
        <v>1396</v>
      </c>
      <c r="BD118" s="9" t="str">
        <f>HYPERLINK("http://dx.doi.org/10.1007/s10460-014-9501-y","http://dx.doi.org/10.1007/s10460-014-9501-y")</f>
        <v>http://dx.doi.org/10.1007/s10460-014-9501-y</v>
      </c>
      <c r="BE118" s="6"/>
      <c r="BF118" s="6"/>
      <c r="BG118" s="6"/>
      <c r="BH118" s="6"/>
      <c r="BI118" s="6"/>
      <c r="BJ118" s="6" t="s">
        <v>1397</v>
      </c>
      <c r="BK118" s="6"/>
      <c r="BL118" s="6"/>
      <c r="BM118" s="6"/>
      <c r="BN118" s="6"/>
      <c r="BO118" s="6"/>
      <c r="BP118" s="6"/>
      <c r="BQ118" s="6"/>
      <c r="BR118" s="6"/>
      <c r="BS118" s="6"/>
      <c r="BT118" s="6"/>
      <c r="BU118" s="8" t="s">
        <v>7230</v>
      </c>
      <c r="BV118" s="8" t="s">
        <v>7204</v>
      </c>
      <c r="BW118" s="8" t="s">
        <v>7205</v>
      </c>
    </row>
    <row r="119" spans="1:75" ht="12.75" customHeight="1">
      <c r="A119" s="3" t="s">
        <v>63</v>
      </c>
      <c r="B119" s="3" t="s">
        <v>3658</v>
      </c>
      <c r="C119" s="3"/>
      <c r="D119" s="3"/>
      <c r="E119" s="3"/>
      <c r="F119" s="3" t="s">
        <v>3659</v>
      </c>
      <c r="G119" s="3"/>
      <c r="H119" s="3"/>
      <c r="I119" s="3" t="s">
        <v>3660</v>
      </c>
      <c r="J119" s="3" t="s">
        <v>712</v>
      </c>
      <c r="K119" s="3"/>
      <c r="L119" s="3"/>
      <c r="M119" s="3"/>
      <c r="N119" s="3"/>
      <c r="O119" s="3"/>
      <c r="P119" s="3"/>
      <c r="Q119" s="3"/>
      <c r="R119" s="3"/>
      <c r="S119" s="3"/>
      <c r="T119" s="3" t="s">
        <v>3661</v>
      </c>
      <c r="U119" s="3"/>
      <c r="V119" s="3"/>
      <c r="W119" s="3"/>
      <c r="X119" s="3"/>
      <c r="Y119" s="3"/>
      <c r="Z119" s="3"/>
      <c r="AA119" s="3"/>
      <c r="AB119" s="3"/>
      <c r="AC119" s="3"/>
      <c r="AD119" s="3"/>
      <c r="AE119" s="3"/>
      <c r="AF119" s="3"/>
      <c r="AG119" s="3"/>
      <c r="AH119" s="3"/>
      <c r="AI119" s="3"/>
      <c r="AJ119" s="3"/>
      <c r="AK119" s="3"/>
      <c r="AL119" s="3"/>
      <c r="AM119" s="3" t="s">
        <v>714</v>
      </c>
      <c r="AN119" s="3" t="s">
        <v>715</v>
      </c>
      <c r="AO119" s="3"/>
      <c r="AP119" s="3"/>
      <c r="AQ119" s="3"/>
      <c r="AR119" s="3" t="s">
        <v>66</v>
      </c>
      <c r="AS119" s="3">
        <v>2019</v>
      </c>
      <c r="AT119" s="3">
        <v>44</v>
      </c>
      <c r="AU119" s="3">
        <v>3</v>
      </c>
      <c r="AV119" s="3"/>
      <c r="AW119" s="3"/>
      <c r="AX119" s="3"/>
      <c r="AY119" s="3"/>
      <c r="AZ119" s="3">
        <v>444</v>
      </c>
      <c r="BA119" s="3">
        <v>450</v>
      </c>
      <c r="BB119" s="3"/>
      <c r="BC119" s="3" t="s">
        <v>3662</v>
      </c>
      <c r="BD119" s="15" t="str">
        <f>HYPERLINK("http://dx.doi.org/10.1007/s10900-018-00601-w","http://dx.doi.org/10.1007/s10900-018-00601-w")</f>
        <v>http://dx.doi.org/10.1007/s10900-018-00601-w</v>
      </c>
      <c r="BE119" s="3"/>
      <c r="BF119" s="3"/>
      <c r="BG119" s="3"/>
      <c r="BH119" s="3"/>
      <c r="BI119" s="3">
        <v>30560310</v>
      </c>
      <c r="BJ119" s="3" t="s">
        <v>3663</v>
      </c>
      <c r="BK119" s="3"/>
      <c r="BL119" s="3"/>
      <c r="BM119" s="3"/>
      <c r="BN119" s="3"/>
      <c r="BO119" s="3"/>
      <c r="BP119" s="3"/>
      <c r="BQ119" s="3"/>
      <c r="BR119" s="3"/>
      <c r="BS119" s="3"/>
      <c r="BT119" s="3"/>
      <c r="BU119" s="2" t="s">
        <v>7201</v>
      </c>
      <c r="BV119" s="2" t="s">
        <v>7188</v>
      </c>
      <c r="BW119" s="2" t="s">
        <v>7189</v>
      </c>
    </row>
    <row r="120" spans="1:75" ht="12.75" customHeight="1">
      <c r="A120" s="3" t="s">
        <v>63</v>
      </c>
      <c r="B120" s="3" t="s">
        <v>6624</v>
      </c>
      <c r="C120" s="3"/>
      <c r="D120" s="3"/>
      <c r="E120" s="3"/>
      <c r="F120" s="3" t="s">
        <v>6625</v>
      </c>
      <c r="G120" s="3"/>
      <c r="H120" s="3"/>
      <c r="I120" s="3" t="s">
        <v>6626</v>
      </c>
      <c r="J120" s="3" t="s">
        <v>854</v>
      </c>
      <c r="K120" s="3"/>
      <c r="L120" s="3"/>
      <c r="M120" s="3"/>
      <c r="N120" s="3"/>
      <c r="O120" s="3"/>
      <c r="P120" s="3"/>
      <c r="Q120" s="3"/>
      <c r="R120" s="3"/>
      <c r="S120" s="3"/>
      <c r="T120" s="3" t="s">
        <v>6627</v>
      </c>
      <c r="U120" s="3"/>
      <c r="V120" s="3"/>
      <c r="W120" s="3"/>
      <c r="X120" s="3"/>
      <c r="Y120" s="3"/>
      <c r="Z120" s="3"/>
      <c r="AA120" s="3"/>
      <c r="AB120" s="3"/>
      <c r="AC120" s="3"/>
      <c r="AD120" s="3"/>
      <c r="AE120" s="3"/>
      <c r="AF120" s="3"/>
      <c r="AG120" s="3"/>
      <c r="AH120" s="3"/>
      <c r="AI120" s="3"/>
      <c r="AJ120" s="3"/>
      <c r="AK120" s="3"/>
      <c r="AL120" s="3"/>
      <c r="AM120" s="3" t="s">
        <v>855</v>
      </c>
      <c r="AN120" s="3" t="s">
        <v>856</v>
      </c>
      <c r="AO120" s="3"/>
      <c r="AP120" s="3"/>
      <c r="AQ120" s="3"/>
      <c r="AR120" s="3" t="s">
        <v>2561</v>
      </c>
      <c r="AS120" s="3">
        <v>2024</v>
      </c>
      <c r="AT120" s="3">
        <v>38</v>
      </c>
      <c r="AU120" s="3">
        <v>2</v>
      </c>
      <c r="AV120" s="3"/>
      <c r="AW120" s="3"/>
      <c r="AX120" s="3"/>
      <c r="AY120" s="3"/>
      <c r="AZ120" s="3">
        <v>119</v>
      </c>
      <c r="BA120" s="3">
        <v>125</v>
      </c>
      <c r="BB120" s="3"/>
      <c r="BC120" s="3" t="s">
        <v>6628</v>
      </c>
      <c r="BD120" s="15" t="str">
        <f>HYPERLINK("http://dx.doi.org/10.1080/17404622.2023.2281924","http://dx.doi.org/10.1080/17404622.2023.2281924")</f>
        <v>http://dx.doi.org/10.1080/17404622.2023.2281924</v>
      </c>
      <c r="BE120" s="3"/>
      <c r="BF120" s="3" t="s">
        <v>6629</v>
      </c>
      <c r="BG120" s="3"/>
      <c r="BH120" s="3"/>
      <c r="BI120" s="3"/>
      <c r="BJ120" s="3" t="s">
        <v>6630</v>
      </c>
      <c r="BK120" s="3"/>
      <c r="BL120" s="3"/>
      <c r="BM120" s="3"/>
      <c r="BN120" s="3"/>
      <c r="BO120" s="3"/>
      <c r="BP120" s="3"/>
      <c r="BQ120" s="3"/>
      <c r="BR120" s="3"/>
      <c r="BS120" s="3"/>
      <c r="BT120" s="3"/>
      <c r="BU120" s="1" t="s">
        <v>7193</v>
      </c>
      <c r="BV120" s="1" t="s">
        <v>7193</v>
      </c>
      <c r="BW120" s="1" t="s">
        <v>7193</v>
      </c>
    </row>
    <row r="121" spans="1:75" ht="12.75" customHeight="1">
      <c r="A121" s="3" t="s">
        <v>63</v>
      </c>
      <c r="B121" s="3" t="s">
        <v>6099</v>
      </c>
      <c r="C121" s="3"/>
      <c r="D121" s="3"/>
      <c r="E121" s="3"/>
      <c r="F121" s="3" t="s">
        <v>6100</v>
      </c>
      <c r="G121" s="3"/>
      <c r="H121" s="3"/>
      <c r="I121" s="3" t="s">
        <v>6101</v>
      </c>
      <c r="J121" s="3" t="s">
        <v>6102</v>
      </c>
      <c r="K121" s="3"/>
      <c r="L121" s="3"/>
      <c r="M121" s="3"/>
      <c r="N121" s="3"/>
      <c r="O121" s="3"/>
      <c r="P121" s="3"/>
      <c r="Q121" s="3"/>
      <c r="R121" s="3"/>
      <c r="S121" s="3"/>
      <c r="T121" s="3" t="s">
        <v>6103</v>
      </c>
      <c r="U121" s="3"/>
      <c r="V121" s="3"/>
      <c r="W121" s="3"/>
      <c r="X121" s="3"/>
      <c r="Y121" s="3"/>
      <c r="Z121" s="3" t="s">
        <v>6104</v>
      </c>
      <c r="AA121" s="3"/>
      <c r="AB121" s="3"/>
      <c r="AC121" s="3"/>
      <c r="AD121" s="3"/>
      <c r="AE121" s="3"/>
      <c r="AF121" s="3"/>
      <c r="AG121" s="3"/>
      <c r="AH121" s="3"/>
      <c r="AI121" s="3"/>
      <c r="AJ121" s="3"/>
      <c r="AK121" s="3"/>
      <c r="AL121" s="3"/>
      <c r="AM121" s="3" t="s">
        <v>6105</v>
      </c>
      <c r="AN121" s="3" t="s">
        <v>6106</v>
      </c>
      <c r="AO121" s="3"/>
      <c r="AP121" s="3"/>
      <c r="AQ121" s="3"/>
      <c r="AR121" s="3" t="s">
        <v>173</v>
      </c>
      <c r="AS121" s="3">
        <v>2023</v>
      </c>
      <c r="AT121" s="3">
        <v>9</v>
      </c>
      <c r="AU121" s="3">
        <v>7</v>
      </c>
      <c r="AV121" s="3"/>
      <c r="AW121" s="3"/>
      <c r="AX121" s="3"/>
      <c r="AY121" s="3"/>
      <c r="AZ121" s="3">
        <v>909</v>
      </c>
      <c r="BA121" s="3">
        <v>916</v>
      </c>
      <c r="BB121" s="3"/>
      <c r="BC121" s="3" t="s">
        <v>6107</v>
      </c>
      <c r="BD121" s="15" t="str">
        <f>HYPERLINK("http://dx.doi.org/10.1001/jamaoncol.2023.0634","http://dx.doi.org/10.1001/jamaoncol.2023.0634")</f>
        <v>http://dx.doi.org/10.1001/jamaoncol.2023.0634</v>
      </c>
      <c r="BE121" s="3"/>
      <c r="BF121" s="3" t="s">
        <v>6108</v>
      </c>
      <c r="BG121" s="3"/>
      <c r="BH121" s="3"/>
      <c r="BI121" s="3">
        <v>37140933</v>
      </c>
      <c r="BJ121" s="3" t="s">
        <v>6109</v>
      </c>
      <c r="BK121" s="3"/>
      <c r="BL121" s="3"/>
      <c r="BM121" s="3"/>
      <c r="BN121" s="3"/>
      <c r="BO121" s="3"/>
      <c r="BP121" s="3"/>
      <c r="BQ121" s="3"/>
      <c r="BR121" s="3"/>
      <c r="BS121" s="3"/>
      <c r="BT121" s="3"/>
      <c r="BU121" s="2" t="s">
        <v>7201</v>
      </c>
      <c r="BV121" s="2" t="s">
        <v>7188</v>
      </c>
      <c r="BW121" s="2" t="s">
        <v>7189</v>
      </c>
    </row>
    <row r="122" spans="1:75" ht="12.75" customHeight="1">
      <c r="A122" s="6" t="s">
        <v>63</v>
      </c>
      <c r="B122" s="6" t="s">
        <v>2224</v>
      </c>
      <c r="C122" s="6"/>
      <c r="D122" s="6"/>
      <c r="E122" s="6"/>
      <c r="F122" s="6" t="s">
        <v>2225</v>
      </c>
      <c r="G122" s="6"/>
      <c r="H122" s="6"/>
      <c r="I122" s="6" t="s">
        <v>2226</v>
      </c>
      <c r="J122" s="6" t="s">
        <v>2227</v>
      </c>
      <c r="K122" s="6"/>
      <c r="L122" s="6"/>
      <c r="M122" s="6"/>
      <c r="N122" s="6"/>
      <c r="O122" s="6"/>
      <c r="P122" s="6"/>
      <c r="Q122" s="6"/>
      <c r="R122" s="6"/>
      <c r="S122" s="6"/>
      <c r="T122" s="6" t="s">
        <v>2228</v>
      </c>
      <c r="U122" s="6"/>
      <c r="V122" s="6"/>
      <c r="W122" s="6"/>
      <c r="X122" s="6"/>
      <c r="Y122" s="6" t="s">
        <v>2229</v>
      </c>
      <c r="Z122" s="6"/>
      <c r="AA122" s="6"/>
      <c r="AB122" s="6"/>
      <c r="AC122" s="6"/>
      <c r="AD122" s="6"/>
      <c r="AE122" s="6"/>
      <c r="AF122" s="6"/>
      <c r="AG122" s="6"/>
      <c r="AH122" s="6"/>
      <c r="AI122" s="6"/>
      <c r="AJ122" s="6"/>
      <c r="AK122" s="6"/>
      <c r="AL122" s="6"/>
      <c r="AM122" s="6" t="s">
        <v>2230</v>
      </c>
      <c r="AN122" s="6" t="s">
        <v>2231</v>
      </c>
      <c r="AO122" s="6"/>
      <c r="AP122" s="6"/>
      <c r="AQ122" s="6"/>
      <c r="AR122" s="6" t="s">
        <v>92</v>
      </c>
      <c r="AS122" s="6">
        <v>2016</v>
      </c>
      <c r="AT122" s="6">
        <v>10</v>
      </c>
      <c r="AU122" s="6">
        <v>5</v>
      </c>
      <c r="AV122" s="6"/>
      <c r="AW122" s="6"/>
      <c r="AX122" s="6"/>
      <c r="AY122" s="6"/>
      <c r="AZ122" s="6">
        <v>530</v>
      </c>
      <c r="BA122" s="6">
        <v>536</v>
      </c>
      <c r="BB122" s="6"/>
      <c r="BC122" s="6" t="s">
        <v>2232</v>
      </c>
      <c r="BD122" s="9" t="str">
        <f>HYPERLINK("http://dx.doi.org/10.4162/nrp.2016.10.5.530","http://dx.doi.org/10.4162/nrp.2016.10.5.530")</f>
        <v>http://dx.doi.org/10.4162/nrp.2016.10.5.530</v>
      </c>
      <c r="BE122" s="6"/>
      <c r="BF122" s="6"/>
      <c r="BG122" s="6"/>
      <c r="BH122" s="6"/>
      <c r="BI122" s="6">
        <v>27698961</v>
      </c>
      <c r="BJ122" s="6" t="s">
        <v>2233</v>
      </c>
      <c r="BK122" s="6"/>
      <c r="BL122" s="6"/>
      <c r="BM122" s="6"/>
      <c r="BN122" s="6"/>
      <c r="BO122" s="6"/>
      <c r="BP122" s="6"/>
      <c r="BQ122" s="6"/>
      <c r="BR122" s="6"/>
      <c r="BS122" s="6"/>
      <c r="BT122" s="6"/>
      <c r="BU122" s="8" t="s">
        <v>7269</v>
      </c>
      <c r="BV122" s="8" t="s">
        <v>7270</v>
      </c>
      <c r="BW122" s="8" t="s">
        <v>7245</v>
      </c>
    </row>
    <row r="123" spans="1:75" ht="12.75" customHeight="1">
      <c r="A123" s="3" t="s">
        <v>63</v>
      </c>
      <c r="B123" s="3" t="s">
        <v>994</v>
      </c>
      <c r="C123" s="3"/>
      <c r="D123" s="3"/>
      <c r="E123" s="3"/>
      <c r="F123" s="3" t="s">
        <v>995</v>
      </c>
      <c r="G123" s="3"/>
      <c r="H123" s="3"/>
      <c r="I123" s="3" t="s">
        <v>996</v>
      </c>
      <c r="J123" s="3" t="s">
        <v>380</v>
      </c>
      <c r="K123" s="3"/>
      <c r="L123" s="3"/>
      <c r="M123" s="3"/>
      <c r="N123" s="3"/>
      <c r="O123" s="3"/>
      <c r="P123" s="3"/>
      <c r="Q123" s="3"/>
      <c r="R123" s="3"/>
      <c r="S123" s="3"/>
      <c r="T123" s="3" t="s">
        <v>997</v>
      </c>
      <c r="U123" s="3"/>
      <c r="V123" s="3"/>
      <c r="W123" s="3"/>
      <c r="X123" s="3"/>
      <c r="Y123" s="3"/>
      <c r="Z123" s="3" t="s">
        <v>998</v>
      </c>
      <c r="AA123" s="3"/>
      <c r="AB123" s="3"/>
      <c r="AC123" s="3"/>
      <c r="AD123" s="3"/>
      <c r="AE123" s="3"/>
      <c r="AF123" s="3"/>
      <c r="AG123" s="3"/>
      <c r="AH123" s="3"/>
      <c r="AI123" s="3"/>
      <c r="AJ123" s="3"/>
      <c r="AK123" s="3"/>
      <c r="AL123" s="3"/>
      <c r="AM123" s="3" t="s">
        <v>382</v>
      </c>
      <c r="AN123" s="3" t="s">
        <v>383</v>
      </c>
      <c r="AO123" s="3"/>
      <c r="AP123" s="3"/>
      <c r="AQ123" s="3"/>
      <c r="AR123" s="3" t="s">
        <v>173</v>
      </c>
      <c r="AS123" s="3">
        <v>2013</v>
      </c>
      <c r="AT123" s="3">
        <v>22</v>
      </c>
      <c r="AU123" s="3"/>
      <c r="AV123" s="3"/>
      <c r="AW123" s="3"/>
      <c r="AX123" s="3"/>
      <c r="AY123" s="3"/>
      <c r="AZ123" s="3">
        <v>132</v>
      </c>
      <c r="BA123" s="3">
        <v>139</v>
      </c>
      <c r="BB123" s="3"/>
      <c r="BC123" s="3" t="s">
        <v>999</v>
      </c>
      <c r="BD123" s="15" t="str">
        <f>HYPERLINK("http://dx.doi.org/10.1016/j.healthplace.2013.03.009","http://dx.doi.org/10.1016/j.healthplace.2013.03.009")</f>
        <v>http://dx.doi.org/10.1016/j.healthplace.2013.03.009</v>
      </c>
      <c r="BE123" s="3"/>
      <c r="BF123" s="3"/>
      <c r="BG123" s="3"/>
      <c r="BH123" s="3"/>
      <c r="BI123" s="3">
        <v>23694820</v>
      </c>
      <c r="BJ123" s="3" t="s">
        <v>1000</v>
      </c>
      <c r="BK123" s="3"/>
      <c r="BL123" s="3"/>
      <c r="BM123" s="3"/>
      <c r="BN123" s="3"/>
      <c r="BO123" s="3"/>
      <c r="BP123" s="3"/>
      <c r="BQ123" s="3"/>
      <c r="BR123" s="3"/>
      <c r="BS123" s="3"/>
      <c r="BT123" s="3"/>
      <c r="BU123" s="1" t="s">
        <v>7193</v>
      </c>
      <c r="BV123" s="2" t="s">
        <v>2039</v>
      </c>
      <c r="BW123" s="2" t="s">
        <v>7189</v>
      </c>
    </row>
    <row r="124" spans="1:75" ht="12.75" customHeight="1">
      <c r="A124" s="6" t="s">
        <v>63</v>
      </c>
      <c r="B124" s="6" t="s">
        <v>6631</v>
      </c>
      <c r="C124" s="6"/>
      <c r="D124" s="6"/>
      <c r="E124" s="6"/>
      <c r="F124" s="6" t="s">
        <v>6632</v>
      </c>
      <c r="G124" s="6"/>
      <c r="H124" s="6"/>
      <c r="I124" s="6" t="s">
        <v>6633</v>
      </c>
      <c r="J124" s="6" t="s">
        <v>193</v>
      </c>
      <c r="K124" s="6"/>
      <c r="L124" s="6"/>
      <c r="M124" s="6"/>
      <c r="N124" s="6"/>
      <c r="O124" s="6"/>
      <c r="P124" s="6"/>
      <c r="Q124" s="6"/>
      <c r="R124" s="6"/>
      <c r="S124" s="6"/>
      <c r="T124" s="6" t="s">
        <v>6634</v>
      </c>
      <c r="U124" s="6"/>
      <c r="V124" s="6"/>
      <c r="W124" s="6"/>
      <c r="X124" s="6"/>
      <c r="Y124" s="6"/>
      <c r="Z124" s="6" t="s">
        <v>6635</v>
      </c>
      <c r="AA124" s="6"/>
      <c r="AB124" s="6"/>
      <c r="AC124" s="6"/>
      <c r="AD124" s="6"/>
      <c r="AE124" s="6"/>
      <c r="AF124" s="6"/>
      <c r="AG124" s="6"/>
      <c r="AH124" s="6"/>
      <c r="AI124" s="6"/>
      <c r="AJ124" s="6"/>
      <c r="AK124" s="6"/>
      <c r="AL124" s="6"/>
      <c r="AM124" s="6" t="s">
        <v>197</v>
      </c>
      <c r="AN124" s="6" t="s">
        <v>198</v>
      </c>
      <c r="AO124" s="6"/>
      <c r="AP124" s="6"/>
      <c r="AQ124" s="6"/>
      <c r="AR124" s="6" t="s">
        <v>4540</v>
      </c>
      <c r="AS124" s="6">
        <v>2024</v>
      </c>
      <c r="AT124" s="6">
        <v>76</v>
      </c>
      <c r="AU124" s="6">
        <v>4</v>
      </c>
      <c r="AV124" s="6"/>
      <c r="AW124" s="6"/>
      <c r="AX124" s="6"/>
      <c r="AY124" s="6"/>
      <c r="AZ124" s="6">
        <v>409</v>
      </c>
      <c r="BA124" s="6">
        <v>424</v>
      </c>
      <c r="BB124" s="6"/>
      <c r="BC124" s="6" t="s">
        <v>6636</v>
      </c>
      <c r="BD124" s="9" t="str">
        <f>HYPERLINK("http://dx.doi.org/10.1080/00330124.2024.2306642","http://dx.doi.org/10.1080/00330124.2024.2306642")</f>
        <v>http://dx.doi.org/10.1080/00330124.2024.2306642</v>
      </c>
      <c r="BE124" s="6"/>
      <c r="BF124" s="6" t="s">
        <v>6637</v>
      </c>
      <c r="BG124" s="6"/>
      <c r="BH124" s="6"/>
      <c r="BI124" s="6"/>
      <c r="BJ124" s="6" t="s">
        <v>6638</v>
      </c>
      <c r="BK124" s="6"/>
      <c r="BL124" s="6"/>
      <c r="BM124" s="6"/>
      <c r="BN124" s="6"/>
      <c r="BO124" s="6"/>
      <c r="BP124" s="6"/>
      <c r="BQ124" s="6"/>
      <c r="BR124" s="6"/>
      <c r="BS124" s="6"/>
      <c r="BT124" s="6"/>
      <c r="BU124" s="8" t="s">
        <v>7225</v>
      </c>
      <c r="BV124" s="8" t="s">
        <v>7188</v>
      </c>
      <c r="BW124" s="8" t="s">
        <v>7189</v>
      </c>
    </row>
    <row r="125" spans="1:75" ht="12.75" customHeight="1">
      <c r="A125" s="6" t="s">
        <v>63</v>
      </c>
      <c r="B125" s="6" t="s">
        <v>6639</v>
      </c>
      <c r="C125" s="6"/>
      <c r="D125" s="6"/>
      <c r="E125" s="6"/>
      <c r="F125" s="6" t="s">
        <v>6640</v>
      </c>
      <c r="G125" s="6"/>
      <c r="H125" s="6"/>
      <c r="I125" s="6" t="s">
        <v>6641</v>
      </c>
      <c r="J125" s="6" t="s">
        <v>493</v>
      </c>
      <c r="K125" s="6"/>
      <c r="L125" s="6"/>
      <c r="M125" s="6"/>
      <c r="N125" s="6"/>
      <c r="O125" s="6"/>
      <c r="P125" s="6"/>
      <c r="Q125" s="6"/>
      <c r="R125" s="6"/>
      <c r="S125" s="6"/>
      <c r="T125" s="6" t="s">
        <v>6642</v>
      </c>
      <c r="U125" s="6"/>
      <c r="V125" s="6"/>
      <c r="W125" s="6"/>
      <c r="X125" s="6"/>
      <c r="Y125" s="6"/>
      <c r="Z125" s="6"/>
      <c r="AA125" s="6"/>
      <c r="AB125" s="6"/>
      <c r="AC125" s="6"/>
      <c r="AD125" s="6"/>
      <c r="AE125" s="6"/>
      <c r="AF125" s="6"/>
      <c r="AG125" s="6"/>
      <c r="AH125" s="6"/>
      <c r="AI125" s="6"/>
      <c r="AJ125" s="6"/>
      <c r="AK125" s="6"/>
      <c r="AL125" s="6"/>
      <c r="AM125" s="6" t="s">
        <v>495</v>
      </c>
      <c r="AN125" s="6" t="s">
        <v>496</v>
      </c>
      <c r="AO125" s="6"/>
      <c r="AP125" s="6"/>
      <c r="AQ125" s="6"/>
      <c r="AR125" s="6" t="s">
        <v>6643</v>
      </c>
      <c r="AS125" s="6">
        <v>2024</v>
      </c>
      <c r="AT125" s="6"/>
      <c r="AU125" s="6"/>
      <c r="AV125" s="6"/>
      <c r="AW125" s="6"/>
      <c r="AX125" s="6"/>
      <c r="AY125" s="6"/>
      <c r="AZ125" s="6"/>
      <c r="BA125" s="6"/>
      <c r="BB125" s="6"/>
      <c r="BC125" s="6" t="s">
        <v>6644</v>
      </c>
      <c r="BD125" s="9" t="str">
        <f>HYPERLINK("http://dx.doi.org/10.1080/07352166.2024.2337017","http://dx.doi.org/10.1080/07352166.2024.2337017")</f>
        <v>http://dx.doi.org/10.1080/07352166.2024.2337017</v>
      </c>
      <c r="BE125" s="6"/>
      <c r="BF125" s="6" t="s">
        <v>6605</v>
      </c>
      <c r="BG125" s="6"/>
      <c r="BH125" s="6"/>
      <c r="BI125" s="6"/>
      <c r="BJ125" s="6" t="s">
        <v>6645</v>
      </c>
      <c r="BK125" s="6"/>
      <c r="BL125" s="6"/>
      <c r="BM125" s="6"/>
      <c r="BN125" s="6"/>
      <c r="BO125" s="6"/>
      <c r="BP125" s="6"/>
      <c r="BQ125" s="6"/>
      <c r="BR125" s="6"/>
      <c r="BS125" s="6"/>
      <c r="BT125" s="6"/>
      <c r="BU125" s="8" t="s">
        <v>7271</v>
      </c>
      <c r="BV125" s="8" t="s">
        <v>7188</v>
      </c>
      <c r="BW125" s="8" t="s">
        <v>7189</v>
      </c>
    </row>
    <row r="126" spans="1:75" ht="12.75" customHeight="1">
      <c r="A126" s="6" t="s">
        <v>63</v>
      </c>
      <c r="B126" s="6" t="s">
        <v>439</v>
      </c>
      <c r="C126" s="6"/>
      <c r="D126" s="6"/>
      <c r="E126" s="6"/>
      <c r="F126" s="6" t="s">
        <v>440</v>
      </c>
      <c r="G126" s="6"/>
      <c r="H126" s="6"/>
      <c r="I126" s="6" t="s">
        <v>441</v>
      </c>
      <c r="J126" s="6" t="s">
        <v>380</v>
      </c>
      <c r="K126" s="6"/>
      <c r="L126" s="6"/>
      <c r="M126" s="6"/>
      <c r="N126" s="6"/>
      <c r="O126" s="6"/>
      <c r="P126" s="6"/>
      <c r="Q126" s="6"/>
      <c r="R126" s="6"/>
      <c r="S126" s="6"/>
      <c r="T126" s="6" t="s">
        <v>442</v>
      </c>
      <c r="U126" s="6"/>
      <c r="V126" s="6"/>
      <c r="W126" s="6"/>
      <c r="X126" s="6"/>
      <c r="Y126" s="6" t="s">
        <v>443</v>
      </c>
      <c r="Z126" s="6" t="s">
        <v>444</v>
      </c>
      <c r="AA126" s="6"/>
      <c r="AB126" s="6"/>
      <c r="AC126" s="6"/>
      <c r="AD126" s="6"/>
      <c r="AE126" s="6"/>
      <c r="AF126" s="6"/>
      <c r="AG126" s="6"/>
      <c r="AH126" s="6"/>
      <c r="AI126" s="6"/>
      <c r="AJ126" s="6"/>
      <c r="AK126" s="6"/>
      <c r="AL126" s="6"/>
      <c r="AM126" s="6" t="s">
        <v>382</v>
      </c>
      <c r="AN126" s="6"/>
      <c r="AO126" s="6"/>
      <c r="AP126" s="6"/>
      <c r="AQ126" s="6"/>
      <c r="AR126" s="6" t="s">
        <v>445</v>
      </c>
      <c r="AS126" s="6">
        <v>2010</v>
      </c>
      <c r="AT126" s="6">
        <v>16</v>
      </c>
      <c r="AU126" s="6">
        <v>5</v>
      </c>
      <c r="AV126" s="6"/>
      <c r="AW126" s="6"/>
      <c r="AX126" s="6"/>
      <c r="AY126" s="6"/>
      <c r="AZ126" s="6">
        <v>876</v>
      </c>
      <c r="BA126" s="6">
        <v>884</v>
      </c>
      <c r="BB126" s="6"/>
      <c r="BC126" s="6" t="s">
        <v>446</v>
      </c>
      <c r="BD126" s="9" t="str">
        <f>HYPERLINK("http://dx.doi.org/10.1016/j.healthplace.2010.04.013","http://dx.doi.org/10.1016/j.healthplace.2010.04.013")</f>
        <v>http://dx.doi.org/10.1016/j.healthplace.2010.04.013</v>
      </c>
      <c r="BE126" s="6"/>
      <c r="BF126" s="6"/>
      <c r="BG126" s="6"/>
      <c r="BH126" s="6"/>
      <c r="BI126" s="6">
        <v>20462784</v>
      </c>
      <c r="BJ126" s="6" t="s">
        <v>447</v>
      </c>
      <c r="BK126" s="6"/>
      <c r="BL126" s="6"/>
      <c r="BM126" s="6"/>
      <c r="BN126" s="6"/>
      <c r="BO126" s="6"/>
      <c r="BP126" s="6"/>
      <c r="BQ126" s="6"/>
      <c r="BR126" s="6"/>
      <c r="BS126" s="6"/>
      <c r="BT126" s="6"/>
      <c r="BU126" s="8" t="s">
        <v>7201</v>
      </c>
      <c r="BV126" s="8" t="s">
        <v>7188</v>
      </c>
      <c r="BW126" s="8" t="s">
        <v>7189</v>
      </c>
    </row>
    <row r="127" spans="1:75" ht="12.75" customHeight="1">
      <c r="A127" s="6" t="s">
        <v>63</v>
      </c>
      <c r="B127" s="6" t="s">
        <v>2234</v>
      </c>
      <c r="C127" s="6"/>
      <c r="D127" s="6"/>
      <c r="E127" s="6"/>
      <c r="F127" s="6" t="s">
        <v>2235</v>
      </c>
      <c r="G127" s="6"/>
      <c r="H127" s="6"/>
      <c r="I127" s="6" t="s">
        <v>2236</v>
      </c>
      <c r="J127" s="6" t="s">
        <v>502</v>
      </c>
      <c r="K127" s="6"/>
      <c r="L127" s="6"/>
      <c r="M127" s="6"/>
      <c r="N127" s="6"/>
      <c r="O127" s="6"/>
      <c r="P127" s="6"/>
      <c r="Q127" s="6"/>
      <c r="R127" s="6"/>
      <c r="S127" s="6"/>
      <c r="T127" s="6" t="s">
        <v>2237</v>
      </c>
      <c r="U127" s="6"/>
      <c r="V127" s="6"/>
      <c r="W127" s="6"/>
      <c r="X127" s="6"/>
      <c r="Y127" s="6" t="s">
        <v>2136</v>
      </c>
      <c r="Z127" s="6" t="s">
        <v>2137</v>
      </c>
      <c r="AA127" s="6"/>
      <c r="AB127" s="6"/>
      <c r="AC127" s="6"/>
      <c r="AD127" s="6"/>
      <c r="AE127" s="6"/>
      <c r="AF127" s="6"/>
      <c r="AG127" s="6"/>
      <c r="AH127" s="6"/>
      <c r="AI127" s="6"/>
      <c r="AJ127" s="6"/>
      <c r="AK127" s="6"/>
      <c r="AL127" s="6"/>
      <c r="AM127" s="6" t="s">
        <v>506</v>
      </c>
      <c r="AN127" s="6" t="s">
        <v>507</v>
      </c>
      <c r="AO127" s="6"/>
      <c r="AP127" s="6"/>
      <c r="AQ127" s="6"/>
      <c r="AR127" s="6" t="s">
        <v>66</v>
      </c>
      <c r="AS127" s="6">
        <v>2016</v>
      </c>
      <c r="AT127" s="6">
        <v>93</v>
      </c>
      <c r="AU127" s="6">
        <v>3</v>
      </c>
      <c r="AV127" s="6"/>
      <c r="AW127" s="6"/>
      <c r="AX127" s="6"/>
      <c r="AY127" s="6"/>
      <c r="AZ127" s="6">
        <v>425</v>
      </c>
      <c r="BA127" s="6">
        <v>437</v>
      </c>
      <c r="BB127" s="6"/>
      <c r="BC127" s="6" t="s">
        <v>2238</v>
      </c>
      <c r="BD127" s="9" t="str">
        <f>HYPERLINK("http://dx.doi.org/10.1007/s11524-016-0055-8","http://dx.doi.org/10.1007/s11524-016-0055-8")</f>
        <v>http://dx.doi.org/10.1007/s11524-016-0055-8</v>
      </c>
      <c r="BE127" s="6"/>
      <c r="BF127" s="6"/>
      <c r="BG127" s="6"/>
      <c r="BH127" s="6"/>
      <c r="BI127" s="6">
        <v>27197735</v>
      </c>
      <c r="BJ127" s="6" t="s">
        <v>2239</v>
      </c>
      <c r="BK127" s="6"/>
      <c r="BL127" s="6"/>
      <c r="BM127" s="6"/>
      <c r="BN127" s="6"/>
      <c r="BO127" s="6"/>
      <c r="BP127" s="6"/>
      <c r="BQ127" s="6"/>
      <c r="BR127" s="6"/>
      <c r="BS127" s="6"/>
      <c r="BT127" s="6"/>
      <c r="BU127" s="8" t="s">
        <v>7272</v>
      </c>
      <c r="BV127" s="8" t="s">
        <v>7188</v>
      </c>
      <c r="BW127" s="8" t="s">
        <v>7189</v>
      </c>
    </row>
    <row r="128" spans="1:75" ht="12.75" customHeight="1">
      <c r="A128" s="3" t="s">
        <v>63</v>
      </c>
      <c r="B128" s="3" t="s">
        <v>2240</v>
      </c>
      <c r="C128" s="3"/>
      <c r="D128" s="3"/>
      <c r="E128" s="3"/>
      <c r="F128" s="3" t="s">
        <v>2241</v>
      </c>
      <c r="G128" s="3"/>
      <c r="H128" s="3"/>
      <c r="I128" s="3" t="s">
        <v>2242</v>
      </c>
      <c r="J128" s="3" t="s">
        <v>2243</v>
      </c>
      <c r="K128" s="3"/>
      <c r="L128" s="3"/>
      <c r="M128" s="3"/>
      <c r="N128" s="3"/>
      <c r="O128" s="3"/>
      <c r="P128" s="3"/>
      <c r="Q128" s="3"/>
      <c r="R128" s="3"/>
      <c r="S128" s="3"/>
      <c r="T128" s="3" t="s">
        <v>2244</v>
      </c>
      <c r="U128" s="3"/>
      <c r="V128" s="3"/>
      <c r="W128" s="3"/>
      <c r="X128" s="3"/>
      <c r="Y128" s="3"/>
      <c r="Z128" s="3" t="s">
        <v>2245</v>
      </c>
      <c r="AA128" s="3"/>
      <c r="AB128" s="3"/>
      <c r="AC128" s="3"/>
      <c r="AD128" s="3"/>
      <c r="AE128" s="3"/>
      <c r="AF128" s="3"/>
      <c r="AG128" s="3"/>
      <c r="AH128" s="3"/>
      <c r="AI128" s="3"/>
      <c r="AJ128" s="3"/>
      <c r="AK128" s="3"/>
      <c r="AL128" s="3"/>
      <c r="AM128" s="3" t="s">
        <v>2246</v>
      </c>
      <c r="AN128" s="3" t="s">
        <v>2247</v>
      </c>
      <c r="AO128" s="3"/>
      <c r="AP128" s="3"/>
      <c r="AQ128" s="3"/>
      <c r="AR128" s="3" t="s">
        <v>92</v>
      </c>
      <c r="AS128" s="3">
        <v>2016</v>
      </c>
      <c r="AT128" s="3">
        <v>37</v>
      </c>
      <c r="AU128" s="3">
        <v>1</v>
      </c>
      <c r="AV128" s="3"/>
      <c r="AW128" s="3"/>
      <c r="AX128" s="3"/>
      <c r="AY128" s="3"/>
      <c r="AZ128" s="3">
        <v>61</v>
      </c>
      <c r="BA128" s="3">
        <v>70</v>
      </c>
      <c r="BB128" s="3"/>
      <c r="BC128" s="3" t="s">
        <v>2248</v>
      </c>
      <c r="BD128" s="15" t="str">
        <f>HYPERLINK("http://dx.doi.org/10.1177/0272684X16685252","http://dx.doi.org/10.1177/0272684X16685252")</f>
        <v>http://dx.doi.org/10.1177/0272684X16685252</v>
      </c>
      <c r="BE128" s="3"/>
      <c r="BF128" s="3"/>
      <c r="BG128" s="3"/>
      <c r="BH128" s="3"/>
      <c r="BI128" s="3">
        <v>28038499</v>
      </c>
      <c r="BJ128" s="3" t="s">
        <v>2249</v>
      </c>
      <c r="BK128" s="3"/>
      <c r="BL128" s="3"/>
      <c r="BM128" s="3"/>
      <c r="BN128" s="3"/>
      <c r="BO128" s="3"/>
      <c r="BP128" s="3"/>
      <c r="BQ128" s="3"/>
      <c r="BR128" s="3"/>
      <c r="BS128" s="3"/>
      <c r="BT128" s="3"/>
      <c r="BU128" s="1" t="s">
        <v>7193</v>
      </c>
      <c r="BV128" s="2" t="s">
        <v>7188</v>
      </c>
      <c r="BW128" s="2" t="s">
        <v>7189</v>
      </c>
    </row>
    <row r="129" spans="1:75" ht="12.75" customHeight="1">
      <c r="A129" s="6" t="s">
        <v>63</v>
      </c>
      <c r="B129" s="6" t="s">
        <v>6646</v>
      </c>
      <c r="C129" s="6"/>
      <c r="D129" s="6"/>
      <c r="E129" s="6"/>
      <c r="F129" s="6" t="s">
        <v>6647</v>
      </c>
      <c r="G129" s="6"/>
      <c r="H129" s="6"/>
      <c r="I129" s="6" t="s">
        <v>6648</v>
      </c>
      <c r="J129" s="6" t="s">
        <v>380</v>
      </c>
      <c r="K129" s="6"/>
      <c r="L129" s="6"/>
      <c r="M129" s="6"/>
      <c r="N129" s="6"/>
      <c r="O129" s="6"/>
      <c r="P129" s="6"/>
      <c r="Q129" s="6"/>
      <c r="R129" s="6"/>
      <c r="S129" s="6"/>
      <c r="T129" s="6" t="s">
        <v>6649</v>
      </c>
      <c r="U129" s="6"/>
      <c r="V129" s="6"/>
      <c r="W129" s="6"/>
      <c r="X129" s="6"/>
      <c r="Y129" s="6"/>
      <c r="Z129" s="6" t="s">
        <v>6650</v>
      </c>
      <c r="AA129" s="6"/>
      <c r="AB129" s="6"/>
      <c r="AC129" s="6"/>
      <c r="AD129" s="6"/>
      <c r="AE129" s="6"/>
      <c r="AF129" s="6"/>
      <c r="AG129" s="6"/>
      <c r="AH129" s="6"/>
      <c r="AI129" s="6"/>
      <c r="AJ129" s="6"/>
      <c r="AK129" s="6"/>
      <c r="AL129" s="6"/>
      <c r="AM129" s="6" t="s">
        <v>382</v>
      </c>
      <c r="AN129" s="6" t="s">
        <v>383</v>
      </c>
      <c r="AO129" s="6"/>
      <c r="AP129" s="6"/>
      <c r="AQ129" s="6"/>
      <c r="AR129" s="6" t="s">
        <v>445</v>
      </c>
      <c r="AS129" s="6">
        <v>2024</v>
      </c>
      <c r="AT129" s="6">
        <v>89</v>
      </c>
      <c r="AU129" s="6"/>
      <c r="AV129" s="6"/>
      <c r="AW129" s="6"/>
      <c r="AX129" s="6"/>
      <c r="AY129" s="6"/>
      <c r="AZ129" s="6"/>
      <c r="BA129" s="6"/>
      <c r="BB129" s="6">
        <v>103315</v>
      </c>
      <c r="BC129" s="6" t="s">
        <v>6651</v>
      </c>
      <c r="BD129" s="9" t="str">
        <f>HYPERLINK("http://dx.doi.org/10.1016/j.healthplace.2024.103315","http://dx.doi.org/10.1016/j.healthplace.2024.103315")</f>
        <v>http://dx.doi.org/10.1016/j.healthplace.2024.103315</v>
      </c>
      <c r="BE129" s="6"/>
      <c r="BF129" s="6" t="s">
        <v>6652</v>
      </c>
      <c r="BG129" s="6"/>
      <c r="BH129" s="6"/>
      <c r="BI129" s="6">
        <v>39013213</v>
      </c>
      <c r="BJ129" s="6" t="s">
        <v>6653</v>
      </c>
      <c r="BK129" s="6"/>
      <c r="BL129" s="6"/>
      <c r="BM129" s="6"/>
      <c r="BN129" s="6"/>
      <c r="BO129" s="6"/>
      <c r="BP129" s="6"/>
      <c r="BQ129" s="6"/>
      <c r="BR129" s="6"/>
      <c r="BS129" s="6"/>
      <c r="BT129" s="6"/>
      <c r="BU129" s="8" t="s">
        <v>7209</v>
      </c>
      <c r="BV129" s="8" t="s">
        <v>7209</v>
      </c>
      <c r="BW129" s="12" t="s">
        <v>7209</v>
      </c>
    </row>
    <row r="130" spans="1:75" ht="12.75" customHeight="1">
      <c r="A130" s="3" t="s">
        <v>63</v>
      </c>
      <c r="B130" s="3" t="s">
        <v>2750</v>
      </c>
      <c r="C130" s="3"/>
      <c r="D130" s="3"/>
      <c r="E130" s="3"/>
      <c r="F130" s="3" t="s">
        <v>2751</v>
      </c>
      <c r="G130" s="3"/>
      <c r="H130" s="3"/>
      <c r="I130" s="3" t="s">
        <v>2752</v>
      </c>
      <c r="J130" s="3" t="s">
        <v>1308</v>
      </c>
      <c r="K130" s="3"/>
      <c r="L130" s="3"/>
      <c r="M130" s="3"/>
      <c r="N130" s="3"/>
      <c r="O130" s="3"/>
      <c r="P130" s="3"/>
      <c r="Q130" s="3"/>
      <c r="R130" s="3"/>
      <c r="S130" s="3"/>
      <c r="T130" s="3" t="s">
        <v>2753</v>
      </c>
      <c r="U130" s="3"/>
      <c r="V130" s="3"/>
      <c r="W130" s="3"/>
      <c r="X130" s="3"/>
      <c r="Y130" s="3" t="s">
        <v>2754</v>
      </c>
      <c r="Z130" s="3" t="s">
        <v>2755</v>
      </c>
      <c r="AA130" s="3"/>
      <c r="AB130" s="3"/>
      <c r="AC130" s="3"/>
      <c r="AD130" s="3"/>
      <c r="AE130" s="3"/>
      <c r="AF130" s="3"/>
      <c r="AG130" s="3"/>
      <c r="AH130" s="3"/>
      <c r="AI130" s="3"/>
      <c r="AJ130" s="3"/>
      <c r="AK130" s="3"/>
      <c r="AL130" s="3"/>
      <c r="AM130" s="3" t="s">
        <v>132</v>
      </c>
      <c r="AN130" s="3" t="s">
        <v>1310</v>
      </c>
      <c r="AO130" s="3"/>
      <c r="AP130" s="3"/>
      <c r="AQ130" s="3"/>
      <c r="AR130" s="3" t="s">
        <v>173</v>
      </c>
      <c r="AS130" s="3">
        <v>2017</v>
      </c>
      <c r="AT130" s="3">
        <v>49</v>
      </c>
      <c r="AU130" s="3">
        <v>7</v>
      </c>
      <c r="AV130" s="3"/>
      <c r="AW130" s="3"/>
      <c r="AX130" s="3"/>
      <c r="AY130" s="3"/>
      <c r="AZ130" s="3">
        <v>1642</v>
      </c>
      <c r="BA130" s="3">
        <v>1663</v>
      </c>
      <c r="BB130" s="3"/>
      <c r="BC130" s="3" t="s">
        <v>2756</v>
      </c>
      <c r="BD130" s="15" t="str">
        <f>HYPERLINK("http://dx.doi.org/10.1177/0308518X17700394","http://dx.doi.org/10.1177/0308518X17700394")</f>
        <v>http://dx.doi.org/10.1177/0308518X17700394</v>
      </c>
      <c r="BE130" s="3"/>
      <c r="BF130" s="3"/>
      <c r="BG130" s="3"/>
      <c r="BH130" s="3"/>
      <c r="BI130" s="3"/>
      <c r="BJ130" s="3" t="s">
        <v>2757</v>
      </c>
      <c r="BK130" s="3"/>
      <c r="BL130" s="3"/>
      <c r="BM130" s="3"/>
      <c r="BN130" s="3"/>
      <c r="BO130" s="3"/>
      <c r="BP130" s="3"/>
      <c r="BQ130" s="3"/>
      <c r="BR130" s="3"/>
      <c r="BS130" s="3"/>
      <c r="BT130" s="3"/>
      <c r="BU130" s="1" t="s">
        <v>7273</v>
      </c>
      <c r="BV130" s="2" t="s">
        <v>7188</v>
      </c>
      <c r="BW130" s="2" t="s">
        <v>7189</v>
      </c>
    </row>
    <row r="131" spans="1:75" ht="12.75" customHeight="1">
      <c r="A131" s="3" t="s">
        <v>63</v>
      </c>
      <c r="B131" s="3" t="s">
        <v>5421</v>
      </c>
      <c r="C131" s="3"/>
      <c r="D131" s="3"/>
      <c r="E131" s="3"/>
      <c r="F131" s="3" t="s">
        <v>5422</v>
      </c>
      <c r="G131" s="3"/>
      <c r="H131" s="3"/>
      <c r="I131" s="3" t="s">
        <v>5423</v>
      </c>
      <c r="J131" s="3" t="s">
        <v>363</v>
      </c>
      <c r="K131" s="3"/>
      <c r="L131" s="3"/>
      <c r="M131" s="3"/>
      <c r="N131" s="3"/>
      <c r="O131" s="3"/>
      <c r="P131" s="3"/>
      <c r="Q131" s="3"/>
      <c r="R131" s="3"/>
      <c r="S131" s="3"/>
      <c r="T131" s="3" t="s">
        <v>5424</v>
      </c>
      <c r="U131" s="3"/>
      <c r="V131" s="3"/>
      <c r="W131" s="3"/>
      <c r="X131" s="3"/>
      <c r="Y131" s="3"/>
      <c r="Z131" s="3"/>
      <c r="AA131" s="3"/>
      <c r="AB131" s="3"/>
      <c r="AC131" s="3"/>
      <c r="AD131" s="3"/>
      <c r="AE131" s="3"/>
      <c r="AF131" s="3"/>
      <c r="AG131" s="3"/>
      <c r="AH131" s="3"/>
      <c r="AI131" s="3"/>
      <c r="AJ131" s="3"/>
      <c r="AK131" s="3"/>
      <c r="AL131" s="3"/>
      <c r="AM131" s="3" t="s">
        <v>365</v>
      </c>
      <c r="AN131" s="3" t="s">
        <v>366</v>
      </c>
      <c r="AO131" s="3"/>
      <c r="AP131" s="3"/>
      <c r="AQ131" s="3"/>
      <c r="AR131" s="3" t="s">
        <v>5425</v>
      </c>
      <c r="AS131" s="3">
        <v>2022</v>
      </c>
      <c r="AT131" s="3">
        <v>124</v>
      </c>
      <c r="AU131" s="3">
        <v>11</v>
      </c>
      <c r="AV131" s="3"/>
      <c r="AW131" s="3"/>
      <c r="AX131" s="3"/>
      <c r="AY131" s="3"/>
      <c r="AZ131" s="3">
        <v>3468</v>
      </c>
      <c r="BA131" s="3">
        <v>3479</v>
      </c>
      <c r="BB131" s="3"/>
      <c r="BC131" s="3" t="s">
        <v>5426</v>
      </c>
      <c r="BD131" s="15" t="str">
        <f>HYPERLINK("http://dx.doi.org/10.1108/BFJ-04-2021-0423","http://dx.doi.org/10.1108/BFJ-04-2021-0423")</f>
        <v>http://dx.doi.org/10.1108/BFJ-04-2021-0423</v>
      </c>
      <c r="BE131" s="3"/>
      <c r="BF131" s="3" t="s">
        <v>5362</v>
      </c>
      <c r="BG131" s="3"/>
      <c r="BH131" s="3"/>
      <c r="BI131" s="3"/>
      <c r="BJ131" s="3" t="s">
        <v>5427</v>
      </c>
      <c r="BK131" s="3"/>
      <c r="BL131" s="3"/>
      <c r="BM131" s="3"/>
      <c r="BN131" s="3"/>
      <c r="BO131" s="3"/>
      <c r="BP131" s="3"/>
      <c r="BQ131" s="3"/>
      <c r="BR131" s="3"/>
      <c r="BS131" s="3"/>
      <c r="BT131" s="3"/>
      <c r="BU131" s="1" t="s">
        <v>7215</v>
      </c>
      <c r="BV131" s="2" t="s">
        <v>7188</v>
      </c>
      <c r="BW131" s="2" t="s">
        <v>7189</v>
      </c>
    </row>
    <row r="132" spans="1:75" ht="12.75" customHeight="1">
      <c r="A132" s="6" t="s">
        <v>63</v>
      </c>
      <c r="B132" s="6" t="s">
        <v>4179</v>
      </c>
      <c r="C132" s="6"/>
      <c r="D132" s="6"/>
      <c r="E132" s="6"/>
      <c r="F132" s="6" t="s">
        <v>4180</v>
      </c>
      <c r="G132" s="6"/>
      <c r="H132" s="6"/>
      <c r="I132" s="6" t="s">
        <v>4181</v>
      </c>
      <c r="J132" s="6" t="s">
        <v>1142</v>
      </c>
      <c r="K132" s="6"/>
      <c r="L132" s="6"/>
      <c r="M132" s="6"/>
      <c r="N132" s="6"/>
      <c r="O132" s="6"/>
      <c r="P132" s="6"/>
      <c r="Q132" s="6"/>
      <c r="R132" s="6"/>
      <c r="S132" s="6"/>
      <c r="T132" s="6" t="s">
        <v>4182</v>
      </c>
      <c r="U132" s="6"/>
      <c r="V132" s="6"/>
      <c r="W132" s="6"/>
      <c r="X132" s="6"/>
      <c r="Y132" s="6" t="s">
        <v>791</v>
      </c>
      <c r="Z132" s="6" t="s">
        <v>792</v>
      </c>
      <c r="AA132" s="6"/>
      <c r="AB132" s="6"/>
      <c r="AC132" s="6"/>
      <c r="AD132" s="6"/>
      <c r="AE132" s="6"/>
      <c r="AF132" s="6"/>
      <c r="AG132" s="6"/>
      <c r="AH132" s="6"/>
      <c r="AI132" s="6"/>
      <c r="AJ132" s="6"/>
      <c r="AK132" s="6"/>
      <c r="AL132" s="6"/>
      <c r="AM132" s="6"/>
      <c r="AN132" s="6" t="s">
        <v>1144</v>
      </c>
      <c r="AO132" s="6"/>
      <c r="AP132" s="6"/>
      <c r="AQ132" s="6"/>
      <c r="AR132" s="6" t="s">
        <v>445</v>
      </c>
      <c r="AS132" s="6">
        <v>2020</v>
      </c>
      <c r="AT132" s="6">
        <v>17</v>
      </c>
      <c r="AU132" s="6">
        <v>17</v>
      </c>
      <c r="AV132" s="6"/>
      <c r="AW132" s="6"/>
      <c r="AX132" s="6"/>
      <c r="AY132" s="6"/>
      <c r="AZ132" s="6"/>
      <c r="BA132" s="6"/>
      <c r="BB132" s="6">
        <v>6305</v>
      </c>
      <c r="BC132" s="6" t="s">
        <v>4183</v>
      </c>
      <c r="BD132" s="9" t="str">
        <f>HYPERLINK("http://dx.doi.org/10.3390/ijerph17176305","http://dx.doi.org/10.3390/ijerph17176305")</f>
        <v>http://dx.doi.org/10.3390/ijerph17176305</v>
      </c>
      <c r="BE132" s="6"/>
      <c r="BF132" s="6"/>
      <c r="BG132" s="6"/>
      <c r="BH132" s="6"/>
      <c r="BI132" s="6">
        <v>32872539</v>
      </c>
      <c r="BJ132" s="6" t="s">
        <v>4184</v>
      </c>
      <c r="BK132" s="6"/>
      <c r="BL132" s="6"/>
      <c r="BM132" s="6"/>
      <c r="BN132" s="6"/>
      <c r="BO132" s="6"/>
      <c r="BP132" s="6"/>
      <c r="BQ132" s="6"/>
      <c r="BR132" s="6"/>
      <c r="BS132" s="6"/>
      <c r="BT132" s="6"/>
      <c r="BU132" s="8" t="s">
        <v>7274</v>
      </c>
      <c r="BV132" s="8" t="s">
        <v>7188</v>
      </c>
      <c r="BW132" s="8" t="s">
        <v>7189</v>
      </c>
    </row>
    <row r="133" spans="1:75" ht="12.75" customHeight="1">
      <c r="A133" s="6" t="s">
        <v>63</v>
      </c>
      <c r="B133" s="6" t="s">
        <v>5428</v>
      </c>
      <c r="C133" s="6"/>
      <c r="D133" s="6"/>
      <c r="E133" s="6"/>
      <c r="F133" s="6" t="s">
        <v>5429</v>
      </c>
      <c r="G133" s="6"/>
      <c r="H133" s="6"/>
      <c r="I133" s="6" t="s">
        <v>5430</v>
      </c>
      <c r="J133" s="6" t="s">
        <v>423</v>
      </c>
      <c r="K133" s="6"/>
      <c r="L133" s="6"/>
      <c r="M133" s="6"/>
      <c r="N133" s="6"/>
      <c r="O133" s="6"/>
      <c r="P133" s="6"/>
      <c r="Q133" s="6"/>
      <c r="R133" s="6"/>
      <c r="S133" s="6"/>
      <c r="T133" s="6" t="s">
        <v>5431</v>
      </c>
      <c r="U133" s="6"/>
      <c r="V133" s="6"/>
      <c r="W133" s="6"/>
      <c r="X133" s="6"/>
      <c r="Y133" s="6" t="s">
        <v>5432</v>
      </c>
      <c r="Z133" s="6"/>
      <c r="AA133" s="6"/>
      <c r="AB133" s="6"/>
      <c r="AC133" s="6"/>
      <c r="AD133" s="6"/>
      <c r="AE133" s="6"/>
      <c r="AF133" s="6"/>
      <c r="AG133" s="6"/>
      <c r="AH133" s="6"/>
      <c r="AI133" s="6"/>
      <c r="AJ133" s="6"/>
      <c r="AK133" s="6"/>
      <c r="AL133" s="6"/>
      <c r="AM133" s="6" t="s">
        <v>427</v>
      </c>
      <c r="AN133" s="6" t="s">
        <v>428</v>
      </c>
      <c r="AO133" s="6"/>
      <c r="AP133" s="6"/>
      <c r="AQ133" s="6"/>
      <c r="AR133" s="6" t="s">
        <v>5090</v>
      </c>
      <c r="AS133" s="6">
        <v>2022</v>
      </c>
      <c r="AT133" s="6">
        <v>17</v>
      </c>
      <c r="AU133" s="6">
        <v>5</v>
      </c>
      <c r="AV133" s="6"/>
      <c r="AW133" s="6"/>
      <c r="AX133" s="6"/>
      <c r="AY133" s="6"/>
      <c r="AZ133" s="6">
        <v>670</v>
      </c>
      <c r="BA133" s="6">
        <v>688</v>
      </c>
      <c r="BB133" s="6"/>
      <c r="BC133" s="6" t="s">
        <v>5433</v>
      </c>
      <c r="BD133" s="9" t="str">
        <f>HYPERLINK("http://dx.doi.org/10.1080/19320248.2021.1926390","http://dx.doi.org/10.1080/19320248.2021.1926390")</f>
        <v>http://dx.doi.org/10.1080/19320248.2021.1926390</v>
      </c>
      <c r="BE133" s="6"/>
      <c r="BF133" s="6" t="s">
        <v>5167</v>
      </c>
      <c r="BG133" s="6"/>
      <c r="BH133" s="6"/>
      <c r="BI133" s="6"/>
      <c r="BJ133" s="6" t="s">
        <v>5434</v>
      </c>
      <c r="BK133" s="6"/>
      <c r="BL133" s="6"/>
      <c r="BM133" s="6"/>
      <c r="BN133" s="6"/>
      <c r="BO133" s="6"/>
      <c r="BP133" s="6"/>
      <c r="BQ133" s="6"/>
      <c r="BR133" s="6"/>
      <c r="BS133" s="6"/>
      <c r="BT133" s="6"/>
      <c r="BU133" s="8" t="s">
        <v>7275</v>
      </c>
      <c r="BV133" s="8" t="s">
        <v>7188</v>
      </c>
      <c r="BW133" s="8" t="s">
        <v>7189</v>
      </c>
    </row>
    <row r="134" spans="1:75" ht="12.75" customHeight="1">
      <c r="A134" s="6" t="s">
        <v>63</v>
      </c>
      <c r="B134" s="6" t="s">
        <v>1398</v>
      </c>
      <c r="C134" s="6"/>
      <c r="D134" s="6"/>
      <c r="E134" s="6"/>
      <c r="F134" s="6" t="s">
        <v>1399</v>
      </c>
      <c r="G134" s="6"/>
      <c r="H134" s="6"/>
      <c r="I134" s="6" t="s">
        <v>1400</v>
      </c>
      <c r="J134" s="6" t="s">
        <v>1326</v>
      </c>
      <c r="K134" s="6"/>
      <c r="L134" s="6"/>
      <c r="M134" s="6"/>
      <c r="N134" s="6"/>
      <c r="O134" s="6"/>
      <c r="P134" s="6"/>
      <c r="Q134" s="6"/>
      <c r="R134" s="6"/>
      <c r="S134" s="6"/>
      <c r="T134" s="6" t="s">
        <v>1401</v>
      </c>
      <c r="U134" s="6"/>
      <c r="V134" s="6"/>
      <c r="W134" s="6"/>
      <c r="X134" s="6"/>
      <c r="Y134" s="6"/>
      <c r="Z134" s="6"/>
      <c r="AA134" s="6"/>
      <c r="AB134" s="6"/>
      <c r="AC134" s="6"/>
      <c r="AD134" s="6"/>
      <c r="AE134" s="6"/>
      <c r="AF134" s="6"/>
      <c r="AG134" s="6"/>
      <c r="AH134" s="6"/>
      <c r="AI134" s="6"/>
      <c r="AJ134" s="6"/>
      <c r="AK134" s="6"/>
      <c r="AL134" s="6"/>
      <c r="AM134" s="6" t="s">
        <v>1329</v>
      </c>
      <c r="AN134" s="6"/>
      <c r="AO134" s="6"/>
      <c r="AP134" s="6"/>
      <c r="AQ134" s="6"/>
      <c r="AR134" s="6"/>
      <c r="AS134" s="6">
        <v>2014</v>
      </c>
      <c r="AT134" s="6">
        <v>17</v>
      </c>
      <c r="AU134" s="6" t="s">
        <v>1330</v>
      </c>
      <c r="AV134" s="6"/>
      <c r="AW134" s="6"/>
      <c r="AX134" s="6" t="s">
        <v>569</v>
      </c>
      <c r="AY134" s="6"/>
      <c r="AZ134" s="6">
        <v>61</v>
      </c>
      <c r="BA134" s="6">
        <v>82</v>
      </c>
      <c r="BB134" s="6"/>
      <c r="BC134" s="6"/>
      <c r="BD134" s="6"/>
      <c r="BE134" s="6"/>
      <c r="BF134" s="6"/>
      <c r="BG134" s="6"/>
      <c r="BH134" s="6"/>
      <c r="BI134" s="6"/>
      <c r="BJ134" s="6" t="s">
        <v>1402</v>
      </c>
      <c r="BK134" s="6"/>
      <c r="BL134" s="6"/>
      <c r="BM134" s="6"/>
      <c r="BN134" s="6"/>
      <c r="BO134" s="6"/>
      <c r="BP134" s="6"/>
      <c r="BQ134" s="6"/>
      <c r="BR134" s="6"/>
      <c r="BS134" s="6"/>
      <c r="BT134" s="6"/>
      <c r="BU134" s="8" t="s">
        <v>7254</v>
      </c>
      <c r="BV134" s="8" t="s">
        <v>7188</v>
      </c>
      <c r="BW134" s="8" t="s">
        <v>7189</v>
      </c>
    </row>
    <row r="135" spans="1:75" ht="12.75" customHeight="1">
      <c r="A135" s="6" t="s">
        <v>63</v>
      </c>
      <c r="B135" s="6" t="s">
        <v>4841</v>
      </c>
      <c r="C135" s="6"/>
      <c r="D135" s="6"/>
      <c r="E135" s="6"/>
      <c r="F135" s="6" t="s">
        <v>4842</v>
      </c>
      <c r="G135" s="6"/>
      <c r="H135" s="6"/>
      <c r="I135" s="6" t="s">
        <v>4843</v>
      </c>
      <c r="J135" s="6" t="s">
        <v>3374</v>
      </c>
      <c r="K135" s="6"/>
      <c r="L135" s="6"/>
      <c r="M135" s="6"/>
      <c r="N135" s="6"/>
      <c r="O135" s="6"/>
      <c r="P135" s="6"/>
      <c r="Q135" s="6"/>
      <c r="R135" s="6"/>
      <c r="S135" s="6"/>
      <c r="T135" s="6" t="s">
        <v>4844</v>
      </c>
      <c r="U135" s="6"/>
      <c r="V135" s="6"/>
      <c r="W135" s="6"/>
      <c r="X135" s="6"/>
      <c r="Y135" s="6" t="s">
        <v>3146</v>
      </c>
      <c r="Z135" s="6" t="s">
        <v>2617</v>
      </c>
      <c r="AA135" s="6"/>
      <c r="AB135" s="6"/>
      <c r="AC135" s="6"/>
      <c r="AD135" s="6"/>
      <c r="AE135" s="6"/>
      <c r="AF135" s="6"/>
      <c r="AG135" s="6"/>
      <c r="AH135" s="6"/>
      <c r="AI135" s="6"/>
      <c r="AJ135" s="6"/>
      <c r="AK135" s="6"/>
      <c r="AL135" s="6"/>
      <c r="AM135" s="6"/>
      <c r="AN135" s="6" t="s">
        <v>3377</v>
      </c>
      <c r="AO135" s="6"/>
      <c r="AP135" s="6"/>
      <c r="AQ135" s="6"/>
      <c r="AR135" s="6" t="s">
        <v>173</v>
      </c>
      <c r="AS135" s="6">
        <v>2021</v>
      </c>
      <c r="AT135" s="6">
        <v>13</v>
      </c>
      <c r="AU135" s="6">
        <v>13</v>
      </c>
      <c r="AV135" s="6"/>
      <c r="AW135" s="6"/>
      <c r="AX135" s="6"/>
      <c r="AY135" s="6"/>
      <c r="AZ135" s="6"/>
      <c r="BA135" s="6"/>
      <c r="BB135" s="6">
        <v>7138</v>
      </c>
      <c r="BC135" s="6" t="s">
        <v>4845</v>
      </c>
      <c r="BD135" s="9" t="str">
        <f>HYPERLINK("http://dx.doi.org/10.3390/su13137138","http://dx.doi.org/10.3390/su13137138")</f>
        <v>http://dx.doi.org/10.3390/su13137138</v>
      </c>
      <c r="BE135" s="6"/>
      <c r="BF135" s="6"/>
      <c r="BG135" s="6"/>
      <c r="BH135" s="6"/>
      <c r="BI135" s="6"/>
      <c r="BJ135" s="6" t="s">
        <v>4846</v>
      </c>
      <c r="BK135" s="6"/>
      <c r="BL135" s="6"/>
      <c r="BM135" s="6"/>
      <c r="BN135" s="6"/>
      <c r="BO135" s="6"/>
      <c r="BP135" s="6"/>
      <c r="BQ135" s="6"/>
      <c r="BR135" s="6"/>
      <c r="BS135" s="6"/>
      <c r="BT135" s="6"/>
      <c r="BU135" s="8" t="s">
        <v>7276</v>
      </c>
      <c r="BV135" s="8" t="s">
        <v>7204</v>
      </c>
      <c r="BW135" s="8" t="s">
        <v>7205</v>
      </c>
    </row>
    <row r="136" spans="1:75" ht="12.75" customHeight="1">
      <c r="A136" s="3" t="s">
        <v>63</v>
      </c>
      <c r="B136" s="3" t="s">
        <v>5435</v>
      </c>
      <c r="C136" s="3"/>
      <c r="D136" s="3"/>
      <c r="E136" s="3"/>
      <c r="F136" s="3" t="s">
        <v>5436</v>
      </c>
      <c r="G136" s="3"/>
      <c r="H136" s="3"/>
      <c r="I136" s="3" t="s">
        <v>5437</v>
      </c>
      <c r="J136" s="3" t="s">
        <v>4247</v>
      </c>
      <c r="K136" s="3"/>
      <c r="L136" s="3"/>
      <c r="M136" s="3"/>
      <c r="N136" s="3"/>
      <c r="O136" s="3"/>
      <c r="P136" s="3"/>
      <c r="Q136" s="3"/>
      <c r="R136" s="3"/>
      <c r="S136" s="3"/>
      <c r="T136" s="3" t="s">
        <v>5438</v>
      </c>
      <c r="U136" s="3"/>
      <c r="V136" s="3"/>
      <c r="W136" s="3"/>
      <c r="X136" s="3"/>
      <c r="Y136" s="3" t="s">
        <v>5439</v>
      </c>
      <c r="Z136" s="3"/>
      <c r="AA136" s="3"/>
      <c r="AB136" s="3"/>
      <c r="AC136" s="3"/>
      <c r="AD136" s="3"/>
      <c r="AE136" s="3"/>
      <c r="AF136" s="3"/>
      <c r="AG136" s="3"/>
      <c r="AH136" s="3"/>
      <c r="AI136" s="3"/>
      <c r="AJ136" s="3"/>
      <c r="AK136" s="3"/>
      <c r="AL136" s="3"/>
      <c r="AM136" s="3" t="s">
        <v>4251</v>
      </c>
      <c r="AN136" s="3" t="s">
        <v>4252</v>
      </c>
      <c r="AO136" s="3"/>
      <c r="AP136" s="3"/>
      <c r="AQ136" s="3"/>
      <c r="AR136" s="3" t="s">
        <v>92</v>
      </c>
      <c r="AS136" s="3">
        <v>2022</v>
      </c>
      <c r="AT136" s="3">
        <v>226</v>
      </c>
      <c r="AU136" s="3"/>
      <c r="AV136" s="3"/>
      <c r="AW136" s="3"/>
      <c r="AX136" s="3"/>
      <c r="AY136" s="3"/>
      <c r="AZ136" s="3"/>
      <c r="BA136" s="3"/>
      <c r="BB136" s="3">
        <v>104488</v>
      </c>
      <c r="BC136" s="3" t="s">
        <v>5440</v>
      </c>
      <c r="BD136" s="15" t="str">
        <f>HYPERLINK("http://dx.doi.org/10.1016/j.landurbplan.2022.104488","http://dx.doi.org/10.1016/j.landurbplan.2022.104488")</f>
        <v>http://dx.doi.org/10.1016/j.landurbplan.2022.104488</v>
      </c>
      <c r="BE136" s="3"/>
      <c r="BF136" s="3"/>
      <c r="BG136" s="3"/>
      <c r="BH136" s="3"/>
      <c r="BI136" s="3"/>
      <c r="BJ136" s="3" t="s">
        <v>5441</v>
      </c>
      <c r="BK136" s="3"/>
      <c r="BL136" s="3"/>
      <c r="BM136" s="3"/>
      <c r="BN136" s="3"/>
      <c r="BO136" s="3"/>
      <c r="BP136" s="3"/>
      <c r="BQ136" s="3"/>
      <c r="BR136" s="3"/>
      <c r="BS136" s="3"/>
      <c r="BT136" s="3"/>
      <c r="BU136" s="1" t="s">
        <v>7277</v>
      </c>
      <c r="BV136" s="2" t="s">
        <v>7188</v>
      </c>
      <c r="BW136" s="2" t="s">
        <v>7189</v>
      </c>
    </row>
    <row r="137" spans="1:75" ht="12.75" customHeight="1">
      <c r="A137" s="3"/>
      <c r="B137" s="3" t="s">
        <v>360</v>
      </c>
      <c r="C137" s="3"/>
      <c r="D137" s="3"/>
      <c r="E137" s="3"/>
      <c r="F137" s="3" t="s">
        <v>361</v>
      </c>
      <c r="G137" s="3"/>
      <c r="H137" s="3"/>
      <c r="I137" s="3" t="s">
        <v>362</v>
      </c>
      <c r="J137" s="3" t="s">
        <v>363</v>
      </c>
      <c r="K137" s="3"/>
      <c r="L137" s="3"/>
      <c r="M137" s="3"/>
      <c r="N137" s="3"/>
      <c r="O137" s="3"/>
      <c r="P137" s="3"/>
      <c r="Q137" s="3"/>
      <c r="R137" s="3"/>
      <c r="S137" s="3"/>
      <c r="T137" s="3" t="s">
        <v>364</v>
      </c>
      <c r="U137" s="3"/>
      <c r="V137" s="3"/>
      <c r="W137" s="3"/>
      <c r="X137" s="3"/>
      <c r="Y137" s="3"/>
      <c r="Z137" s="3"/>
      <c r="AA137" s="3"/>
      <c r="AB137" s="3"/>
      <c r="AC137" s="3"/>
      <c r="AD137" s="3"/>
      <c r="AE137" s="3"/>
      <c r="AF137" s="3"/>
      <c r="AG137" s="3"/>
      <c r="AH137" s="3"/>
      <c r="AI137" s="3"/>
      <c r="AJ137" s="3"/>
      <c r="AK137" s="3"/>
      <c r="AL137" s="3"/>
      <c r="AM137" s="3" t="s">
        <v>365</v>
      </c>
      <c r="AN137" s="3" t="s">
        <v>366</v>
      </c>
      <c r="AO137" s="3"/>
      <c r="AP137" s="3"/>
      <c r="AQ137" s="3"/>
      <c r="AR137" s="3"/>
      <c r="AS137" s="3">
        <v>2009</v>
      </c>
      <c r="AT137" s="3">
        <v>111</v>
      </c>
      <c r="AU137" s="3" t="s">
        <v>367</v>
      </c>
      <c r="AV137" s="3"/>
      <c r="AW137" s="3"/>
      <c r="AX137" s="3"/>
      <c r="AY137" s="3"/>
      <c r="AZ137" s="3">
        <v>349</v>
      </c>
      <c r="BA137" s="3">
        <v>363</v>
      </c>
      <c r="BB137" s="3"/>
      <c r="BC137" s="3" t="s">
        <v>368</v>
      </c>
      <c r="BD137" s="15" t="str">
        <f>HYPERLINK("http://dx.doi.org/10.1108/00070700910951498","http://dx.doi.org/10.1108/00070700910951498")</f>
        <v>http://dx.doi.org/10.1108/00070700910951498</v>
      </c>
      <c r="BE137" s="3"/>
      <c r="BF137" s="3"/>
      <c r="BG137" s="3"/>
      <c r="BH137" s="3"/>
      <c r="BI137" s="3"/>
      <c r="BJ137" s="3" t="s">
        <v>369</v>
      </c>
      <c r="BK137" s="3"/>
      <c r="BL137" s="3"/>
      <c r="BM137" s="3"/>
      <c r="BN137" s="3"/>
      <c r="BO137" s="3"/>
      <c r="BP137" s="3"/>
      <c r="BQ137" s="3"/>
      <c r="BR137" s="3"/>
      <c r="BS137" s="3"/>
      <c r="BT137" s="3"/>
      <c r="BU137" s="1" t="s">
        <v>7193</v>
      </c>
      <c r="BV137" s="2" t="s">
        <v>7188</v>
      </c>
      <c r="BW137" s="2" t="s">
        <v>7189</v>
      </c>
    </row>
    <row r="138" spans="1:75" ht="12.75" customHeight="1">
      <c r="A138" s="3" t="s">
        <v>63</v>
      </c>
      <c r="B138" s="3" t="s">
        <v>5442</v>
      </c>
      <c r="C138" s="3"/>
      <c r="D138" s="3"/>
      <c r="E138" s="3"/>
      <c r="F138" s="3" t="s">
        <v>5443</v>
      </c>
      <c r="G138" s="3"/>
      <c r="H138" s="3"/>
      <c r="I138" s="3" t="s">
        <v>5444</v>
      </c>
      <c r="J138" s="3" t="s">
        <v>177</v>
      </c>
      <c r="K138" s="3"/>
      <c r="L138" s="3"/>
      <c r="M138" s="3"/>
      <c r="N138" s="3"/>
      <c r="O138" s="3"/>
      <c r="P138" s="3"/>
      <c r="Q138" s="3"/>
      <c r="R138" s="3"/>
      <c r="S138" s="3"/>
      <c r="T138" s="3" t="s">
        <v>5445</v>
      </c>
      <c r="U138" s="3"/>
      <c r="V138" s="3"/>
      <c r="W138" s="3"/>
      <c r="X138" s="3"/>
      <c r="Y138" s="3"/>
      <c r="Z138" s="3"/>
      <c r="AA138" s="3"/>
      <c r="AB138" s="3"/>
      <c r="AC138" s="3"/>
      <c r="AD138" s="3"/>
      <c r="AE138" s="3"/>
      <c r="AF138" s="3"/>
      <c r="AG138" s="3"/>
      <c r="AH138" s="3"/>
      <c r="AI138" s="3"/>
      <c r="AJ138" s="3"/>
      <c r="AK138" s="3"/>
      <c r="AL138" s="3"/>
      <c r="AM138" s="3" t="s">
        <v>179</v>
      </c>
      <c r="AN138" s="3" t="s">
        <v>1136</v>
      </c>
      <c r="AO138" s="3"/>
      <c r="AP138" s="3"/>
      <c r="AQ138" s="3"/>
      <c r="AR138" s="3" t="s">
        <v>121</v>
      </c>
      <c r="AS138" s="3">
        <v>2022</v>
      </c>
      <c r="AT138" s="3">
        <v>104</v>
      </c>
      <c r="AU138" s="3">
        <v>4</v>
      </c>
      <c r="AV138" s="3"/>
      <c r="AW138" s="3"/>
      <c r="AX138" s="3"/>
      <c r="AY138" s="3"/>
      <c r="AZ138" s="3">
        <v>1485</v>
      </c>
      <c r="BA138" s="3">
        <v>1511</v>
      </c>
      <c r="BB138" s="3"/>
      <c r="BC138" s="3" t="s">
        <v>5446</v>
      </c>
      <c r="BD138" s="15" t="str">
        <f>HYPERLINK("http://dx.doi.org/10.1111/ajae.12275","http://dx.doi.org/10.1111/ajae.12275")</f>
        <v>http://dx.doi.org/10.1111/ajae.12275</v>
      </c>
      <c r="BE138" s="3"/>
      <c r="BF138" s="3" t="s">
        <v>5362</v>
      </c>
      <c r="BG138" s="3"/>
      <c r="BH138" s="3"/>
      <c r="BI138" s="3"/>
      <c r="BJ138" s="3" t="s">
        <v>5447</v>
      </c>
      <c r="BK138" s="3"/>
      <c r="BL138" s="3"/>
      <c r="BM138" s="3"/>
      <c r="BN138" s="3"/>
      <c r="BO138" s="3"/>
      <c r="BP138" s="3"/>
      <c r="BQ138" s="3"/>
      <c r="BR138" s="3"/>
      <c r="BS138" s="3"/>
      <c r="BT138" s="3"/>
      <c r="BU138" s="1" t="s">
        <v>7193</v>
      </c>
      <c r="BV138" s="2" t="s">
        <v>7188</v>
      </c>
      <c r="BW138" s="2" t="s">
        <v>7189</v>
      </c>
    </row>
    <row r="139" spans="1:75" ht="12.75" customHeight="1">
      <c r="A139" s="6" t="s">
        <v>63</v>
      </c>
      <c r="B139" s="6" t="s">
        <v>1375</v>
      </c>
      <c r="C139" s="6"/>
      <c r="D139" s="6"/>
      <c r="E139" s="6"/>
      <c r="F139" s="6" t="s">
        <v>1376</v>
      </c>
      <c r="G139" s="6"/>
      <c r="H139" s="6"/>
      <c r="I139" s="6" t="s">
        <v>2250</v>
      </c>
      <c r="J139" s="6" t="s">
        <v>2251</v>
      </c>
      <c r="K139" s="6"/>
      <c r="L139" s="6"/>
      <c r="M139" s="6"/>
      <c r="N139" s="6"/>
      <c r="O139" s="6"/>
      <c r="P139" s="6"/>
      <c r="Q139" s="6"/>
      <c r="R139" s="6"/>
      <c r="S139" s="6"/>
      <c r="T139" s="6" t="s">
        <v>2252</v>
      </c>
      <c r="U139" s="6"/>
      <c r="V139" s="6"/>
      <c r="W139" s="6"/>
      <c r="X139" s="6"/>
      <c r="Y139" s="6"/>
      <c r="Z139" s="6" t="s">
        <v>1380</v>
      </c>
      <c r="AA139" s="6"/>
      <c r="AB139" s="6"/>
      <c r="AC139" s="6"/>
      <c r="AD139" s="6"/>
      <c r="AE139" s="6"/>
      <c r="AF139" s="6"/>
      <c r="AG139" s="6"/>
      <c r="AH139" s="6"/>
      <c r="AI139" s="6"/>
      <c r="AJ139" s="6"/>
      <c r="AK139" s="6"/>
      <c r="AL139" s="6"/>
      <c r="AM139" s="6" t="s">
        <v>2253</v>
      </c>
      <c r="AN139" s="6" t="s">
        <v>2254</v>
      </c>
      <c r="AO139" s="6"/>
      <c r="AP139" s="6"/>
      <c r="AQ139" s="6"/>
      <c r="AR139" s="6"/>
      <c r="AS139" s="6">
        <v>2016</v>
      </c>
      <c r="AT139" s="6">
        <v>106</v>
      </c>
      <c r="AU139" s="6">
        <v>1</v>
      </c>
      <c r="AV139" s="6"/>
      <c r="AW139" s="6"/>
      <c r="AX139" s="6"/>
      <c r="AY139" s="6"/>
      <c r="AZ139" s="6">
        <v>186</v>
      </c>
      <c r="BA139" s="6">
        <v>202</v>
      </c>
      <c r="BB139" s="6"/>
      <c r="BC139" s="6" t="s">
        <v>2255</v>
      </c>
      <c r="BD139" s="9" t="str">
        <f>HYPERLINK("http://dx.doi.org/10.1080/00045608.2015.1095059","http://dx.doi.org/10.1080/00045608.2015.1095059")</f>
        <v>http://dx.doi.org/10.1080/00045608.2015.1095059</v>
      </c>
      <c r="BE139" s="6"/>
      <c r="BF139" s="6"/>
      <c r="BG139" s="6"/>
      <c r="BH139" s="6"/>
      <c r="BI139" s="6"/>
      <c r="BJ139" s="6" t="s">
        <v>2256</v>
      </c>
      <c r="BK139" s="6"/>
      <c r="BL139" s="6"/>
      <c r="BM139" s="6"/>
      <c r="BN139" s="6"/>
      <c r="BO139" s="6"/>
      <c r="BP139" s="6"/>
      <c r="BQ139" s="6"/>
      <c r="BR139" s="6"/>
      <c r="BS139" s="6"/>
      <c r="BT139" s="6"/>
      <c r="BU139" s="8" t="s">
        <v>7278</v>
      </c>
      <c r="BV139" s="8" t="s">
        <v>7188</v>
      </c>
      <c r="BW139" s="8" t="s">
        <v>7189</v>
      </c>
    </row>
    <row r="140" spans="1:75" ht="12.75" customHeight="1">
      <c r="A140" s="4" t="s">
        <v>63</v>
      </c>
      <c r="B140" s="4" t="s">
        <v>5448</v>
      </c>
      <c r="C140" s="4"/>
      <c r="D140" s="4"/>
      <c r="E140" s="4"/>
      <c r="F140" s="4" t="s">
        <v>5449</v>
      </c>
      <c r="G140" s="4"/>
      <c r="H140" s="4"/>
      <c r="I140" s="4" t="s">
        <v>5450</v>
      </c>
      <c r="J140" s="4" t="s">
        <v>5451</v>
      </c>
      <c r="K140" s="4"/>
      <c r="L140" s="4"/>
      <c r="M140" s="4"/>
      <c r="N140" s="4"/>
      <c r="O140" s="4"/>
      <c r="P140" s="4"/>
      <c r="Q140" s="4"/>
      <c r="R140" s="4"/>
      <c r="S140" s="4"/>
      <c r="T140" s="4" t="s">
        <v>5452</v>
      </c>
      <c r="U140" s="4"/>
      <c r="V140" s="4"/>
      <c r="W140" s="4"/>
      <c r="X140" s="4"/>
      <c r="Y140" s="4"/>
      <c r="Z140" s="4" t="s">
        <v>5453</v>
      </c>
      <c r="AA140" s="4"/>
      <c r="AB140" s="4"/>
      <c r="AC140" s="4"/>
      <c r="AD140" s="4"/>
      <c r="AE140" s="4"/>
      <c r="AF140" s="4"/>
      <c r="AG140" s="4"/>
      <c r="AH140" s="4"/>
      <c r="AI140" s="4"/>
      <c r="AJ140" s="4"/>
      <c r="AK140" s="4"/>
      <c r="AL140" s="4"/>
      <c r="AM140" s="4" t="s">
        <v>5454</v>
      </c>
      <c r="AN140" s="4" t="s">
        <v>5455</v>
      </c>
      <c r="AO140" s="4"/>
      <c r="AP140" s="4"/>
      <c r="AQ140" s="4"/>
      <c r="AR140" s="4" t="s">
        <v>342</v>
      </c>
      <c r="AS140" s="4">
        <v>2022</v>
      </c>
      <c r="AT140" s="4">
        <v>62</v>
      </c>
      <c r="AU140" s="4">
        <v>4</v>
      </c>
      <c r="AV140" s="4"/>
      <c r="AW140" s="4"/>
      <c r="AX140" s="4"/>
      <c r="AY140" s="4"/>
      <c r="AZ140" s="4">
        <v>1369</v>
      </c>
      <c r="BA140" s="4">
        <v>1373</v>
      </c>
      <c r="BB140" s="4"/>
      <c r="BC140" s="4" t="s">
        <v>5456</v>
      </c>
      <c r="BD140" s="5" t="str">
        <f>HYPERLINK("http://dx.doi.org/10.1016/j.japh.2021.12.018","http://dx.doi.org/10.1016/j.japh.2021.12.018")</f>
        <v>http://dx.doi.org/10.1016/j.japh.2021.12.018</v>
      </c>
      <c r="BE140" s="4"/>
      <c r="BF140" s="4" t="s">
        <v>5457</v>
      </c>
      <c r="BG140" s="4"/>
      <c r="BH140" s="4"/>
      <c r="BI140" s="4">
        <v>35063368</v>
      </c>
      <c r="BJ140" s="4" t="s">
        <v>5458</v>
      </c>
      <c r="BK140" s="4"/>
      <c r="BL140" s="4"/>
      <c r="BM140" s="4"/>
      <c r="BN140" s="4"/>
      <c r="BO140" s="4"/>
      <c r="BP140" s="4"/>
      <c r="BQ140" s="4"/>
      <c r="BR140" s="4"/>
      <c r="BS140" s="4"/>
      <c r="BT140" s="4"/>
      <c r="BU140" s="12" t="s">
        <v>7221</v>
      </c>
      <c r="BV140" s="12" t="s">
        <v>7188</v>
      </c>
      <c r="BW140" s="12" t="s">
        <v>7189</v>
      </c>
    </row>
    <row r="141" spans="1:75" ht="12.75" customHeight="1">
      <c r="A141" s="3" t="s">
        <v>63</v>
      </c>
      <c r="B141" s="3" t="s">
        <v>5459</v>
      </c>
      <c r="C141" s="3"/>
      <c r="D141" s="3"/>
      <c r="E141" s="3"/>
      <c r="F141" s="3" t="s">
        <v>5460</v>
      </c>
      <c r="G141" s="3"/>
      <c r="H141" s="3"/>
      <c r="I141" s="3" t="s">
        <v>5461</v>
      </c>
      <c r="J141" s="3" t="s">
        <v>5462</v>
      </c>
      <c r="K141" s="3"/>
      <c r="L141" s="3"/>
      <c r="M141" s="3"/>
      <c r="N141" s="3"/>
      <c r="O141" s="3"/>
      <c r="P141" s="3"/>
      <c r="Q141" s="3"/>
      <c r="R141" s="3"/>
      <c r="S141" s="3"/>
      <c r="T141" s="3" t="s">
        <v>5463</v>
      </c>
      <c r="U141" s="3"/>
      <c r="V141" s="3"/>
      <c r="W141" s="3"/>
      <c r="X141" s="3"/>
      <c r="Y141" s="3"/>
      <c r="Z141" s="3"/>
      <c r="AA141" s="3"/>
      <c r="AB141" s="3"/>
      <c r="AC141" s="3"/>
      <c r="AD141" s="3"/>
      <c r="AE141" s="3"/>
      <c r="AF141" s="3"/>
      <c r="AG141" s="3"/>
      <c r="AH141" s="3"/>
      <c r="AI141" s="3"/>
      <c r="AJ141" s="3"/>
      <c r="AK141" s="3"/>
      <c r="AL141" s="3"/>
      <c r="AM141" s="3" t="s">
        <v>5464</v>
      </c>
      <c r="AN141" s="3" t="s">
        <v>5465</v>
      </c>
      <c r="AO141" s="3"/>
      <c r="AP141" s="3"/>
      <c r="AQ141" s="3"/>
      <c r="AR141" s="3"/>
      <c r="AS141" s="3">
        <v>2022</v>
      </c>
      <c r="AT141" s="3">
        <v>35</v>
      </c>
      <c r="AU141" s="3">
        <v>25</v>
      </c>
      <c r="AV141" s="3"/>
      <c r="AW141" s="3"/>
      <c r="AX141" s="3"/>
      <c r="AY141" s="3"/>
      <c r="AZ141" s="3">
        <v>9119</v>
      </c>
      <c r="BA141" s="3">
        <v>9121</v>
      </c>
      <c r="BB141" s="3"/>
      <c r="BC141" s="3" t="s">
        <v>5466</v>
      </c>
      <c r="BD141" s="15" t="str">
        <f>HYPERLINK("http://dx.doi.org/10.1080/14767058.2021.2016052","http://dx.doi.org/10.1080/14767058.2021.2016052")</f>
        <v>http://dx.doi.org/10.1080/14767058.2021.2016052</v>
      </c>
      <c r="BE141" s="3"/>
      <c r="BF141" s="3" t="s">
        <v>5467</v>
      </c>
      <c r="BG141" s="3"/>
      <c r="BH141" s="3"/>
      <c r="BI141" s="3">
        <v>34918992</v>
      </c>
      <c r="BJ141" s="3" t="s">
        <v>5468</v>
      </c>
      <c r="BK141" s="3"/>
      <c r="BL141" s="3"/>
      <c r="BM141" s="3"/>
      <c r="BN141" s="3"/>
      <c r="BO141" s="3"/>
      <c r="BP141" s="3"/>
      <c r="BQ141" s="3"/>
      <c r="BR141" s="3"/>
      <c r="BS141" s="3"/>
      <c r="BT141" s="3"/>
      <c r="BU141" s="8" t="s">
        <v>7209</v>
      </c>
      <c r="BV141" s="8" t="s">
        <v>7209</v>
      </c>
      <c r="BW141" s="12" t="s">
        <v>7209</v>
      </c>
    </row>
    <row r="142" spans="1:75" ht="12.75" customHeight="1">
      <c r="A142" s="3" t="s">
        <v>63</v>
      </c>
      <c r="B142" s="3" t="s">
        <v>1001</v>
      </c>
      <c r="C142" s="3"/>
      <c r="D142" s="3"/>
      <c r="E142" s="3"/>
      <c r="F142" s="3" t="s">
        <v>1002</v>
      </c>
      <c r="G142" s="3"/>
      <c r="H142" s="3"/>
      <c r="I142" s="3" t="s">
        <v>1003</v>
      </c>
      <c r="J142" s="3" t="s">
        <v>1004</v>
      </c>
      <c r="K142" s="3"/>
      <c r="L142" s="3"/>
      <c r="M142" s="3"/>
      <c r="N142" s="3"/>
      <c r="O142" s="3"/>
      <c r="P142" s="3"/>
      <c r="Q142" s="3"/>
      <c r="R142" s="3"/>
      <c r="S142" s="3"/>
      <c r="T142" s="3" t="s">
        <v>1005</v>
      </c>
      <c r="U142" s="3"/>
      <c r="V142" s="3"/>
      <c r="W142" s="3"/>
      <c r="X142" s="3"/>
      <c r="Y142" s="3"/>
      <c r="Z142" s="3"/>
      <c r="AA142" s="3"/>
      <c r="AB142" s="3"/>
      <c r="AC142" s="3"/>
      <c r="AD142" s="3"/>
      <c r="AE142" s="3"/>
      <c r="AF142" s="3"/>
      <c r="AG142" s="3"/>
      <c r="AH142" s="3"/>
      <c r="AI142" s="3"/>
      <c r="AJ142" s="3"/>
      <c r="AK142" s="3"/>
      <c r="AL142" s="3"/>
      <c r="AM142" s="3" t="s">
        <v>1006</v>
      </c>
      <c r="AN142" s="3" t="s">
        <v>1007</v>
      </c>
      <c r="AO142" s="3"/>
      <c r="AP142" s="3"/>
      <c r="AQ142" s="3"/>
      <c r="AR142" s="3" t="s">
        <v>65</v>
      </c>
      <c r="AS142" s="3">
        <v>2013</v>
      </c>
      <c r="AT142" s="3">
        <v>16</v>
      </c>
      <c r="AU142" s="3">
        <v>12</v>
      </c>
      <c r="AV142" s="3"/>
      <c r="AW142" s="3"/>
      <c r="AX142" s="3"/>
      <c r="AY142" s="3"/>
      <c r="AZ142" s="3">
        <v>2114</v>
      </c>
      <c r="BA142" s="3">
        <v>2123</v>
      </c>
      <c r="BB142" s="3"/>
      <c r="BC142" s="3" t="s">
        <v>1008</v>
      </c>
      <c r="BD142" s="15" t="str">
        <f>HYPERLINK("http://dx.doi.org/10.1017/S1368980013000967","http://dx.doi.org/10.1017/S1368980013000967")</f>
        <v>http://dx.doi.org/10.1017/S1368980013000967</v>
      </c>
      <c r="BE142" s="3"/>
      <c r="BF142" s="3"/>
      <c r="BG142" s="3"/>
      <c r="BH142" s="3"/>
      <c r="BI142" s="3">
        <v>23651835</v>
      </c>
      <c r="BJ142" s="3" t="s">
        <v>1009</v>
      </c>
      <c r="BK142" s="3"/>
      <c r="BL142" s="3"/>
      <c r="BM142" s="3"/>
      <c r="BN142" s="3"/>
      <c r="BO142" s="3"/>
      <c r="BP142" s="3"/>
      <c r="BQ142" s="3"/>
      <c r="BR142" s="3"/>
      <c r="BS142" s="3"/>
      <c r="BT142" s="3"/>
      <c r="BU142" s="2" t="s">
        <v>7206</v>
      </c>
      <c r="BV142" s="2" t="s">
        <v>7188</v>
      </c>
      <c r="BW142" s="2" t="s">
        <v>7189</v>
      </c>
    </row>
    <row r="143" spans="1:75" ht="12.75" customHeight="1">
      <c r="A143" s="6" t="s">
        <v>63</v>
      </c>
      <c r="B143" s="6" t="s">
        <v>6654</v>
      </c>
      <c r="C143" s="6"/>
      <c r="D143" s="6"/>
      <c r="E143" s="6"/>
      <c r="F143" s="6" t="s">
        <v>6655</v>
      </c>
      <c r="G143" s="6"/>
      <c r="H143" s="6"/>
      <c r="I143" s="6" t="s">
        <v>6656</v>
      </c>
      <c r="J143" s="6" t="s">
        <v>1884</v>
      </c>
      <c r="K143" s="6"/>
      <c r="L143" s="6"/>
      <c r="M143" s="6"/>
      <c r="N143" s="6"/>
      <c r="O143" s="6"/>
      <c r="P143" s="6"/>
      <c r="Q143" s="6"/>
      <c r="R143" s="6"/>
      <c r="S143" s="6"/>
      <c r="T143" s="6" t="s">
        <v>6657</v>
      </c>
      <c r="U143" s="6"/>
      <c r="V143" s="6"/>
      <c r="W143" s="6"/>
      <c r="X143" s="6"/>
      <c r="Y143" s="6" t="s">
        <v>6658</v>
      </c>
      <c r="Z143" s="6" t="s">
        <v>6659</v>
      </c>
      <c r="AA143" s="6"/>
      <c r="AB143" s="6"/>
      <c r="AC143" s="6"/>
      <c r="AD143" s="6"/>
      <c r="AE143" s="6"/>
      <c r="AF143" s="6"/>
      <c r="AG143" s="6"/>
      <c r="AH143" s="6"/>
      <c r="AI143" s="6"/>
      <c r="AJ143" s="6"/>
      <c r="AK143" s="6"/>
      <c r="AL143" s="6"/>
      <c r="AM143" s="6" t="s">
        <v>1888</v>
      </c>
      <c r="AN143" s="6" t="s">
        <v>1889</v>
      </c>
      <c r="AO143" s="6"/>
      <c r="AP143" s="6"/>
      <c r="AQ143" s="6"/>
      <c r="AR143" s="6" t="s">
        <v>66</v>
      </c>
      <c r="AS143" s="6">
        <v>2024</v>
      </c>
      <c r="AT143" s="6">
        <v>16</v>
      </c>
      <c r="AU143" s="6">
        <v>3</v>
      </c>
      <c r="AV143" s="6"/>
      <c r="AW143" s="6"/>
      <c r="AX143" s="6"/>
      <c r="AY143" s="6"/>
      <c r="AZ143" s="6">
        <v>595</v>
      </c>
      <c r="BA143" s="6">
        <v>606</v>
      </c>
      <c r="BB143" s="6"/>
      <c r="BC143" s="6" t="s">
        <v>6660</v>
      </c>
      <c r="BD143" s="9" t="str">
        <f>HYPERLINK("http://dx.doi.org/10.1007/s12571-024-01450-3","http://dx.doi.org/10.1007/s12571-024-01450-3")</f>
        <v>http://dx.doi.org/10.1007/s12571-024-01450-3</v>
      </c>
      <c r="BE143" s="6"/>
      <c r="BF143" s="6" t="s">
        <v>6661</v>
      </c>
      <c r="BG143" s="6"/>
      <c r="BH143" s="6"/>
      <c r="BI143" s="6"/>
      <c r="BJ143" s="6" t="s">
        <v>6662</v>
      </c>
      <c r="BK143" s="6"/>
      <c r="BL143" s="6"/>
      <c r="BM143" s="6"/>
      <c r="BN143" s="6"/>
      <c r="BO143" s="6"/>
      <c r="BP143" s="6"/>
      <c r="BQ143" s="6"/>
      <c r="BR143" s="6"/>
      <c r="BS143" s="6"/>
      <c r="BT143" s="6"/>
      <c r="BU143" s="8" t="s">
        <v>7279</v>
      </c>
      <c r="BV143" s="8" t="s">
        <v>3516</v>
      </c>
      <c r="BW143" s="8" t="s">
        <v>7196</v>
      </c>
    </row>
    <row r="144" spans="1:75" ht="12.75" customHeight="1">
      <c r="A144" s="3" t="s">
        <v>63</v>
      </c>
      <c r="B144" s="3" t="s">
        <v>578</v>
      </c>
      <c r="C144" s="3"/>
      <c r="D144" s="3"/>
      <c r="E144" s="3"/>
      <c r="F144" s="3" t="s">
        <v>579</v>
      </c>
      <c r="G144" s="3"/>
      <c r="H144" s="3"/>
      <c r="I144" s="3" t="s">
        <v>580</v>
      </c>
      <c r="J144" s="3" t="s">
        <v>581</v>
      </c>
      <c r="K144" s="3"/>
      <c r="L144" s="3"/>
      <c r="M144" s="3"/>
      <c r="N144" s="3"/>
      <c r="O144" s="3"/>
      <c r="P144" s="3"/>
      <c r="Q144" s="3"/>
      <c r="R144" s="3"/>
      <c r="S144" s="3"/>
      <c r="T144" s="3" t="s">
        <v>582</v>
      </c>
      <c r="U144" s="3"/>
      <c r="V144" s="3"/>
      <c r="W144" s="3"/>
      <c r="X144" s="3"/>
      <c r="Y144" s="3"/>
      <c r="Z144" s="3"/>
      <c r="AA144" s="3"/>
      <c r="AB144" s="3"/>
      <c r="AC144" s="3"/>
      <c r="AD144" s="3"/>
      <c r="AE144" s="3"/>
      <c r="AF144" s="3"/>
      <c r="AG144" s="3"/>
      <c r="AH144" s="3"/>
      <c r="AI144" s="3"/>
      <c r="AJ144" s="3"/>
      <c r="AK144" s="3"/>
      <c r="AL144" s="3"/>
      <c r="AM144" s="3" t="s">
        <v>583</v>
      </c>
      <c r="AN144" s="3" t="s">
        <v>584</v>
      </c>
      <c r="AO144" s="3"/>
      <c r="AP144" s="3"/>
      <c r="AQ144" s="3"/>
      <c r="AR144" s="3" t="s">
        <v>527</v>
      </c>
      <c r="AS144" s="3">
        <v>2011</v>
      </c>
      <c r="AT144" s="3">
        <v>34</v>
      </c>
      <c r="AU144" s="3">
        <v>1</v>
      </c>
      <c r="AV144" s="3"/>
      <c r="AW144" s="3">
        <v>1</v>
      </c>
      <c r="AX144" s="3"/>
      <c r="AY144" s="3"/>
      <c r="AZ144" s="3" t="s">
        <v>585</v>
      </c>
      <c r="BA144" s="3" t="s">
        <v>586</v>
      </c>
      <c r="BB144" s="3"/>
      <c r="BC144" s="3" t="s">
        <v>587</v>
      </c>
      <c r="BD144" s="15" t="str">
        <f>HYPERLINK("http://dx.doi.org/10.1097/FCH.0b013e318202a87f","http://dx.doi.org/10.1097/FCH.0b013e318202a87f")</f>
        <v>http://dx.doi.org/10.1097/FCH.0b013e318202a87f</v>
      </c>
      <c r="BE144" s="3"/>
      <c r="BF144" s="3"/>
      <c r="BG144" s="3"/>
      <c r="BH144" s="3"/>
      <c r="BI144" s="3">
        <v>21160336</v>
      </c>
      <c r="BJ144" s="3" t="s">
        <v>588</v>
      </c>
      <c r="BK144" s="3"/>
      <c r="BL144" s="3"/>
      <c r="BM144" s="3"/>
      <c r="BN144" s="3"/>
      <c r="BO144" s="3"/>
      <c r="BP144" s="3"/>
      <c r="BQ144" s="3"/>
      <c r="BR144" s="3"/>
      <c r="BS144" s="3"/>
      <c r="BT144" s="3"/>
      <c r="BU144" s="2" t="s">
        <v>7187</v>
      </c>
      <c r="BV144" s="2" t="s">
        <v>7188</v>
      </c>
      <c r="BW144" s="2" t="s">
        <v>7189</v>
      </c>
    </row>
    <row r="145" spans="1:75" ht="12.75" customHeight="1">
      <c r="A145" s="6" t="s">
        <v>63</v>
      </c>
      <c r="B145" s="6" t="s">
        <v>6663</v>
      </c>
      <c r="C145" s="6"/>
      <c r="D145" s="6"/>
      <c r="E145" s="6"/>
      <c r="F145" s="6" t="s">
        <v>6664</v>
      </c>
      <c r="G145" s="6"/>
      <c r="H145" s="6"/>
      <c r="I145" s="6" t="s">
        <v>6665</v>
      </c>
      <c r="J145" s="6" t="s">
        <v>3721</v>
      </c>
      <c r="K145" s="6"/>
      <c r="L145" s="6"/>
      <c r="M145" s="6"/>
      <c r="N145" s="6"/>
      <c r="O145" s="6"/>
      <c r="P145" s="6"/>
      <c r="Q145" s="6"/>
      <c r="R145" s="6"/>
      <c r="S145" s="6"/>
      <c r="T145" s="6" t="s">
        <v>6666</v>
      </c>
      <c r="U145" s="6"/>
      <c r="V145" s="6"/>
      <c r="W145" s="6"/>
      <c r="X145" s="6"/>
      <c r="Y145" s="6" t="s">
        <v>6667</v>
      </c>
      <c r="Z145" s="6" t="s">
        <v>6668</v>
      </c>
      <c r="AA145" s="6"/>
      <c r="AB145" s="6"/>
      <c r="AC145" s="6"/>
      <c r="AD145" s="6"/>
      <c r="AE145" s="6"/>
      <c r="AF145" s="6"/>
      <c r="AG145" s="6"/>
      <c r="AH145" s="6"/>
      <c r="AI145" s="6"/>
      <c r="AJ145" s="6"/>
      <c r="AK145" s="6"/>
      <c r="AL145" s="6"/>
      <c r="AM145" s="6"/>
      <c r="AN145" s="6" t="s">
        <v>3723</v>
      </c>
      <c r="AO145" s="6"/>
      <c r="AP145" s="6"/>
      <c r="AQ145" s="6"/>
      <c r="AR145" s="6" t="s">
        <v>133</v>
      </c>
      <c r="AS145" s="6">
        <v>2024</v>
      </c>
      <c r="AT145" s="6">
        <v>16</v>
      </c>
      <c r="AU145" s="6">
        <v>1</v>
      </c>
      <c r="AV145" s="6"/>
      <c r="AW145" s="6"/>
      <c r="AX145" s="6"/>
      <c r="AY145" s="6"/>
      <c r="AZ145" s="6"/>
      <c r="BA145" s="6"/>
      <c r="BB145" s="6">
        <v>156</v>
      </c>
      <c r="BC145" s="6" t="s">
        <v>6669</v>
      </c>
      <c r="BD145" s="9" t="str">
        <f>HYPERLINK("http://dx.doi.org/10.3390/nu16010156","http://dx.doi.org/10.3390/nu16010156")</f>
        <v>http://dx.doi.org/10.3390/nu16010156</v>
      </c>
      <c r="BE145" s="6"/>
      <c r="BF145" s="6"/>
      <c r="BG145" s="6"/>
      <c r="BH145" s="6"/>
      <c r="BI145" s="6">
        <v>38201985</v>
      </c>
      <c r="BJ145" s="6" t="s">
        <v>6670</v>
      </c>
      <c r="BK145" s="6"/>
      <c r="BL145" s="6"/>
      <c r="BM145" s="6"/>
      <c r="BN145" s="6"/>
      <c r="BO145" s="6"/>
      <c r="BP145" s="6"/>
      <c r="BQ145" s="6"/>
      <c r="BR145" s="6"/>
      <c r="BS145" s="6"/>
      <c r="BT145" s="6"/>
      <c r="BU145" s="8" t="s">
        <v>7280</v>
      </c>
      <c r="BV145" s="8" t="s">
        <v>3516</v>
      </c>
      <c r="BW145" s="8" t="s">
        <v>7196</v>
      </c>
    </row>
    <row r="146" spans="1:75" ht="12.75" customHeight="1">
      <c r="A146" s="6" t="s">
        <v>63</v>
      </c>
      <c r="B146" s="6" t="s">
        <v>4847</v>
      </c>
      <c r="C146" s="6"/>
      <c r="D146" s="6"/>
      <c r="E146" s="6"/>
      <c r="F146" s="6" t="s">
        <v>4848</v>
      </c>
      <c r="G146" s="6"/>
      <c r="H146" s="6"/>
      <c r="I146" s="6" t="s">
        <v>4849</v>
      </c>
      <c r="J146" s="6" t="s">
        <v>1142</v>
      </c>
      <c r="K146" s="6"/>
      <c r="L146" s="6"/>
      <c r="M146" s="6"/>
      <c r="N146" s="6"/>
      <c r="O146" s="6"/>
      <c r="P146" s="6"/>
      <c r="Q146" s="6"/>
      <c r="R146" s="6"/>
      <c r="S146" s="6"/>
      <c r="T146" s="6" t="s">
        <v>4850</v>
      </c>
      <c r="U146" s="6"/>
      <c r="V146" s="6"/>
      <c r="W146" s="6"/>
      <c r="X146" s="6"/>
      <c r="Y146" s="6"/>
      <c r="Z146" s="6" t="s">
        <v>4851</v>
      </c>
      <c r="AA146" s="6"/>
      <c r="AB146" s="6"/>
      <c r="AC146" s="6"/>
      <c r="AD146" s="6"/>
      <c r="AE146" s="6"/>
      <c r="AF146" s="6"/>
      <c r="AG146" s="6"/>
      <c r="AH146" s="6"/>
      <c r="AI146" s="6"/>
      <c r="AJ146" s="6"/>
      <c r="AK146" s="6"/>
      <c r="AL146" s="6"/>
      <c r="AM146" s="6"/>
      <c r="AN146" s="6" t="s">
        <v>1144</v>
      </c>
      <c r="AO146" s="6"/>
      <c r="AP146" s="6"/>
      <c r="AQ146" s="6"/>
      <c r="AR146" s="6" t="s">
        <v>92</v>
      </c>
      <c r="AS146" s="6">
        <v>2021</v>
      </c>
      <c r="AT146" s="6">
        <v>18</v>
      </c>
      <c r="AU146" s="6">
        <v>19</v>
      </c>
      <c r="AV146" s="6"/>
      <c r="AW146" s="6"/>
      <c r="AX146" s="6"/>
      <c r="AY146" s="6"/>
      <c r="AZ146" s="6"/>
      <c r="BA146" s="6"/>
      <c r="BB146" s="6">
        <v>10297</v>
      </c>
      <c r="BC146" s="6" t="s">
        <v>4852</v>
      </c>
      <c r="BD146" s="9" t="str">
        <f>HYPERLINK("http://dx.doi.org/10.3390/ijerph181910297","http://dx.doi.org/10.3390/ijerph181910297")</f>
        <v>http://dx.doi.org/10.3390/ijerph181910297</v>
      </c>
      <c r="BE146" s="6"/>
      <c r="BF146" s="6"/>
      <c r="BG146" s="6"/>
      <c r="BH146" s="6"/>
      <c r="BI146" s="6">
        <v>34639596</v>
      </c>
      <c r="BJ146" s="6" t="s">
        <v>4853</v>
      </c>
      <c r="BK146" s="6"/>
      <c r="BL146" s="6"/>
      <c r="BM146" s="6"/>
      <c r="BN146" s="6"/>
      <c r="BO146" s="6"/>
      <c r="BP146" s="6"/>
      <c r="BQ146" s="6"/>
      <c r="BR146" s="6"/>
      <c r="BS146" s="6"/>
      <c r="BT146" s="6"/>
      <c r="BU146" s="8" t="s">
        <v>7281</v>
      </c>
      <c r="BV146" s="8" t="s">
        <v>7188</v>
      </c>
      <c r="BW146" s="8" t="s">
        <v>7189</v>
      </c>
    </row>
    <row r="147" spans="1:75" ht="12.75" customHeight="1">
      <c r="A147" s="6" t="s">
        <v>63</v>
      </c>
      <c r="B147" s="6" t="s">
        <v>2758</v>
      </c>
      <c r="C147" s="6"/>
      <c r="D147" s="6"/>
      <c r="E147" s="6"/>
      <c r="F147" s="6" t="s">
        <v>2759</v>
      </c>
      <c r="G147" s="6"/>
      <c r="H147" s="6"/>
      <c r="I147" s="6" t="s">
        <v>2760</v>
      </c>
      <c r="J147" s="6" t="s">
        <v>87</v>
      </c>
      <c r="K147" s="6"/>
      <c r="L147" s="6"/>
      <c r="M147" s="6"/>
      <c r="N147" s="6"/>
      <c r="O147" s="6"/>
      <c r="P147" s="6"/>
      <c r="Q147" s="6"/>
      <c r="R147" s="6"/>
      <c r="S147" s="6"/>
      <c r="T147" s="6" t="s">
        <v>2761</v>
      </c>
      <c r="U147" s="6"/>
      <c r="V147" s="6"/>
      <c r="W147" s="6"/>
      <c r="X147" s="6"/>
      <c r="Y147" s="6"/>
      <c r="Z147" s="6"/>
      <c r="AA147" s="6"/>
      <c r="AB147" s="6"/>
      <c r="AC147" s="6"/>
      <c r="AD147" s="6"/>
      <c r="AE147" s="6"/>
      <c r="AF147" s="6"/>
      <c r="AG147" s="6"/>
      <c r="AH147" s="6"/>
      <c r="AI147" s="6"/>
      <c r="AJ147" s="6"/>
      <c r="AK147" s="6"/>
      <c r="AL147" s="6"/>
      <c r="AM147" s="6" t="s">
        <v>91</v>
      </c>
      <c r="AN147" s="6" t="s">
        <v>113</v>
      </c>
      <c r="AO147" s="6"/>
      <c r="AP147" s="6"/>
      <c r="AQ147" s="6"/>
      <c r="AR147" s="6" t="s">
        <v>64</v>
      </c>
      <c r="AS147" s="6">
        <v>2017</v>
      </c>
      <c r="AT147" s="6">
        <v>54</v>
      </c>
      <c r="AU147" s="6">
        <v>15</v>
      </c>
      <c r="AV147" s="6"/>
      <c r="AW147" s="6"/>
      <c r="AX147" s="6"/>
      <c r="AY147" s="6"/>
      <c r="AZ147" s="6">
        <v>3560</v>
      </c>
      <c r="BA147" s="6">
        <v>3578</v>
      </c>
      <c r="BB147" s="6"/>
      <c r="BC147" s="6" t="s">
        <v>2762</v>
      </c>
      <c r="BD147" s="9" t="str">
        <f>HYPERLINK("http://dx.doi.org/10.1177/0042098016677450","http://dx.doi.org/10.1177/0042098016677450")</f>
        <v>http://dx.doi.org/10.1177/0042098016677450</v>
      </c>
      <c r="BE147" s="6"/>
      <c r="BF147" s="6"/>
      <c r="BG147" s="6"/>
      <c r="BH147" s="6"/>
      <c r="BI147" s="6"/>
      <c r="BJ147" s="6" t="s">
        <v>2763</v>
      </c>
      <c r="BK147" s="6"/>
      <c r="BL147" s="6"/>
      <c r="BM147" s="6"/>
      <c r="BN147" s="6"/>
      <c r="BO147" s="6"/>
      <c r="BP147" s="6"/>
      <c r="BQ147" s="6"/>
      <c r="BR147" s="6"/>
      <c r="BS147" s="6"/>
      <c r="BT147" s="6"/>
      <c r="BU147" s="8" t="s">
        <v>7193</v>
      </c>
      <c r="BV147" s="8" t="s">
        <v>5215</v>
      </c>
      <c r="BW147" s="8" t="s">
        <v>7245</v>
      </c>
    </row>
    <row r="148" spans="1:75" ht="12.75" customHeight="1">
      <c r="A148" s="6" t="s">
        <v>63</v>
      </c>
      <c r="B148" s="6" t="s">
        <v>3288</v>
      </c>
      <c r="C148" s="6"/>
      <c r="D148" s="6"/>
      <c r="E148" s="6"/>
      <c r="F148" s="6" t="s">
        <v>3289</v>
      </c>
      <c r="G148" s="6"/>
      <c r="H148" s="6"/>
      <c r="I148" s="6" t="s">
        <v>3290</v>
      </c>
      <c r="J148" s="6" t="s">
        <v>3291</v>
      </c>
      <c r="K148" s="6"/>
      <c r="L148" s="6"/>
      <c r="M148" s="6"/>
      <c r="N148" s="6"/>
      <c r="O148" s="6"/>
      <c r="P148" s="6"/>
      <c r="Q148" s="6"/>
      <c r="R148" s="6"/>
      <c r="S148" s="6"/>
      <c r="T148" s="6" t="s">
        <v>3292</v>
      </c>
      <c r="U148" s="6"/>
      <c r="V148" s="6"/>
      <c r="W148" s="6"/>
      <c r="X148" s="6"/>
      <c r="Y148" s="6"/>
      <c r="Z148" s="6" t="s">
        <v>3293</v>
      </c>
      <c r="AA148" s="6"/>
      <c r="AB148" s="6"/>
      <c r="AC148" s="6"/>
      <c r="AD148" s="6"/>
      <c r="AE148" s="6"/>
      <c r="AF148" s="6"/>
      <c r="AG148" s="6"/>
      <c r="AH148" s="6"/>
      <c r="AI148" s="6"/>
      <c r="AJ148" s="6"/>
      <c r="AK148" s="6"/>
      <c r="AL148" s="6"/>
      <c r="AM148" s="6" t="s">
        <v>3294</v>
      </c>
      <c r="AN148" s="6"/>
      <c r="AO148" s="6"/>
      <c r="AP148" s="6"/>
      <c r="AQ148" s="6"/>
      <c r="AR148" s="6"/>
      <c r="AS148" s="6">
        <v>2018</v>
      </c>
      <c r="AT148" s="6">
        <v>149</v>
      </c>
      <c r="AU148" s="6">
        <v>1</v>
      </c>
      <c r="AV148" s="6"/>
      <c r="AW148" s="6"/>
      <c r="AX148" s="6"/>
      <c r="AY148" s="6"/>
      <c r="AZ148" s="6">
        <v>25</v>
      </c>
      <c r="BA148" s="6">
        <v>43</v>
      </c>
      <c r="BB148" s="6"/>
      <c r="BC148" s="6" t="s">
        <v>3295</v>
      </c>
      <c r="BD148" s="9" t="str">
        <f>HYPERLINK("http://dx.doi.org/10.12854/erde-149-56","http://dx.doi.org/10.12854/erde-149-56")</f>
        <v>http://dx.doi.org/10.12854/erde-149-56</v>
      </c>
      <c r="BE148" s="6"/>
      <c r="BF148" s="6"/>
      <c r="BG148" s="6"/>
      <c r="BH148" s="6"/>
      <c r="BI148" s="6"/>
      <c r="BJ148" s="6" t="s">
        <v>3296</v>
      </c>
      <c r="BK148" s="6"/>
      <c r="BL148" s="6"/>
      <c r="BM148" s="6"/>
      <c r="BN148" s="6"/>
      <c r="BO148" s="6"/>
      <c r="BP148" s="6"/>
      <c r="BQ148" s="6"/>
      <c r="BR148" s="6"/>
      <c r="BS148" s="6"/>
      <c r="BT148" s="6"/>
      <c r="BU148" s="8" t="s">
        <v>7282</v>
      </c>
      <c r="BV148" s="8" t="s">
        <v>7234</v>
      </c>
      <c r="BW148" s="8" t="s">
        <v>7205</v>
      </c>
    </row>
    <row r="149" spans="1:75" ht="12.75" customHeight="1">
      <c r="A149" s="4" t="s">
        <v>63</v>
      </c>
      <c r="B149" s="4" t="s">
        <v>6110</v>
      </c>
      <c r="C149" s="4"/>
      <c r="D149" s="4"/>
      <c r="E149" s="4"/>
      <c r="F149" s="4" t="s">
        <v>6111</v>
      </c>
      <c r="G149" s="4"/>
      <c r="H149" s="4"/>
      <c r="I149" s="4" t="s">
        <v>6112</v>
      </c>
      <c r="J149" s="4" t="s">
        <v>6113</v>
      </c>
      <c r="K149" s="4"/>
      <c r="L149" s="4"/>
      <c r="M149" s="4"/>
      <c r="N149" s="4"/>
      <c r="O149" s="4"/>
      <c r="P149" s="4"/>
      <c r="Q149" s="4"/>
      <c r="R149" s="4"/>
      <c r="S149" s="4"/>
      <c r="T149" s="4" t="s">
        <v>6114</v>
      </c>
      <c r="U149" s="4"/>
      <c r="V149" s="4"/>
      <c r="W149" s="4"/>
      <c r="X149" s="4"/>
      <c r="Y149" s="4" t="s">
        <v>6115</v>
      </c>
      <c r="Z149" s="4" t="s">
        <v>6116</v>
      </c>
      <c r="AA149" s="4"/>
      <c r="AB149" s="4"/>
      <c r="AC149" s="4"/>
      <c r="AD149" s="4"/>
      <c r="AE149" s="4"/>
      <c r="AF149" s="4"/>
      <c r="AG149" s="4"/>
      <c r="AH149" s="4"/>
      <c r="AI149" s="4"/>
      <c r="AJ149" s="4"/>
      <c r="AK149" s="4"/>
      <c r="AL149" s="4"/>
      <c r="AM149" s="4"/>
      <c r="AN149" s="4" t="s">
        <v>6117</v>
      </c>
      <c r="AO149" s="4"/>
      <c r="AP149" s="4"/>
      <c r="AQ149" s="4"/>
      <c r="AR149" s="4" t="s">
        <v>133</v>
      </c>
      <c r="AS149" s="4">
        <v>2023</v>
      </c>
      <c r="AT149" s="4">
        <v>10</v>
      </c>
      <c r="AU149" s="4">
        <v>1</v>
      </c>
      <c r="AV149" s="4"/>
      <c r="AW149" s="4"/>
      <c r="AX149" s="4"/>
      <c r="AY149" s="4"/>
      <c r="AZ149" s="4"/>
      <c r="BA149" s="4"/>
      <c r="BB149" s="4">
        <v>98</v>
      </c>
      <c r="BC149" s="4" t="s">
        <v>6118</v>
      </c>
      <c r="BD149" s="5" t="str">
        <f>HYPERLINK("http://dx.doi.org/10.3390/children10010098","http://dx.doi.org/10.3390/children10010098")</f>
        <v>http://dx.doi.org/10.3390/children10010098</v>
      </c>
      <c r="BE149" s="4"/>
      <c r="BF149" s="4"/>
      <c r="BG149" s="4"/>
      <c r="BH149" s="4"/>
      <c r="BI149" s="4">
        <v>36670647</v>
      </c>
      <c r="BJ149" s="4" t="s">
        <v>6119</v>
      </c>
      <c r="BK149" s="4"/>
      <c r="BL149" s="4"/>
      <c r="BM149" s="4"/>
      <c r="BN149" s="4"/>
      <c r="BO149" s="4"/>
      <c r="BP149" s="4"/>
      <c r="BQ149" s="4"/>
      <c r="BR149" s="4"/>
      <c r="BS149" s="4"/>
      <c r="BT149" s="4"/>
      <c r="BU149" s="12" t="s">
        <v>7283</v>
      </c>
      <c r="BV149" s="12" t="s">
        <v>7284</v>
      </c>
      <c r="BW149" s="12" t="s">
        <v>7189</v>
      </c>
    </row>
    <row r="150" spans="1:75" ht="12.75" customHeight="1">
      <c r="A150" s="3" t="s">
        <v>63</v>
      </c>
      <c r="B150" s="3" t="s">
        <v>6120</v>
      </c>
      <c r="C150" s="3"/>
      <c r="D150" s="3"/>
      <c r="E150" s="3"/>
      <c r="F150" s="3" t="s">
        <v>6121</v>
      </c>
      <c r="G150" s="3"/>
      <c r="H150" s="3"/>
      <c r="I150" s="3" t="s">
        <v>6122</v>
      </c>
      <c r="J150" s="3" t="s">
        <v>6123</v>
      </c>
      <c r="K150" s="3"/>
      <c r="L150" s="3"/>
      <c r="M150" s="3"/>
      <c r="N150" s="3"/>
      <c r="O150" s="3"/>
      <c r="P150" s="3"/>
      <c r="Q150" s="3"/>
      <c r="R150" s="3"/>
      <c r="S150" s="3"/>
      <c r="T150" s="3" t="s">
        <v>6124</v>
      </c>
      <c r="U150" s="3"/>
      <c r="V150" s="3"/>
      <c r="W150" s="3"/>
      <c r="X150" s="3"/>
      <c r="Y150" s="3" t="s">
        <v>6125</v>
      </c>
      <c r="Z150" s="3"/>
      <c r="AA150" s="3"/>
      <c r="AB150" s="3"/>
      <c r="AC150" s="3"/>
      <c r="AD150" s="3"/>
      <c r="AE150" s="3"/>
      <c r="AF150" s="3"/>
      <c r="AG150" s="3"/>
      <c r="AH150" s="3"/>
      <c r="AI150" s="3"/>
      <c r="AJ150" s="3"/>
      <c r="AK150" s="3"/>
      <c r="AL150" s="3"/>
      <c r="AM150" s="3" t="s">
        <v>6126</v>
      </c>
      <c r="AN150" s="3" t="s">
        <v>6127</v>
      </c>
      <c r="AO150" s="3"/>
      <c r="AP150" s="3"/>
      <c r="AQ150" s="3"/>
      <c r="AR150" s="3" t="s">
        <v>67</v>
      </c>
      <c r="AS150" s="3">
        <v>2023</v>
      </c>
      <c r="AT150" s="3">
        <v>59</v>
      </c>
      <c r="AU150" s="3">
        <v>2</v>
      </c>
      <c r="AV150" s="3"/>
      <c r="AW150" s="3"/>
      <c r="AX150" s="3"/>
      <c r="AY150" s="3"/>
      <c r="AZ150" s="3">
        <v>357</v>
      </c>
      <c r="BA150" s="3">
        <v>362</v>
      </c>
      <c r="BB150" s="3"/>
      <c r="BC150" s="3" t="s">
        <v>6128</v>
      </c>
      <c r="BD150" s="15" t="str">
        <f>HYPERLINK("http://dx.doi.org/10.1007/s10597-022-01013-w","http://dx.doi.org/10.1007/s10597-022-01013-w")</f>
        <v>http://dx.doi.org/10.1007/s10597-022-01013-w</v>
      </c>
      <c r="BE150" s="3"/>
      <c r="BF150" s="3" t="s">
        <v>5810</v>
      </c>
      <c r="BG150" s="3"/>
      <c r="BH150" s="3"/>
      <c r="BI150" s="3">
        <v>35963919</v>
      </c>
      <c r="BJ150" s="3" t="s">
        <v>6129</v>
      </c>
      <c r="BK150" s="3"/>
      <c r="BL150" s="3"/>
      <c r="BM150" s="3"/>
      <c r="BN150" s="3"/>
      <c r="BO150" s="3"/>
      <c r="BP150" s="3"/>
      <c r="BQ150" s="3"/>
      <c r="BR150" s="3"/>
      <c r="BS150" s="3"/>
      <c r="BT150" s="3"/>
      <c r="BU150" s="1" t="s">
        <v>7285</v>
      </c>
      <c r="BV150" s="2" t="s">
        <v>7188</v>
      </c>
      <c r="BW150" s="2" t="s">
        <v>7189</v>
      </c>
    </row>
    <row r="151" spans="1:75" ht="12.75" customHeight="1">
      <c r="A151" s="6" t="s">
        <v>63</v>
      </c>
      <c r="B151" s="6" t="s">
        <v>190</v>
      </c>
      <c r="C151" s="6"/>
      <c r="D151" s="6"/>
      <c r="E151" s="6"/>
      <c r="F151" s="6" t="s">
        <v>191</v>
      </c>
      <c r="G151" s="6"/>
      <c r="H151" s="6"/>
      <c r="I151" s="6" t="s">
        <v>192</v>
      </c>
      <c r="J151" s="6" t="s">
        <v>193</v>
      </c>
      <c r="K151" s="6"/>
      <c r="L151" s="6"/>
      <c r="M151" s="6"/>
      <c r="N151" s="6"/>
      <c r="O151" s="6"/>
      <c r="P151" s="6"/>
      <c r="Q151" s="6"/>
      <c r="R151" s="6"/>
      <c r="S151" s="6"/>
      <c r="T151" s="6" t="s">
        <v>194</v>
      </c>
      <c r="U151" s="6"/>
      <c r="V151" s="6"/>
      <c r="W151" s="6"/>
      <c r="X151" s="6"/>
      <c r="Y151" s="6" t="s">
        <v>195</v>
      </c>
      <c r="Z151" s="6" t="s">
        <v>196</v>
      </c>
      <c r="AA151" s="6"/>
      <c r="AB151" s="6"/>
      <c r="AC151" s="6"/>
      <c r="AD151" s="6"/>
      <c r="AE151" s="6"/>
      <c r="AF151" s="6"/>
      <c r="AG151" s="6"/>
      <c r="AH151" s="6"/>
      <c r="AI151" s="6"/>
      <c r="AJ151" s="6"/>
      <c r="AK151" s="6"/>
      <c r="AL151" s="6"/>
      <c r="AM151" s="6" t="s">
        <v>197</v>
      </c>
      <c r="AN151" s="6" t="s">
        <v>198</v>
      </c>
      <c r="AO151" s="6"/>
      <c r="AP151" s="6"/>
      <c r="AQ151" s="6"/>
      <c r="AR151" s="6" t="s">
        <v>121</v>
      </c>
      <c r="AS151" s="6">
        <v>2006</v>
      </c>
      <c r="AT151" s="6">
        <v>58</v>
      </c>
      <c r="AU151" s="6">
        <v>3</v>
      </c>
      <c r="AV151" s="6"/>
      <c r="AW151" s="6"/>
      <c r="AX151" s="6"/>
      <c r="AY151" s="6"/>
      <c r="AZ151" s="6">
        <v>307</v>
      </c>
      <c r="BA151" s="6">
        <v>326</v>
      </c>
      <c r="BB151" s="6"/>
      <c r="BC151" s="6" t="s">
        <v>199</v>
      </c>
      <c r="BD151" s="9" t="str">
        <f>HYPERLINK("http://dx.doi.org/10.1111/j.1467-9272.2006.00570.x","http://dx.doi.org/10.1111/j.1467-9272.2006.00570.x")</f>
        <v>http://dx.doi.org/10.1111/j.1467-9272.2006.00570.x</v>
      </c>
      <c r="BE151" s="6"/>
      <c r="BF151" s="6"/>
      <c r="BG151" s="6"/>
      <c r="BH151" s="6"/>
      <c r="BI151" s="6"/>
      <c r="BJ151" s="6" t="s">
        <v>200</v>
      </c>
      <c r="BK151" s="6"/>
      <c r="BL151" s="6"/>
      <c r="BM151" s="6"/>
      <c r="BN151" s="6"/>
      <c r="BO151" s="6"/>
      <c r="BP151" s="6"/>
      <c r="BQ151" s="6"/>
      <c r="BR151" s="6"/>
      <c r="BS151" s="6"/>
      <c r="BT151" s="6"/>
      <c r="BU151" s="8" t="s">
        <v>7237</v>
      </c>
      <c r="BV151" s="8" t="s">
        <v>2039</v>
      </c>
      <c r="BW151" s="8" t="s">
        <v>7189</v>
      </c>
    </row>
    <row r="152" spans="1:75" ht="12.75" customHeight="1">
      <c r="A152" s="3" t="s">
        <v>63</v>
      </c>
      <c r="B152" s="3" t="s">
        <v>6130</v>
      </c>
      <c r="C152" s="3"/>
      <c r="D152" s="3"/>
      <c r="E152" s="3"/>
      <c r="F152" s="3" t="s">
        <v>6131</v>
      </c>
      <c r="G152" s="3"/>
      <c r="H152" s="3"/>
      <c r="I152" s="3" t="s">
        <v>6132</v>
      </c>
      <c r="J152" s="3" t="s">
        <v>5815</v>
      </c>
      <c r="K152" s="3"/>
      <c r="L152" s="3"/>
      <c r="M152" s="3"/>
      <c r="N152" s="3"/>
      <c r="O152" s="3"/>
      <c r="P152" s="3"/>
      <c r="Q152" s="3"/>
      <c r="R152" s="3"/>
      <c r="S152" s="3"/>
      <c r="T152" s="3" t="s">
        <v>6133</v>
      </c>
      <c r="U152" s="3"/>
      <c r="V152" s="3"/>
      <c r="W152" s="3"/>
      <c r="X152" s="3"/>
      <c r="Y152" s="3" t="s">
        <v>6134</v>
      </c>
      <c r="Z152" s="3"/>
      <c r="AA152" s="3"/>
      <c r="AB152" s="3"/>
      <c r="AC152" s="3"/>
      <c r="AD152" s="3"/>
      <c r="AE152" s="3"/>
      <c r="AF152" s="3"/>
      <c r="AG152" s="3"/>
      <c r="AH152" s="3"/>
      <c r="AI152" s="3"/>
      <c r="AJ152" s="3"/>
      <c r="AK152" s="3"/>
      <c r="AL152" s="3"/>
      <c r="AM152" s="3" t="s">
        <v>5819</v>
      </c>
      <c r="AN152" s="3"/>
      <c r="AO152" s="3"/>
      <c r="AP152" s="3"/>
      <c r="AQ152" s="3"/>
      <c r="AR152" s="3" t="s">
        <v>4161</v>
      </c>
      <c r="AS152" s="3">
        <v>2023</v>
      </c>
      <c r="AT152" s="3">
        <v>13</v>
      </c>
      <c r="AU152" s="3">
        <v>1</v>
      </c>
      <c r="AV152" s="3"/>
      <c r="AW152" s="3"/>
      <c r="AX152" s="3"/>
      <c r="AY152" s="3"/>
      <c r="AZ152" s="3"/>
      <c r="BA152" s="3"/>
      <c r="BB152" s="3">
        <v>7197</v>
      </c>
      <c r="BC152" s="3" t="s">
        <v>6135</v>
      </c>
      <c r="BD152" s="15" t="str">
        <f>HYPERLINK("http://dx.doi.org/10.1038/s41598-023-32783-2","http://dx.doi.org/10.1038/s41598-023-32783-2")</f>
        <v>http://dx.doi.org/10.1038/s41598-023-32783-2</v>
      </c>
      <c r="BE152" s="3"/>
      <c r="BF152" s="3"/>
      <c r="BG152" s="3"/>
      <c r="BH152" s="3"/>
      <c r="BI152" s="3">
        <v>37137940</v>
      </c>
      <c r="BJ152" s="3" t="s">
        <v>6136</v>
      </c>
      <c r="BK152" s="3"/>
      <c r="BL152" s="3"/>
      <c r="BM152" s="3"/>
      <c r="BN152" s="3"/>
      <c r="BO152" s="3"/>
      <c r="BP152" s="3"/>
      <c r="BQ152" s="3"/>
      <c r="BR152" s="3"/>
      <c r="BS152" s="3"/>
      <c r="BT152" s="3"/>
      <c r="BU152" s="1" t="s">
        <v>7194</v>
      </c>
      <c r="BV152" s="2" t="s">
        <v>7188</v>
      </c>
      <c r="BW152" s="2" t="s">
        <v>7189</v>
      </c>
    </row>
    <row r="153" spans="1:75" ht="12.75" customHeight="1">
      <c r="A153" s="4" t="s">
        <v>63</v>
      </c>
      <c r="B153" s="4" t="s">
        <v>1740</v>
      </c>
      <c r="C153" s="4"/>
      <c r="D153" s="4"/>
      <c r="E153" s="4"/>
      <c r="F153" s="4" t="s">
        <v>1741</v>
      </c>
      <c r="G153" s="4"/>
      <c r="H153" s="4"/>
      <c r="I153" s="4" t="s">
        <v>1742</v>
      </c>
      <c r="J153" s="4" t="s">
        <v>1743</v>
      </c>
      <c r="K153" s="4"/>
      <c r="L153" s="4"/>
      <c r="M153" s="4"/>
      <c r="N153" s="4"/>
      <c r="O153" s="4"/>
      <c r="P153" s="4"/>
      <c r="Q153" s="4"/>
      <c r="R153" s="4"/>
      <c r="S153" s="4"/>
      <c r="T153" s="4" t="s">
        <v>1744</v>
      </c>
      <c r="U153" s="4"/>
      <c r="V153" s="4"/>
      <c r="W153" s="4"/>
      <c r="X153" s="4"/>
      <c r="Y153" s="4"/>
      <c r="Z153" s="4"/>
      <c r="AA153" s="4"/>
      <c r="AB153" s="4"/>
      <c r="AC153" s="4"/>
      <c r="AD153" s="4"/>
      <c r="AE153" s="4"/>
      <c r="AF153" s="4"/>
      <c r="AG153" s="4"/>
      <c r="AH153" s="4"/>
      <c r="AI153" s="4"/>
      <c r="AJ153" s="4"/>
      <c r="AK153" s="4"/>
      <c r="AL153" s="4"/>
      <c r="AM153" s="4" t="s">
        <v>1745</v>
      </c>
      <c r="AN153" s="4" t="s">
        <v>1746</v>
      </c>
      <c r="AO153" s="4"/>
      <c r="AP153" s="4"/>
      <c r="AQ153" s="4"/>
      <c r="AR153" s="4" t="s">
        <v>1747</v>
      </c>
      <c r="AS153" s="4">
        <v>2015</v>
      </c>
      <c r="AT153" s="4">
        <v>40</v>
      </c>
      <c r="AU153" s="4">
        <v>8</v>
      </c>
      <c r="AV153" s="4"/>
      <c r="AW153" s="4"/>
      <c r="AX153" s="4"/>
      <c r="AY153" s="4"/>
      <c r="AZ153" s="4">
        <v>32</v>
      </c>
      <c r="BA153" s="4">
        <v>36</v>
      </c>
      <c r="BB153" s="4"/>
      <c r="BC153" s="4" t="s">
        <v>1748</v>
      </c>
      <c r="BD153" s="5" t="str">
        <f>HYPERLINK("http://dx.doi.org/10.1097/01.NPR.0000453644.36533.3a","http://dx.doi.org/10.1097/01.NPR.0000453644.36533.3a")</f>
        <v>http://dx.doi.org/10.1097/01.NPR.0000453644.36533.3a</v>
      </c>
      <c r="BE153" s="4"/>
      <c r="BF153" s="4"/>
      <c r="BG153" s="4"/>
      <c r="BH153" s="4"/>
      <c r="BI153" s="4">
        <v>26180911</v>
      </c>
      <c r="BJ153" s="4" t="s">
        <v>1749</v>
      </c>
      <c r="BK153" s="4"/>
      <c r="BL153" s="4"/>
      <c r="BM153" s="4"/>
      <c r="BN153" s="4"/>
      <c r="BO153" s="4"/>
      <c r="BP153" s="4"/>
      <c r="BQ153" s="4"/>
      <c r="BR153" s="4"/>
      <c r="BS153" s="4"/>
      <c r="BT153" s="4"/>
      <c r="BU153" s="12" t="s">
        <v>7201</v>
      </c>
      <c r="BV153" s="12" t="s">
        <v>7188</v>
      </c>
      <c r="BW153" s="12" t="s">
        <v>7189</v>
      </c>
    </row>
    <row r="154" spans="1:75" ht="13.5" customHeight="1">
      <c r="A154" s="4" t="s">
        <v>63</v>
      </c>
      <c r="B154" s="4" t="s">
        <v>1750</v>
      </c>
      <c r="C154" s="4"/>
      <c r="D154" s="4"/>
      <c r="E154" s="4"/>
      <c r="F154" s="4" t="s">
        <v>1751</v>
      </c>
      <c r="G154" s="4"/>
      <c r="H154" s="4"/>
      <c r="I154" s="4" t="s">
        <v>1752</v>
      </c>
      <c r="J154" s="4" t="s">
        <v>1672</v>
      </c>
      <c r="K154" s="4"/>
      <c r="L154" s="4"/>
      <c r="M154" s="4"/>
      <c r="N154" s="4"/>
      <c r="O154" s="4"/>
      <c r="P154" s="4"/>
      <c r="Q154" s="4"/>
      <c r="R154" s="4"/>
      <c r="S154" s="4"/>
      <c r="T154" s="4" t="s">
        <v>1753</v>
      </c>
      <c r="U154" s="4"/>
      <c r="V154" s="4"/>
      <c r="W154" s="4"/>
      <c r="X154" s="4"/>
      <c r="Y154" s="4"/>
      <c r="Z154" s="4"/>
      <c r="AA154" s="4"/>
      <c r="AB154" s="4"/>
      <c r="AC154" s="4"/>
      <c r="AD154" s="4"/>
      <c r="AE154" s="4"/>
      <c r="AF154" s="4"/>
      <c r="AG154" s="4"/>
      <c r="AH154" s="4"/>
      <c r="AI154" s="4"/>
      <c r="AJ154" s="4"/>
      <c r="AK154" s="4"/>
      <c r="AL154" s="4"/>
      <c r="AM154" s="4" t="s">
        <v>1676</v>
      </c>
      <c r="AN154" s="4" t="s">
        <v>1677</v>
      </c>
      <c r="AO154" s="4"/>
      <c r="AP154" s="4"/>
      <c r="AQ154" s="4"/>
      <c r="AR154" s="4" t="s">
        <v>65</v>
      </c>
      <c r="AS154" s="4">
        <v>2015</v>
      </c>
      <c r="AT154" s="4">
        <v>28</v>
      </c>
      <c r="AU154" s="4">
        <v>6</v>
      </c>
      <c r="AV154" s="4"/>
      <c r="AW154" s="4"/>
      <c r="AX154" s="4"/>
      <c r="AY154" s="4"/>
      <c r="AZ154" s="4">
        <v>1105</v>
      </c>
      <c r="BA154" s="4">
        <v>1125</v>
      </c>
      <c r="BB154" s="4"/>
      <c r="BC154" s="4" t="s">
        <v>1754</v>
      </c>
      <c r="BD154" s="5" t="str">
        <f>HYPERLINK("http://dx.doi.org/10.1007/s10806-015-9580-9","http://dx.doi.org/10.1007/s10806-015-9580-9")</f>
        <v>http://dx.doi.org/10.1007/s10806-015-9580-9</v>
      </c>
      <c r="BE154" s="4"/>
      <c r="BF154" s="4"/>
      <c r="BG154" s="4"/>
      <c r="BH154" s="4"/>
      <c r="BI154" s="4"/>
      <c r="BJ154" s="4" t="s">
        <v>1755</v>
      </c>
      <c r="BK154" s="4"/>
      <c r="BL154" s="4"/>
      <c r="BM154" s="4"/>
      <c r="BN154" s="4"/>
      <c r="BO154" s="4"/>
      <c r="BP154" s="4"/>
      <c r="BQ154" s="4"/>
      <c r="BR154" s="4"/>
      <c r="BS154" s="4"/>
      <c r="BT154" s="4"/>
      <c r="BU154" s="12" t="s">
        <v>7201</v>
      </c>
      <c r="BV154" s="12" t="s">
        <v>7188</v>
      </c>
      <c r="BW154" s="12" t="s">
        <v>7189</v>
      </c>
    </row>
    <row r="155" spans="1:75" ht="12.75" customHeight="1">
      <c r="A155" s="4" t="s">
        <v>63</v>
      </c>
      <c r="B155" s="4" t="s">
        <v>5469</v>
      </c>
      <c r="C155" s="4"/>
      <c r="D155" s="4"/>
      <c r="E155" s="4"/>
      <c r="F155" s="4" t="s">
        <v>5470</v>
      </c>
      <c r="G155" s="4"/>
      <c r="H155" s="4"/>
      <c r="I155" s="4" t="s">
        <v>5471</v>
      </c>
      <c r="J155" s="4" t="s">
        <v>2079</v>
      </c>
      <c r="K155" s="4"/>
      <c r="L155" s="4"/>
      <c r="M155" s="4"/>
      <c r="N155" s="4"/>
      <c r="O155" s="4"/>
      <c r="P155" s="4"/>
      <c r="Q155" s="4"/>
      <c r="R155" s="4"/>
      <c r="S155" s="4"/>
      <c r="T155" s="4" t="s">
        <v>5472</v>
      </c>
      <c r="U155" s="4"/>
      <c r="V155" s="4"/>
      <c r="W155" s="4"/>
      <c r="X155" s="4"/>
      <c r="Y155" s="4"/>
      <c r="Z155" s="4"/>
      <c r="AA155" s="4"/>
      <c r="AB155" s="4"/>
      <c r="AC155" s="4"/>
      <c r="AD155" s="4"/>
      <c r="AE155" s="4"/>
      <c r="AF155" s="4"/>
      <c r="AG155" s="4"/>
      <c r="AH155" s="4"/>
      <c r="AI155" s="4"/>
      <c r="AJ155" s="4"/>
      <c r="AK155" s="4"/>
      <c r="AL155" s="4"/>
      <c r="AM155" s="4" t="s">
        <v>2081</v>
      </c>
      <c r="AN155" s="4" t="s">
        <v>2082</v>
      </c>
      <c r="AO155" s="4"/>
      <c r="AP155" s="4"/>
      <c r="AQ155" s="4"/>
      <c r="AR155" s="4" t="s">
        <v>5473</v>
      </c>
      <c r="AS155" s="4">
        <v>2022</v>
      </c>
      <c r="AT155" s="4">
        <v>15</v>
      </c>
      <c r="AU155" s="4">
        <v>6</v>
      </c>
      <c r="AV155" s="4"/>
      <c r="AW155" s="4"/>
      <c r="AX155" s="4"/>
      <c r="AY155" s="4"/>
      <c r="AZ155" s="4">
        <v>346</v>
      </c>
      <c r="BA155" s="4">
        <v>351</v>
      </c>
      <c r="BB155" s="4"/>
      <c r="BC155" s="4" t="s">
        <v>5474</v>
      </c>
      <c r="BD155" s="5" t="str">
        <f>HYPERLINK("http://dx.doi.org/10.1089/env.2021.0029","http://dx.doi.org/10.1089/env.2021.0029")</f>
        <v>http://dx.doi.org/10.1089/env.2021.0029</v>
      </c>
      <c r="BE155" s="4"/>
      <c r="BF155" s="4" t="s">
        <v>4738</v>
      </c>
      <c r="BG155" s="4"/>
      <c r="BH155" s="4"/>
      <c r="BI155" s="4"/>
      <c r="BJ155" s="4" t="s">
        <v>5475</v>
      </c>
      <c r="BK155" s="4"/>
      <c r="BL155" s="4"/>
      <c r="BM155" s="4"/>
      <c r="BN155" s="4"/>
      <c r="BO155" s="4"/>
      <c r="BP155" s="4"/>
      <c r="BQ155" s="4"/>
      <c r="BR155" s="4"/>
      <c r="BS155" s="4"/>
      <c r="BT155" s="4"/>
      <c r="BU155" s="12" t="s">
        <v>7286</v>
      </c>
      <c r="BV155" s="12" t="s">
        <v>7188</v>
      </c>
      <c r="BW155" s="12" t="s">
        <v>7189</v>
      </c>
    </row>
    <row r="156" spans="1:75" ht="12.75" customHeight="1">
      <c r="A156" s="6" t="s">
        <v>63</v>
      </c>
      <c r="B156" s="6" t="s">
        <v>6137</v>
      </c>
      <c r="C156" s="6"/>
      <c r="D156" s="6"/>
      <c r="E156" s="6"/>
      <c r="F156" s="6" t="s">
        <v>6138</v>
      </c>
      <c r="G156" s="6"/>
      <c r="H156" s="6"/>
      <c r="I156" s="6" t="s">
        <v>6139</v>
      </c>
      <c r="J156" s="6" t="s">
        <v>418</v>
      </c>
      <c r="K156" s="6"/>
      <c r="L156" s="6"/>
      <c r="M156" s="6"/>
      <c r="N156" s="6"/>
      <c r="O156" s="6"/>
      <c r="P156" s="6"/>
      <c r="Q156" s="6"/>
      <c r="R156" s="6"/>
      <c r="S156" s="6"/>
      <c r="T156" s="6" t="s">
        <v>6140</v>
      </c>
      <c r="U156" s="6"/>
      <c r="V156" s="6"/>
      <c r="W156" s="6"/>
      <c r="X156" s="6"/>
      <c r="Y156" s="6"/>
      <c r="Z156" s="6"/>
      <c r="AA156" s="6"/>
      <c r="AB156" s="6"/>
      <c r="AC156" s="6"/>
      <c r="AD156" s="6"/>
      <c r="AE156" s="6"/>
      <c r="AF156" s="6"/>
      <c r="AG156" s="6"/>
      <c r="AH156" s="6"/>
      <c r="AI156" s="6"/>
      <c r="AJ156" s="6"/>
      <c r="AK156" s="6"/>
      <c r="AL156" s="6"/>
      <c r="AM156" s="6" t="s">
        <v>419</v>
      </c>
      <c r="AN156" s="6" t="s">
        <v>6141</v>
      </c>
      <c r="AO156" s="6"/>
      <c r="AP156" s="6"/>
      <c r="AQ156" s="6"/>
      <c r="AR156" s="6" t="s">
        <v>133</v>
      </c>
      <c r="AS156" s="6">
        <v>2023</v>
      </c>
      <c r="AT156" s="6">
        <v>22</v>
      </c>
      <c r="AU156" s="6">
        <v>1</v>
      </c>
      <c r="AV156" s="6"/>
      <c r="AW156" s="6"/>
      <c r="AX156" s="6"/>
      <c r="AY156" s="6"/>
      <c r="AZ156" s="6">
        <v>92</v>
      </c>
      <c r="BA156" s="6">
        <v>98</v>
      </c>
      <c r="BB156" s="6"/>
      <c r="BC156" s="6" t="s">
        <v>6142</v>
      </c>
      <c r="BD156" s="9" t="str">
        <f>HYPERLINK("http://dx.doi.org/10.56042/ijtk.v22i1.47762","http://dx.doi.org/10.56042/ijtk.v22i1.47762")</f>
        <v>http://dx.doi.org/10.56042/ijtk.v22i1.47762</v>
      </c>
      <c r="BE156" s="6"/>
      <c r="BF156" s="6"/>
      <c r="BG156" s="6"/>
      <c r="BH156" s="6"/>
      <c r="BI156" s="6"/>
      <c r="BJ156" s="6" t="s">
        <v>6143</v>
      </c>
      <c r="BK156" s="6"/>
      <c r="BL156" s="6"/>
      <c r="BM156" s="6"/>
      <c r="BN156" s="6"/>
      <c r="BO156" s="6"/>
      <c r="BP156" s="6"/>
      <c r="BQ156" s="6"/>
      <c r="BR156" s="6"/>
      <c r="BS156" s="6"/>
      <c r="BT156" s="6"/>
      <c r="BU156" s="8" t="s">
        <v>7287</v>
      </c>
      <c r="BV156" s="8" t="s">
        <v>7288</v>
      </c>
      <c r="BW156" s="8" t="s">
        <v>7245</v>
      </c>
    </row>
    <row r="157" spans="1:75" ht="12.75" customHeight="1">
      <c r="A157" s="6" t="s">
        <v>63</v>
      </c>
      <c r="B157" s="6" t="s">
        <v>4854</v>
      </c>
      <c r="C157" s="6"/>
      <c r="D157" s="6"/>
      <c r="E157" s="6"/>
      <c r="F157" s="6" t="s">
        <v>4855</v>
      </c>
      <c r="G157" s="6"/>
      <c r="H157" s="6"/>
      <c r="I157" s="6" t="s">
        <v>4856</v>
      </c>
      <c r="J157" s="6" t="s">
        <v>3652</v>
      </c>
      <c r="K157" s="6"/>
      <c r="L157" s="6"/>
      <c r="M157" s="6"/>
      <c r="N157" s="6"/>
      <c r="O157" s="6"/>
      <c r="P157" s="6"/>
      <c r="Q157" s="6"/>
      <c r="R157" s="6"/>
      <c r="S157" s="6"/>
      <c r="T157" s="6" t="s">
        <v>4857</v>
      </c>
      <c r="U157" s="6"/>
      <c r="V157" s="6"/>
      <c r="W157" s="6"/>
      <c r="X157" s="6"/>
      <c r="Y157" s="6" t="s">
        <v>4858</v>
      </c>
      <c r="Z157" s="6" t="s">
        <v>4859</v>
      </c>
      <c r="AA157" s="6"/>
      <c r="AB157" s="6"/>
      <c r="AC157" s="6"/>
      <c r="AD157" s="6"/>
      <c r="AE157" s="6"/>
      <c r="AF157" s="6"/>
      <c r="AG157" s="6"/>
      <c r="AH157" s="6"/>
      <c r="AI157" s="6"/>
      <c r="AJ157" s="6"/>
      <c r="AK157" s="6"/>
      <c r="AL157" s="6"/>
      <c r="AM157" s="6" t="s">
        <v>3654</v>
      </c>
      <c r="AN157" s="6" t="s">
        <v>3655</v>
      </c>
      <c r="AO157" s="6"/>
      <c r="AP157" s="6"/>
      <c r="AQ157" s="6"/>
      <c r="AR157" s="6" t="s">
        <v>67</v>
      </c>
      <c r="AS157" s="6">
        <v>2021</v>
      </c>
      <c r="AT157" s="6">
        <v>99</v>
      </c>
      <c r="AU157" s="6"/>
      <c r="AV157" s="6"/>
      <c r="AW157" s="6"/>
      <c r="AX157" s="6"/>
      <c r="AY157" s="6"/>
      <c r="AZ157" s="6"/>
      <c r="BA157" s="6"/>
      <c r="BB157" s="6">
        <v>101985</v>
      </c>
      <c r="BC157" s="6" t="s">
        <v>4860</v>
      </c>
      <c r="BD157" s="9" t="str">
        <f>HYPERLINK("http://dx.doi.org/10.1016/j.foodpol.2020.101985","http://dx.doi.org/10.1016/j.foodpol.2020.101985")</f>
        <v>http://dx.doi.org/10.1016/j.foodpol.2020.101985</v>
      </c>
      <c r="BE157" s="6"/>
      <c r="BF157" s="6" t="s">
        <v>4861</v>
      </c>
      <c r="BG157" s="6"/>
      <c r="BH157" s="6"/>
      <c r="BI157" s="6">
        <v>33082618</v>
      </c>
      <c r="BJ157" s="6" t="s">
        <v>4862</v>
      </c>
      <c r="BK157" s="6"/>
      <c r="BL157" s="6"/>
      <c r="BM157" s="6"/>
      <c r="BN157" s="6"/>
      <c r="BO157" s="6"/>
      <c r="BP157" s="6"/>
      <c r="BQ157" s="6"/>
      <c r="BR157" s="6"/>
      <c r="BS157" s="6"/>
      <c r="BT157" s="6"/>
      <c r="BU157" s="8" t="s">
        <v>7193</v>
      </c>
      <c r="BV157" s="8" t="s">
        <v>7188</v>
      </c>
      <c r="BW157" s="8" t="s">
        <v>7189</v>
      </c>
    </row>
    <row r="158" spans="1:75" ht="12.75" customHeight="1">
      <c r="A158" s="6" t="s">
        <v>63</v>
      </c>
      <c r="B158" s="6" t="s">
        <v>786</v>
      </c>
      <c r="C158" s="6"/>
      <c r="D158" s="6"/>
      <c r="E158" s="6"/>
      <c r="F158" s="6" t="s">
        <v>787</v>
      </c>
      <c r="G158" s="6"/>
      <c r="H158" s="6"/>
      <c r="I158" s="6" t="s">
        <v>788</v>
      </c>
      <c r="J158" s="6" t="s">
        <v>789</v>
      </c>
      <c r="K158" s="6"/>
      <c r="L158" s="6"/>
      <c r="M158" s="6"/>
      <c r="N158" s="6"/>
      <c r="O158" s="6"/>
      <c r="P158" s="6"/>
      <c r="Q158" s="6"/>
      <c r="R158" s="6"/>
      <c r="S158" s="6"/>
      <c r="T158" s="6" t="s">
        <v>790</v>
      </c>
      <c r="U158" s="6"/>
      <c r="V158" s="6"/>
      <c r="W158" s="6"/>
      <c r="X158" s="6"/>
      <c r="Y158" s="6" t="s">
        <v>791</v>
      </c>
      <c r="Z158" s="6" t="s">
        <v>792</v>
      </c>
      <c r="AA158" s="6"/>
      <c r="AB158" s="6"/>
      <c r="AC158" s="6"/>
      <c r="AD158" s="6"/>
      <c r="AE158" s="6"/>
      <c r="AF158" s="6"/>
      <c r="AG158" s="6"/>
      <c r="AH158" s="6"/>
      <c r="AI158" s="6"/>
      <c r="AJ158" s="6"/>
      <c r="AK158" s="6"/>
      <c r="AL158" s="6"/>
      <c r="AM158" s="6" t="s">
        <v>793</v>
      </c>
      <c r="AN158" s="6" t="s">
        <v>794</v>
      </c>
      <c r="AO158" s="6"/>
      <c r="AP158" s="6"/>
      <c r="AQ158" s="6"/>
      <c r="AR158" s="6" t="s">
        <v>67</v>
      </c>
      <c r="AS158" s="6">
        <v>2012</v>
      </c>
      <c r="AT158" s="6">
        <v>8</v>
      </c>
      <c r="AU158" s="6">
        <v>1</v>
      </c>
      <c r="AV158" s="6"/>
      <c r="AW158" s="6"/>
      <c r="AX158" s="6"/>
      <c r="AY158" s="6"/>
      <c r="AZ158" s="6">
        <v>28</v>
      </c>
      <c r="BA158" s="6">
        <v>30</v>
      </c>
      <c r="BB158" s="6"/>
      <c r="BC158" s="6" t="s">
        <v>795</v>
      </c>
      <c r="BD158" s="9" t="str">
        <f>HYPERLINK("http://dx.doi.org/10.1089/chi.2011.0113","http://dx.doi.org/10.1089/chi.2011.0113")</f>
        <v>http://dx.doi.org/10.1089/chi.2011.0113</v>
      </c>
      <c r="BE158" s="6"/>
      <c r="BF158" s="6"/>
      <c r="BG158" s="6"/>
      <c r="BH158" s="6"/>
      <c r="BI158" s="6">
        <v>22799475</v>
      </c>
      <c r="BJ158" s="6" t="s">
        <v>796</v>
      </c>
      <c r="BK158" s="6"/>
      <c r="BL158" s="6"/>
      <c r="BM158" s="6"/>
      <c r="BN158" s="6"/>
      <c r="BO158" s="6"/>
      <c r="BP158" s="6"/>
      <c r="BQ158" s="6"/>
      <c r="BR158" s="6"/>
      <c r="BS158" s="6"/>
      <c r="BT158" s="6"/>
      <c r="BU158" s="8" t="s">
        <v>7199</v>
      </c>
      <c r="BV158" s="8" t="s">
        <v>7188</v>
      </c>
      <c r="BW158" s="8" t="s">
        <v>7189</v>
      </c>
    </row>
    <row r="159" spans="1:75" ht="12.75" customHeight="1">
      <c r="A159" s="6" t="s">
        <v>63</v>
      </c>
      <c r="B159" s="6" t="s">
        <v>1403</v>
      </c>
      <c r="C159" s="6"/>
      <c r="D159" s="6"/>
      <c r="E159" s="6"/>
      <c r="F159" s="6" t="s">
        <v>1404</v>
      </c>
      <c r="G159" s="6"/>
      <c r="H159" s="6"/>
      <c r="I159" s="6" t="s">
        <v>1405</v>
      </c>
      <c r="J159" s="6" t="s">
        <v>423</v>
      </c>
      <c r="K159" s="6"/>
      <c r="L159" s="6"/>
      <c r="M159" s="6"/>
      <c r="N159" s="6"/>
      <c r="O159" s="6"/>
      <c r="P159" s="6"/>
      <c r="Q159" s="6"/>
      <c r="R159" s="6"/>
      <c r="S159" s="6"/>
      <c r="T159" s="6" t="s">
        <v>1406</v>
      </c>
      <c r="U159" s="6"/>
      <c r="V159" s="6"/>
      <c r="W159" s="6"/>
      <c r="X159" s="6"/>
      <c r="Y159" s="6" t="s">
        <v>1407</v>
      </c>
      <c r="Z159" s="6"/>
      <c r="AA159" s="6"/>
      <c r="AB159" s="6"/>
      <c r="AC159" s="6"/>
      <c r="AD159" s="6"/>
      <c r="AE159" s="6"/>
      <c r="AF159" s="6"/>
      <c r="AG159" s="6"/>
      <c r="AH159" s="6"/>
      <c r="AI159" s="6"/>
      <c r="AJ159" s="6"/>
      <c r="AK159" s="6"/>
      <c r="AL159" s="6"/>
      <c r="AM159" s="6" t="s">
        <v>427</v>
      </c>
      <c r="AN159" s="6" t="s">
        <v>428</v>
      </c>
      <c r="AO159" s="6"/>
      <c r="AP159" s="6"/>
      <c r="AQ159" s="6"/>
      <c r="AR159" s="6"/>
      <c r="AS159" s="6">
        <v>2014</v>
      </c>
      <c r="AT159" s="6">
        <v>9</v>
      </c>
      <c r="AU159" s="6">
        <v>1</v>
      </c>
      <c r="AV159" s="6"/>
      <c r="AW159" s="6"/>
      <c r="AX159" s="6"/>
      <c r="AY159" s="6"/>
      <c r="AZ159" s="6">
        <v>16</v>
      </c>
      <c r="BA159" s="6">
        <v>32</v>
      </c>
      <c r="BB159" s="6"/>
      <c r="BC159" s="6" t="s">
        <v>1408</v>
      </c>
      <c r="BD159" s="9" t="str">
        <f>HYPERLINK("http://dx.doi.org/10.1080/19320248.2013.873009","http://dx.doi.org/10.1080/19320248.2013.873009")</f>
        <v>http://dx.doi.org/10.1080/19320248.2013.873009</v>
      </c>
      <c r="BE159" s="6"/>
      <c r="BF159" s="6"/>
      <c r="BG159" s="6"/>
      <c r="BH159" s="6"/>
      <c r="BI159" s="6">
        <v>26294937</v>
      </c>
      <c r="BJ159" s="6" t="s">
        <v>1409</v>
      </c>
      <c r="BK159" s="6"/>
      <c r="BL159" s="6"/>
      <c r="BM159" s="6"/>
      <c r="BN159" s="6"/>
      <c r="BO159" s="6"/>
      <c r="BP159" s="6"/>
      <c r="BQ159" s="6"/>
      <c r="BR159" s="6"/>
      <c r="BS159" s="6"/>
      <c r="BT159" s="6"/>
      <c r="BU159" s="8" t="s">
        <v>7247</v>
      </c>
      <c r="BV159" s="8" t="s">
        <v>7188</v>
      </c>
      <c r="BW159" s="8" t="s">
        <v>7189</v>
      </c>
    </row>
    <row r="160" spans="1:75" ht="12.75" customHeight="1">
      <c r="A160" s="4" t="s">
        <v>63</v>
      </c>
      <c r="B160" s="4" t="s">
        <v>3664</v>
      </c>
      <c r="C160" s="4"/>
      <c r="D160" s="4"/>
      <c r="E160" s="4"/>
      <c r="F160" s="4" t="s">
        <v>3665</v>
      </c>
      <c r="G160" s="4"/>
      <c r="H160" s="4"/>
      <c r="I160" s="4" t="s">
        <v>3666</v>
      </c>
      <c r="J160" s="4" t="s">
        <v>3374</v>
      </c>
      <c r="K160" s="4"/>
      <c r="L160" s="4"/>
      <c r="M160" s="4"/>
      <c r="N160" s="4"/>
      <c r="O160" s="4"/>
      <c r="P160" s="4"/>
      <c r="Q160" s="4"/>
      <c r="R160" s="4"/>
      <c r="S160" s="4"/>
      <c r="T160" s="4" t="s">
        <v>3667</v>
      </c>
      <c r="U160" s="4"/>
      <c r="V160" s="4"/>
      <c r="W160" s="4"/>
      <c r="X160" s="4"/>
      <c r="Y160" s="4"/>
      <c r="Z160" s="4"/>
      <c r="AA160" s="4"/>
      <c r="AB160" s="4"/>
      <c r="AC160" s="4"/>
      <c r="AD160" s="4"/>
      <c r="AE160" s="4"/>
      <c r="AF160" s="4"/>
      <c r="AG160" s="4"/>
      <c r="AH160" s="4"/>
      <c r="AI160" s="4"/>
      <c r="AJ160" s="4"/>
      <c r="AK160" s="4"/>
      <c r="AL160" s="4"/>
      <c r="AM160" s="4"/>
      <c r="AN160" s="4" t="s">
        <v>3377</v>
      </c>
      <c r="AO160" s="4"/>
      <c r="AP160" s="4"/>
      <c r="AQ160" s="4"/>
      <c r="AR160" s="4" t="s">
        <v>1701</v>
      </c>
      <c r="AS160" s="4">
        <v>2019</v>
      </c>
      <c r="AT160" s="4">
        <v>11</v>
      </c>
      <c r="AU160" s="4">
        <v>1</v>
      </c>
      <c r="AV160" s="4"/>
      <c r="AW160" s="4"/>
      <c r="AX160" s="4"/>
      <c r="AY160" s="4"/>
      <c r="AZ160" s="4"/>
      <c r="BA160" s="4"/>
      <c r="BB160" s="4">
        <v>267</v>
      </c>
      <c r="BC160" s="4" t="s">
        <v>3668</v>
      </c>
      <c r="BD160" s="5" t="str">
        <f>HYPERLINK("http://dx.doi.org/10.3390/su11010267","http://dx.doi.org/10.3390/su11010267")</f>
        <v>http://dx.doi.org/10.3390/su11010267</v>
      </c>
      <c r="BE160" s="4"/>
      <c r="BF160" s="4"/>
      <c r="BG160" s="4"/>
      <c r="BH160" s="4"/>
      <c r="BI160" s="4"/>
      <c r="BJ160" s="4" t="s">
        <v>3669</v>
      </c>
      <c r="BK160" s="4"/>
      <c r="BL160" s="4"/>
      <c r="BM160" s="4"/>
      <c r="BN160" s="4"/>
      <c r="BO160" s="4"/>
      <c r="BP160" s="4"/>
      <c r="BQ160" s="4"/>
      <c r="BR160" s="4"/>
      <c r="BS160" s="4"/>
      <c r="BT160" s="4"/>
      <c r="BU160" s="12" t="s">
        <v>7289</v>
      </c>
      <c r="BV160" s="12" t="s">
        <v>7290</v>
      </c>
      <c r="BW160" s="12" t="s">
        <v>7228</v>
      </c>
    </row>
    <row r="161" spans="1:75" ht="12.75" customHeight="1">
      <c r="A161" s="3" t="s">
        <v>63</v>
      </c>
      <c r="B161" s="3" t="s">
        <v>6144</v>
      </c>
      <c r="C161" s="3"/>
      <c r="D161" s="3"/>
      <c r="E161" s="3"/>
      <c r="F161" s="3" t="s">
        <v>6145</v>
      </c>
      <c r="G161" s="3"/>
      <c r="H161" s="3"/>
      <c r="I161" s="3" t="s">
        <v>6146</v>
      </c>
      <c r="J161" s="3" t="s">
        <v>6147</v>
      </c>
      <c r="K161" s="3"/>
      <c r="L161" s="3"/>
      <c r="M161" s="3"/>
      <c r="N161" s="3"/>
      <c r="O161" s="3"/>
      <c r="P161" s="3"/>
      <c r="Q161" s="3"/>
      <c r="R161" s="3"/>
      <c r="S161" s="3"/>
      <c r="T161" s="3" t="s">
        <v>6148</v>
      </c>
      <c r="U161" s="3"/>
      <c r="V161" s="3"/>
      <c r="W161" s="3"/>
      <c r="X161" s="3"/>
      <c r="Y161" s="3" t="s">
        <v>6149</v>
      </c>
      <c r="Z161" s="3" t="s">
        <v>6150</v>
      </c>
      <c r="AA161" s="3"/>
      <c r="AB161" s="3"/>
      <c r="AC161" s="3"/>
      <c r="AD161" s="3"/>
      <c r="AE161" s="3"/>
      <c r="AF161" s="3"/>
      <c r="AG161" s="3"/>
      <c r="AH161" s="3"/>
      <c r="AI161" s="3"/>
      <c r="AJ161" s="3"/>
      <c r="AK161" s="3"/>
      <c r="AL161" s="3"/>
      <c r="AM161" s="3" t="s">
        <v>6151</v>
      </c>
      <c r="AN161" s="3" t="s">
        <v>6152</v>
      </c>
      <c r="AO161" s="3"/>
      <c r="AP161" s="3"/>
      <c r="AQ161" s="3"/>
      <c r="AR161" s="3" t="s">
        <v>65</v>
      </c>
      <c r="AS161" s="3">
        <v>2023</v>
      </c>
      <c r="AT161" s="3">
        <v>27</v>
      </c>
      <c r="AU161" s="3">
        <v>12</v>
      </c>
      <c r="AV161" s="3"/>
      <c r="AW161" s="3"/>
      <c r="AX161" s="3"/>
      <c r="AY161" s="3"/>
      <c r="AZ161" s="3">
        <v>2771</v>
      </c>
      <c r="BA161" s="3">
        <v>2779</v>
      </c>
      <c r="BB161" s="3"/>
      <c r="BC161" s="3" t="s">
        <v>6153</v>
      </c>
      <c r="BD161" s="15" t="str">
        <f>HYPERLINK("http://dx.doi.org/10.1007/s11605-023-05879-3","http://dx.doi.org/10.1007/s11605-023-05879-3")</f>
        <v>http://dx.doi.org/10.1007/s11605-023-05879-3</v>
      </c>
      <c r="BE161" s="3"/>
      <c r="BF161" s="3" t="s">
        <v>6154</v>
      </c>
      <c r="BG161" s="3"/>
      <c r="BH161" s="3"/>
      <c r="BI161" s="3">
        <v>37940806</v>
      </c>
      <c r="BJ161" s="3" t="s">
        <v>6155</v>
      </c>
      <c r="BK161" s="3"/>
      <c r="BL161" s="3"/>
      <c r="BM161" s="3"/>
      <c r="BN161" s="3"/>
      <c r="BO161" s="3"/>
      <c r="BP161" s="3"/>
      <c r="BQ161" s="3"/>
      <c r="BR161" s="3"/>
      <c r="BS161" s="3"/>
      <c r="BT161" s="3"/>
      <c r="BU161" s="2" t="s">
        <v>7201</v>
      </c>
      <c r="BV161" s="2" t="s">
        <v>7188</v>
      </c>
      <c r="BW161" s="2" t="s">
        <v>7189</v>
      </c>
    </row>
    <row r="162" spans="1:75" ht="12.75" customHeight="1">
      <c r="A162" s="6" t="s">
        <v>63</v>
      </c>
      <c r="B162" s="6" t="s">
        <v>370</v>
      </c>
      <c r="C162" s="6"/>
      <c r="D162" s="6"/>
      <c r="E162" s="6"/>
      <c r="F162" s="6" t="s">
        <v>371</v>
      </c>
      <c r="G162" s="6"/>
      <c r="H162" s="6"/>
      <c r="I162" s="6" t="s">
        <v>372</v>
      </c>
      <c r="J162" s="6" t="s">
        <v>373</v>
      </c>
      <c r="K162" s="6"/>
      <c r="L162" s="6"/>
      <c r="M162" s="6"/>
      <c r="N162" s="6"/>
      <c r="O162" s="6"/>
      <c r="P162" s="6"/>
      <c r="Q162" s="6"/>
      <c r="R162" s="6"/>
      <c r="S162" s="6"/>
      <c r="T162" s="6" t="s">
        <v>374</v>
      </c>
      <c r="U162" s="6"/>
      <c r="V162" s="6"/>
      <c r="W162" s="6"/>
      <c r="X162" s="6"/>
      <c r="Y162" s="6" t="s">
        <v>375</v>
      </c>
      <c r="Z162" s="6" t="s">
        <v>105</v>
      </c>
      <c r="AA162" s="6"/>
      <c r="AB162" s="6"/>
      <c r="AC162" s="6"/>
      <c r="AD162" s="6"/>
      <c r="AE162" s="6"/>
      <c r="AF162" s="6"/>
      <c r="AG162" s="6"/>
      <c r="AH162" s="6"/>
      <c r="AI162" s="6"/>
      <c r="AJ162" s="6"/>
      <c r="AK162" s="6"/>
      <c r="AL162" s="6"/>
      <c r="AM162" s="6" t="s">
        <v>376</v>
      </c>
      <c r="AN162" s="6"/>
      <c r="AO162" s="6"/>
      <c r="AP162" s="6"/>
      <c r="AQ162" s="6"/>
      <c r="AR162" s="6" t="s">
        <v>173</v>
      </c>
      <c r="AS162" s="6">
        <v>2009</v>
      </c>
      <c r="AT162" s="6">
        <v>6</v>
      </c>
      <c r="AU162" s="6">
        <v>3</v>
      </c>
      <c r="AV162" s="6"/>
      <c r="AW162" s="6"/>
      <c r="AX162" s="6"/>
      <c r="AY162" s="6"/>
      <c r="AZ162" s="6"/>
      <c r="BA162" s="6"/>
      <c r="BB162" s="6" t="s">
        <v>377</v>
      </c>
      <c r="BC162" s="6"/>
      <c r="BD162" s="6"/>
      <c r="BE162" s="6"/>
      <c r="BF162" s="6"/>
      <c r="BG162" s="6"/>
      <c r="BH162" s="6"/>
      <c r="BI162" s="6">
        <v>19527577</v>
      </c>
      <c r="BJ162" s="6" t="s">
        <v>378</v>
      </c>
      <c r="BK162" s="6"/>
      <c r="BL162" s="6"/>
      <c r="BM162" s="6"/>
      <c r="BN162" s="6"/>
      <c r="BO162" s="6"/>
      <c r="BP162" s="6"/>
      <c r="BQ162" s="6"/>
      <c r="BR162" s="6"/>
      <c r="BS162" s="6"/>
      <c r="BT162" s="6"/>
      <c r="BU162" s="8" t="s">
        <v>7193</v>
      </c>
      <c r="BV162" s="8" t="s">
        <v>7188</v>
      </c>
      <c r="BW162" s="8" t="s">
        <v>7189</v>
      </c>
    </row>
    <row r="163" spans="1:75" ht="12.75" customHeight="1">
      <c r="A163" s="3" t="s">
        <v>63</v>
      </c>
      <c r="B163" s="3" t="s">
        <v>2764</v>
      </c>
      <c r="C163" s="3"/>
      <c r="D163" s="3"/>
      <c r="E163" s="3"/>
      <c r="F163" s="3" t="s">
        <v>2765</v>
      </c>
      <c r="G163" s="3"/>
      <c r="H163" s="3"/>
      <c r="I163" s="3" t="s">
        <v>2766</v>
      </c>
      <c r="J163" s="3" t="s">
        <v>239</v>
      </c>
      <c r="K163" s="3"/>
      <c r="L163" s="3"/>
      <c r="M163" s="3"/>
      <c r="N163" s="3"/>
      <c r="O163" s="3"/>
      <c r="P163" s="3"/>
      <c r="Q163" s="3"/>
      <c r="R163" s="3"/>
      <c r="S163" s="3"/>
      <c r="T163" s="3" t="s">
        <v>2767</v>
      </c>
      <c r="U163" s="3"/>
      <c r="V163" s="3"/>
      <c r="W163" s="3"/>
      <c r="X163" s="3"/>
      <c r="Y163" s="3"/>
      <c r="Z163" s="3" t="s">
        <v>2768</v>
      </c>
      <c r="AA163" s="3"/>
      <c r="AB163" s="3"/>
      <c r="AC163" s="3"/>
      <c r="AD163" s="3"/>
      <c r="AE163" s="3"/>
      <c r="AF163" s="3"/>
      <c r="AG163" s="3"/>
      <c r="AH163" s="3"/>
      <c r="AI163" s="3"/>
      <c r="AJ163" s="3"/>
      <c r="AK163" s="3"/>
      <c r="AL163" s="3"/>
      <c r="AM163" s="3" t="s">
        <v>243</v>
      </c>
      <c r="AN163" s="3"/>
      <c r="AO163" s="3"/>
      <c r="AP163" s="3"/>
      <c r="AQ163" s="3"/>
      <c r="AR163" s="3" t="s">
        <v>2769</v>
      </c>
      <c r="AS163" s="3">
        <v>2017</v>
      </c>
      <c r="AT163" s="3">
        <v>16</v>
      </c>
      <c r="AU163" s="3"/>
      <c r="AV163" s="3"/>
      <c r="AW163" s="3"/>
      <c r="AX163" s="3"/>
      <c r="AY163" s="3"/>
      <c r="AZ163" s="3"/>
      <c r="BA163" s="3"/>
      <c r="BB163" s="3">
        <v>37</v>
      </c>
      <c r="BC163" s="3" t="s">
        <v>2770</v>
      </c>
      <c r="BD163" s="15" t="str">
        <f>HYPERLINK("http://dx.doi.org/10.1186/s12942-017-0110-z","http://dx.doi.org/10.1186/s12942-017-0110-z")</f>
        <v>http://dx.doi.org/10.1186/s12942-017-0110-z</v>
      </c>
      <c r="BE163" s="3"/>
      <c r="BF163" s="3"/>
      <c r="BG163" s="3"/>
      <c r="BH163" s="3"/>
      <c r="BI163" s="3">
        <v>29037243</v>
      </c>
      <c r="BJ163" s="3" t="s">
        <v>2771</v>
      </c>
      <c r="BK163" s="3"/>
      <c r="BL163" s="3"/>
      <c r="BM163" s="3"/>
      <c r="BN163" s="3"/>
      <c r="BO163" s="3"/>
      <c r="BP163" s="3"/>
      <c r="BQ163" s="3"/>
      <c r="BR163" s="3"/>
      <c r="BS163" s="3"/>
      <c r="BT163" s="3"/>
      <c r="BU163" s="1" t="s">
        <v>7277</v>
      </c>
      <c r="BV163" s="2" t="s">
        <v>7188</v>
      </c>
      <c r="BW163" s="2" t="s">
        <v>7189</v>
      </c>
    </row>
    <row r="164" spans="1:75" ht="12.75" customHeight="1">
      <c r="A164" s="3" t="s">
        <v>63</v>
      </c>
      <c r="B164" s="3" t="s">
        <v>3670</v>
      </c>
      <c r="C164" s="3"/>
      <c r="D164" s="3"/>
      <c r="E164" s="3"/>
      <c r="F164" s="3" t="s">
        <v>3671</v>
      </c>
      <c r="G164" s="3"/>
      <c r="H164" s="3"/>
      <c r="I164" s="3" t="s">
        <v>3672</v>
      </c>
      <c r="J164" s="3" t="s">
        <v>1759</v>
      </c>
      <c r="K164" s="3"/>
      <c r="L164" s="3"/>
      <c r="M164" s="3"/>
      <c r="N164" s="3"/>
      <c r="O164" s="3"/>
      <c r="P164" s="3"/>
      <c r="Q164" s="3"/>
      <c r="R164" s="3"/>
      <c r="S164" s="3"/>
      <c r="T164" s="3" t="s">
        <v>3673</v>
      </c>
      <c r="U164" s="3"/>
      <c r="V164" s="3"/>
      <c r="W164" s="3"/>
      <c r="X164" s="3"/>
      <c r="Y164" s="3" t="s">
        <v>2420</v>
      </c>
      <c r="Z164" s="3" t="s">
        <v>3674</v>
      </c>
      <c r="AA164" s="3"/>
      <c r="AB164" s="3"/>
      <c r="AC164" s="3"/>
      <c r="AD164" s="3"/>
      <c r="AE164" s="3"/>
      <c r="AF164" s="3"/>
      <c r="AG164" s="3"/>
      <c r="AH164" s="3"/>
      <c r="AI164" s="3"/>
      <c r="AJ164" s="3"/>
      <c r="AK164" s="3"/>
      <c r="AL164" s="3"/>
      <c r="AM164" s="3" t="s">
        <v>1762</v>
      </c>
      <c r="AN164" s="3" t="s">
        <v>1763</v>
      </c>
      <c r="AO164" s="3"/>
      <c r="AP164" s="3"/>
      <c r="AQ164" s="3"/>
      <c r="AR164" s="3" t="s">
        <v>92</v>
      </c>
      <c r="AS164" s="3">
        <v>2019</v>
      </c>
      <c r="AT164" s="3">
        <v>46</v>
      </c>
      <c r="AU164" s="3">
        <v>5</v>
      </c>
      <c r="AV164" s="3"/>
      <c r="AW164" s="3"/>
      <c r="AX164" s="3"/>
      <c r="AY164" s="3"/>
      <c r="AZ164" s="3">
        <v>749</v>
      </c>
      <c r="BA164" s="3">
        <v>754</v>
      </c>
      <c r="BB164" s="3"/>
      <c r="BC164" s="3" t="s">
        <v>3675</v>
      </c>
      <c r="BD164" s="15" t="str">
        <f>HYPERLINK("http://dx.doi.org/10.1177/1090198119853009","http://dx.doi.org/10.1177/1090198119853009")</f>
        <v>http://dx.doi.org/10.1177/1090198119853009</v>
      </c>
      <c r="BE164" s="3"/>
      <c r="BF164" s="3"/>
      <c r="BG164" s="3"/>
      <c r="BH164" s="3"/>
      <c r="BI164" s="3">
        <v>31216883</v>
      </c>
      <c r="BJ164" s="3" t="s">
        <v>3676</v>
      </c>
      <c r="BK164" s="3"/>
      <c r="BL164" s="3"/>
      <c r="BM164" s="3"/>
      <c r="BN164" s="3"/>
      <c r="BO164" s="3"/>
      <c r="BP164" s="3"/>
      <c r="BQ164" s="3"/>
      <c r="BR164" s="3"/>
      <c r="BS164" s="3"/>
      <c r="BT164" s="3"/>
      <c r="BU164" s="2" t="s">
        <v>7201</v>
      </c>
      <c r="BV164" s="2" t="s">
        <v>7188</v>
      </c>
      <c r="BW164" s="2" t="s">
        <v>7189</v>
      </c>
    </row>
    <row r="165" spans="1:75" ht="12.75" customHeight="1">
      <c r="A165" s="6" t="s">
        <v>63</v>
      </c>
      <c r="B165" s="6" t="s">
        <v>1010</v>
      </c>
      <c r="C165" s="6"/>
      <c r="D165" s="6"/>
      <c r="E165" s="6"/>
      <c r="F165" s="6" t="s">
        <v>1011</v>
      </c>
      <c r="G165" s="6"/>
      <c r="H165" s="6"/>
      <c r="I165" s="6" t="s">
        <v>1012</v>
      </c>
      <c r="J165" s="6" t="s">
        <v>434</v>
      </c>
      <c r="K165" s="6"/>
      <c r="L165" s="6"/>
      <c r="M165" s="6"/>
      <c r="N165" s="6"/>
      <c r="O165" s="6"/>
      <c r="P165" s="6"/>
      <c r="Q165" s="6"/>
      <c r="R165" s="6"/>
      <c r="S165" s="6"/>
      <c r="T165" s="6" t="s">
        <v>1013</v>
      </c>
      <c r="U165" s="6"/>
      <c r="V165" s="6"/>
      <c r="W165" s="6"/>
      <c r="X165" s="6"/>
      <c r="Y165" s="6" t="s">
        <v>1014</v>
      </c>
      <c r="Z165" s="6" t="s">
        <v>1015</v>
      </c>
      <c r="AA165" s="6"/>
      <c r="AB165" s="6"/>
      <c r="AC165" s="6"/>
      <c r="AD165" s="6"/>
      <c r="AE165" s="6"/>
      <c r="AF165" s="6"/>
      <c r="AG165" s="6"/>
      <c r="AH165" s="6"/>
      <c r="AI165" s="6"/>
      <c r="AJ165" s="6"/>
      <c r="AK165" s="6"/>
      <c r="AL165" s="6"/>
      <c r="AM165" s="6" t="s">
        <v>436</v>
      </c>
      <c r="AN165" s="6" t="s">
        <v>568</v>
      </c>
      <c r="AO165" s="6"/>
      <c r="AP165" s="6"/>
      <c r="AQ165" s="6"/>
      <c r="AR165" s="6" t="s">
        <v>445</v>
      </c>
      <c r="AS165" s="6">
        <v>2013</v>
      </c>
      <c r="AT165" s="6">
        <v>43</v>
      </c>
      <c r="AU165" s="6"/>
      <c r="AV165" s="6"/>
      <c r="AW165" s="6"/>
      <c r="AX165" s="6"/>
      <c r="AY165" s="6"/>
      <c r="AZ165" s="6">
        <v>87</v>
      </c>
      <c r="BA165" s="6">
        <v>98</v>
      </c>
      <c r="BB165" s="6"/>
      <c r="BC165" s="6" t="s">
        <v>1016</v>
      </c>
      <c r="BD165" s="9" t="str">
        <f>HYPERLINK("http://dx.doi.org/10.1016/j.apgeog.2013.05.009","http://dx.doi.org/10.1016/j.apgeog.2013.05.009")</f>
        <v>http://dx.doi.org/10.1016/j.apgeog.2013.05.009</v>
      </c>
      <c r="BE165" s="6"/>
      <c r="BF165" s="6"/>
      <c r="BG165" s="6"/>
      <c r="BH165" s="6"/>
      <c r="BI165" s="6"/>
      <c r="BJ165" s="6" t="s">
        <v>1017</v>
      </c>
      <c r="BK165" s="6"/>
      <c r="BL165" s="6"/>
      <c r="BM165" s="6"/>
      <c r="BN165" s="6"/>
      <c r="BO165" s="6"/>
      <c r="BP165" s="6"/>
      <c r="BQ165" s="6"/>
      <c r="BR165" s="6"/>
      <c r="BS165" s="6"/>
      <c r="BT165" s="6"/>
      <c r="BU165" s="8" t="s">
        <v>5313</v>
      </c>
      <c r="BV165" s="8" t="s">
        <v>5215</v>
      </c>
      <c r="BW165" s="8" t="s">
        <v>7245</v>
      </c>
    </row>
    <row r="166" spans="1:75" ht="12.75" customHeight="1">
      <c r="A166" s="3" t="s">
        <v>63</v>
      </c>
      <c r="B166" s="3" t="s">
        <v>282</v>
      </c>
      <c r="C166" s="3"/>
      <c r="D166" s="3"/>
      <c r="E166" s="3"/>
      <c r="F166" s="3" t="s">
        <v>283</v>
      </c>
      <c r="G166" s="3"/>
      <c r="H166" s="3"/>
      <c r="I166" s="3" t="s">
        <v>379</v>
      </c>
      <c r="J166" s="3" t="s">
        <v>380</v>
      </c>
      <c r="K166" s="3"/>
      <c r="L166" s="3"/>
      <c r="M166" s="3"/>
      <c r="N166" s="3"/>
      <c r="O166" s="3"/>
      <c r="P166" s="3"/>
      <c r="Q166" s="3"/>
      <c r="R166" s="3"/>
      <c r="S166" s="3"/>
      <c r="T166" s="3" t="s">
        <v>381</v>
      </c>
      <c r="U166" s="3"/>
      <c r="V166" s="3"/>
      <c r="W166" s="3"/>
      <c r="X166" s="3"/>
      <c r="Y166" s="3" t="s">
        <v>286</v>
      </c>
      <c r="Z166" s="3" t="s">
        <v>287</v>
      </c>
      <c r="AA166" s="3"/>
      <c r="AB166" s="3"/>
      <c r="AC166" s="3"/>
      <c r="AD166" s="3"/>
      <c r="AE166" s="3"/>
      <c r="AF166" s="3"/>
      <c r="AG166" s="3"/>
      <c r="AH166" s="3"/>
      <c r="AI166" s="3"/>
      <c r="AJ166" s="3"/>
      <c r="AK166" s="3"/>
      <c r="AL166" s="3"/>
      <c r="AM166" s="3" t="s">
        <v>382</v>
      </c>
      <c r="AN166" s="3" t="s">
        <v>383</v>
      </c>
      <c r="AO166" s="3"/>
      <c r="AP166" s="3"/>
      <c r="AQ166" s="3"/>
      <c r="AR166" s="3" t="s">
        <v>65</v>
      </c>
      <c r="AS166" s="3">
        <v>2009</v>
      </c>
      <c r="AT166" s="3">
        <v>15</v>
      </c>
      <c r="AU166" s="3">
        <v>4</v>
      </c>
      <c r="AV166" s="3"/>
      <c r="AW166" s="3"/>
      <c r="AX166" s="3"/>
      <c r="AY166" s="3"/>
      <c r="AZ166" s="3">
        <v>1158</v>
      </c>
      <c r="BA166" s="3">
        <v>1162</v>
      </c>
      <c r="BB166" s="3"/>
      <c r="BC166" s="3" t="s">
        <v>384</v>
      </c>
      <c r="BD166" s="15" t="str">
        <f>HYPERLINK("http://dx.doi.org/10.1016/j.healthplace.2009.06.007","http://dx.doi.org/10.1016/j.healthplace.2009.06.007")</f>
        <v>http://dx.doi.org/10.1016/j.healthplace.2009.06.007</v>
      </c>
      <c r="BE166" s="3"/>
      <c r="BF166" s="3"/>
      <c r="BG166" s="3"/>
      <c r="BH166" s="3"/>
      <c r="BI166" s="3">
        <v>19631571</v>
      </c>
      <c r="BJ166" s="3" t="s">
        <v>385</v>
      </c>
      <c r="BK166" s="3"/>
      <c r="BL166" s="3"/>
      <c r="BM166" s="3"/>
      <c r="BN166" s="3"/>
      <c r="BO166" s="3"/>
      <c r="BP166" s="3"/>
      <c r="BQ166" s="3"/>
      <c r="BR166" s="3"/>
      <c r="BS166" s="3"/>
      <c r="BT166" s="3"/>
      <c r="BU166" s="1" t="s">
        <v>7249</v>
      </c>
      <c r="BV166" s="2" t="s">
        <v>2039</v>
      </c>
      <c r="BW166" s="2" t="s">
        <v>7189</v>
      </c>
    </row>
    <row r="167" spans="1:75" ht="12.75" customHeight="1">
      <c r="A167" s="3" t="s">
        <v>63</v>
      </c>
      <c r="B167" s="3" t="s">
        <v>2772</v>
      </c>
      <c r="C167" s="3"/>
      <c r="D167" s="3"/>
      <c r="E167" s="3"/>
      <c r="F167" s="3" t="s">
        <v>2773</v>
      </c>
      <c r="G167" s="3"/>
      <c r="H167" s="3"/>
      <c r="I167" s="3" t="s">
        <v>2774</v>
      </c>
      <c r="J167" s="3" t="s">
        <v>2775</v>
      </c>
      <c r="K167" s="3"/>
      <c r="L167" s="3"/>
      <c r="M167" s="3"/>
      <c r="N167" s="3"/>
      <c r="O167" s="3"/>
      <c r="P167" s="3"/>
      <c r="Q167" s="3"/>
      <c r="R167" s="3"/>
      <c r="S167" s="3"/>
      <c r="T167" s="3" t="s">
        <v>2776</v>
      </c>
      <c r="U167" s="3"/>
      <c r="V167" s="3"/>
      <c r="W167" s="3"/>
      <c r="X167" s="3"/>
      <c r="Y167" s="3"/>
      <c r="Z167" s="3"/>
      <c r="AA167" s="3"/>
      <c r="AB167" s="3"/>
      <c r="AC167" s="3"/>
      <c r="AD167" s="3"/>
      <c r="AE167" s="3"/>
      <c r="AF167" s="3"/>
      <c r="AG167" s="3"/>
      <c r="AH167" s="3"/>
      <c r="AI167" s="3"/>
      <c r="AJ167" s="3"/>
      <c r="AK167" s="3"/>
      <c r="AL167" s="3"/>
      <c r="AM167" s="3" t="s">
        <v>2777</v>
      </c>
      <c r="AN167" s="3"/>
      <c r="AO167" s="3"/>
      <c r="AP167" s="3"/>
      <c r="AQ167" s="3"/>
      <c r="AR167" s="3"/>
      <c r="AS167" s="3">
        <v>2017</v>
      </c>
      <c r="AT167" s="3">
        <v>2</v>
      </c>
      <c r="AU167" s="3">
        <v>2</v>
      </c>
      <c r="AV167" s="3"/>
      <c r="AW167" s="3"/>
      <c r="AX167" s="3"/>
      <c r="AY167" s="3"/>
      <c r="AZ167" s="3">
        <v>183</v>
      </c>
      <c r="BA167" s="3">
        <v>200</v>
      </c>
      <c r="BB167" s="3"/>
      <c r="BC167" s="3" t="s">
        <v>2778</v>
      </c>
      <c r="BD167" s="15" t="str">
        <f>HYPERLINK("http://dx.doi.org/10.3934/agrfood.2017.2.183","http://dx.doi.org/10.3934/agrfood.2017.2.183")</f>
        <v>http://dx.doi.org/10.3934/agrfood.2017.2.183</v>
      </c>
      <c r="BE167" s="3"/>
      <c r="BF167" s="3"/>
      <c r="BG167" s="3"/>
      <c r="BH167" s="3"/>
      <c r="BI167" s="3"/>
      <c r="BJ167" s="3" t="s">
        <v>2779</v>
      </c>
      <c r="BK167" s="3"/>
      <c r="BL167" s="3"/>
      <c r="BM167" s="3"/>
      <c r="BN167" s="3"/>
      <c r="BO167" s="3"/>
      <c r="BP167" s="3"/>
      <c r="BQ167" s="3"/>
      <c r="BR167" s="3"/>
      <c r="BS167" s="3"/>
      <c r="BT167" s="3"/>
      <c r="BU167" s="13" t="s">
        <v>7291</v>
      </c>
      <c r="BV167" s="2" t="s">
        <v>7188</v>
      </c>
      <c r="BW167" s="2" t="s">
        <v>7189</v>
      </c>
    </row>
    <row r="168" spans="1:75" ht="12.75" customHeight="1">
      <c r="A168" s="6" t="s">
        <v>63</v>
      </c>
      <c r="B168" s="6" t="s">
        <v>6671</v>
      </c>
      <c r="C168" s="6"/>
      <c r="D168" s="6"/>
      <c r="E168" s="6"/>
      <c r="F168" s="6" t="s">
        <v>6672</v>
      </c>
      <c r="G168" s="6"/>
      <c r="H168" s="6"/>
      <c r="I168" s="6" t="s">
        <v>6673</v>
      </c>
      <c r="J168" s="6" t="s">
        <v>434</v>
      </c>
      <c r="K168" s="6"/>
      <c r="L168" s="6"/>
      <c r="M168" s="6"/>
      <c r="N168" s="6"/>
      <c r="O168" s="6"/>
      <c r="P168" s="6"/>
      <c r="Q168" s="6"/>
      <c r="R168" s="6"/>
      <c r="S168" s="6"/>
      <c r="T168" s="6" t="s">
        <v>6674</v>
      </c>
      <c r="U168" s="6"/>
      <c r="V168" s="6"/>
      <c r="W168" s="6"/>
      <c r="X168" s="6"/>
      <c r="Y168" s="6"/>
      <c r="Z168" s="6"/>
      <c r="AA168" s="6"/>
      <c r="AB168" s="6"/>
      <c r="AC168" s="6"/>
      <c r="AD168" s="6"/>
      <c r="AE168" s="6"/>
      <c r="AF168" s="6"/>
      <c r="AG168" s="6"/>
      <c r="AH168" s="6"/>
      <c r="AI168" s="6"/>
      <c r="AJ168" s="6"/>
      <c r="AK168" s="6"/>
      <c r="AL168" s="6"/>
      <c r="AM168" s="6" t="s">
        <v>436</v>
      </c>
      <c r="AN168" s="6" t="s">
        <v>568</v>
      </c>
      <c r="AO168" s="6"/>
      <c r="AP168" s="6"/>
      <c r="AQ168" s="6"/>
      <c r="AR168" s="6" t="s">
        <v>67</v>
      </c>
      <c r="AS168" s="6">
        <v>2024</v>
      </c>
      <c r="AT168" s="6">
        <v>163</v>
      </c>
      <c r="AU168" s="6"/>
      <c r="AV168" s="6"/>
      <c r="AW168" s="6"/>
      <c r="AX168" s="6"/>
      <c r="AY168" s="6"/>
      <c r="AZ168" s="6"/>
      <c r="BA168" s="6"/>
      <c r="BB168" s="6">
        <v>103184</v>
      </c>
      <c r="BC168" s="6" t="s">
        <v>6675</v>
      </c>
      <c r="BD168" s="9" t="str">
        <f>HYPERLINK("http://dx.doi.org/10.1016/j.apgeog.2023.103184","http://dx.doi.org/10.1016/j.apgeog.2023.103184")</f>
        <v>http://dx.doi.org/10.1016/j.apgeog.2023.103184</v>
      </c>
      <c r="BE168" s="6"/>
      <c r="BF168" s="6" t="s">
        <v>6637</v>
      </c>
      <c r="BG168" s="6"/>
      <c r="BH168" s="6"/>
      <c r="BI168" s="6"/>
      <c r="BJ168" s="6" t="s">
        <v>6676</v>
      </c>
      <c r="BK168" s="6"/>
      <c r="BL168" s="6"/>
      <c r="BM168" s="6"/>
      <c r="BN168" s="6"/>
      <c r="BO168" s="6"/>
      <c r="BP168" s="6"/>
      <c r="BQ168" s="6"/>
      <c r="BR168" s="6"/>
      <c r="BS168" s="6"/>
      <c r="BT168" s="6"/>
      <c r="BU168" s="8" t="s">
        <v>7193</v>
      </c>
      <c r="BV168" s="8" t="s">
        <v>7214</v>
      </c>
      <c r="BW168" s="8" t="s">
        <v>7205</v>
      </c>
    </row>
    <row r="169" spans="1:75" ht="12.75" customHeight="1">
      <c r="A169" s="3" t="s">
        <v>63</v>
      </c>
      <c r="B169" s="3" t="s">
        <v>589</v>
      </c>
      <c r="C169" s="3"/>
      <c r="D169" s="3"/>
      <c r="E169" s="3"/>
      <c r="F169" s="3" t="s">
        <v>590</v>
      </c>
      <c r="G169" s="3"/>
      <c r="H169" s="3"/>
      <c r="I169" s="3" t="s">
        <v>591</v>
      </c>
      <c r="J169" s="3" t="s">
        <v>434</v>
      </c>
      <c r="K169" s="3"/>
      <c r="L169" s="3"/>
      <c r="M169" s="3"/>
      <c r="N169" s="3"/>
      <c r="O169" s="3"/>
      <c r="P169" s="3"/>
      <c r="Q169" s="3"/>
      <c r="R169" s="3"/>
      <c r="S169" s="3"/>
      <c r="T169" s="3" t="s">
        <v>592</v>
      </c>
      <c r="U169" s="3"/>
      <c r="V169" s="3"/>
      <c r="W169" s="3"/>
      <c r="X169" s="3"/>
      <c r="Y169" s="3"/>
      <c r="Z169" s="3" t="s">
        <v>593</v>
      </c>
      <c r="AA169" s="3"/>
      <c r="AB169" s="3"/>
      <c r="AC169" s="3"/>
      <c r="AD169" s="3"/>
      <c r="AE169" s="3"/>
      <c r="AF169" s="3"/>
      <c r="AG169" s="3"/>
      <c r="AH169" s="3"/>
      <c r="AI169" s="3"/>
      <c r="AJ169" s="3"/>
      <c r="AK169" s="3"/>
      <c r="AL169" s="3"/>
      <c r="AM169" s="3" t="s">
        <v>436</v>
      </c>
      <c r="AN169" s="3" t="s">
        <v>568</v>
      </c>
      <c r="AO169" s="3"/>
      <c r="AP169" s="3"/>
      <c r="AQ169" s="3"/>
      <c r="AR169" s="3" t="s">
        <v>92</v>
      </c>
      <c r="AS169" s="3">
        <v>2011</v>
      </c>
      <c r="AT169" s="3">
        <v>31</v>
      </c>
      <c r="AU169" s="3">
        <v>4</v>
      </c>
      <c r="AV169" s="3"/>
      <c r="AW169" s="3"/>
      <c r="AX169" s="3" t="s">
        <v>569</v>
      </c>
      <c r="AY169" s="3"/>
      <c r="AZ169" s="3">
        <v>1197</v>
      </c>
      <c r="BA169" s="3">
        <v>1209</v>
      </c>
      <c r="BB169" s="3"/>
      <c r="BC169" s="3" t="s">
        <v>594</v>
      </c>
      <c r="BD169" s="15" t="str">
        <f>HYPERLINK("http://dx.doi.org/10.1016/j.apgeog.2011.01.010","http://dx.doi.org/10.1016/j.apgeog.2011.01.010")</f>
        <v>http://dx.doi.org/10.1016/j.apgeog.2011.01.010</v>
      </c>
      <c r="BE169" s="3"/>
      <c r="BF169" s="3"/>
      <c r="BG169" s="3"/>
      <c r="BH169" s="3"/>
      <c r="BI169" s="3"/>
      <c r="BJ169" s="3" t="s">
        <v>595</v>
      </c>
      <c r="BK169" s="3"/>
      <c r="BL169" s="3"/>
      <c r="BM169" s="3"/>
      <c r="BN169" s="3"/>
      <c r="BO169" s="3"/>
      <c r="BP169" s="3"/>
      <c r="BQ169" s="3"/>
      <c r="BR169" s="3"/>
      <c r="BS169" s="3"/>
      <c r="BT169" s="3"/>
      <c r="BU169" s="13" t="s">
        <v>7292</v>
      </c>
      <c r="BV169" s="2" t="s">
        <v>7188</v>
      </c>
      <c r="BW169" s="2" t="s">
        <v>7189</v>
      </c>
    </row>
    <row r="170" spans="1:75" ht="12.75" customHeight="1">
      <c r="A170" s="6" t="s">
        <v>63</v>
      </c>
      <c r="B170" s="6" t="s">
        <v>236</v>
      </c>
      <c r="C170" s="6"/>
      <c r="D170" s="6"/>
      <c r="E170" s="6"/>
      <c r="F170" s="6" t="s">
        <v>237</v>
      </c>
      <c r="G170" s="6"/>
      <c r="H170" s="6"/>
      <c r="I170" s="6" t="s">
        <v>238</v>
      </c>
      <c r="J170" s="6" t="s">
        <v>239</v>
      </c>
      <c r="K170" s="6"/>
      <c r="L170" s="6"/>
      <c r="M170" s="6"/>
      <c r="N170" s="6"/>
      <c r="O170" s="6"/>
      <c r="P170" s="6"/>
      <c r="Q170" s="6"/>
      <c r="R170" s="6"/>
      <c r="S170" s="6"/>
      <c r="T170" s="6" t="s">
        <v>240</v>
      </c>
      <c r="U170" s="6"/>
      <c r="V170" s="6"/>
      <c r="W170" s="6"/>
      <c r="X170" s="6"/>
      <c r="Y170" s="6" t="s">
        <v>241</v>
      </c>
      <c r="Z170" s="6" t="s">
        <v>242</v>
      </c>
      <c r="AA170" s="6"/>
      <c r="AB170" s="6"/>
      <c r="AC170" s="6"/>
      <c r="AD170" s="6"/>
      <c r="AE170" s="6"/>
      <c r="AF170" s="6"/>
      <c r="AG170" s="6"/>
      <c r="AH170" s="6"/>
      <c r="AI170" s="6"/>
      <c r="AJ170" s="6"/>
      <c r="AK170" s="6"/>
      <c r="AL170" s="6"/>
      <c r="AM170" s="6" t="s">
        <v>243</v>
      </c>
      <c r="AN170" s="6"/>
      <c r="AO170" s="6"/>
      <c r="AP170" s="6"/>
      <c r="AQ170" s="6"/>
      <c r="AR170" s="6" t="s">
        <v>244</v>
      </c>
      <c r="AS170" s="6">
        <v>2007</v>
      </c>
      <c r="AT170" s="6">
        <v>6</v>
      </c>
      <c r="AU170" s="6"/>
      <c r="AV170" s="6"/>
      <c r="AW170" s="6"/>
      <c r="AX170" s="6"/>
      <c r="AY170" s="6"/>
      <c r="AZ170" s="6"/>
      <c r="BA170" s="6"/>
      <c r="BB170" s="6">
        <v>4</v>
      </c>
      <c r="BC170" s="6" t="s">
        <v>245</v>
      </c>
      <c r="BD170" s="9" t="str">
        <f>HYPERLINK("http://dx.doi.org/10.1186/1476-072X-6-4","http://dx.doi.org/10.1186/1476-072X-6-4")</f>
        <v>http://dx.doi.org/10.1186/1476-072X-6-4</v>
      </c>
      <c r="BE170" s="6"/>
      <c r="BF170" s="6"/>
      <c r="BG170" s="6"/>
      <c r="BH170" s="6"/>
      <c r="BI170" s="6">
        <v>17295912</v>
      </c>
      <c r="BJ170" s="6" t="s">
        <v>246</v>
      </c>
      <c r="BK170" s="6"/>
      <c r="BL170" s="6"/>
      <c r="BM170" s="6"/>
      <c r="BN170" s="6"/>
      <c r="BO170" s="6"/>
      <c r="BP170" s="6"/>
      <c r="BQ170" s="6"/>
      <c r="BR170" s="6"/>
      <c r="BS170" s="6"/>
      <c r="BT170" s="6"/>
      <c r="BU170" s="8" t="s">
        <v>454</v>
      </c>
      <c r="BV170" s="8" t="s">
        <v>2039</v>
      </c>
      <c r="BW170" s="8" t="s">
        <v>7189</v>
      </c>
    </row>
    <row r="171" spans="1:75" ht="12.75" customHeight="1">
      <c r="A171" s="6" t="s">
        <v>63</v>
      </c>
      <c r="B171" s="6" t="s">
        <v>6677</v>
      </c>
      <c r="C171" s="6"/>
      <c r="D171" s="6"/>
      <c r="E171" s="6"/>
      <c r="F171" s="6" t="s">
        <v>6678</v>
      </c>
      <c r="G171" s="6"/>
      <c r="H171" s="6"/>
      <c r="I171" s="6" t="s">
        <v>6679</v>
      </c>
      <c r="J171" s="6" t="s">
        <v>3374</v>
      </c>
      <c r="K171" s="6"/>
      <c r="L171" s="6"/>
      <c r="M171" s="6"/>
      <c r="N171" s="6"/>
      <c r="O171" s="6"/>
      <c r="P171" s="6"/>
      <c r="Q171" s="6"/>
      <c r="R171" s="6"/>
      <c r="S171" s="6"/>
      <c r="T171" s="6" t="s">
        <v>6680</v>
      </c>
      <c r="U171" s="6"/>
      <c r="V171" s="6"/>
      <c r="W171" s="6"/>
      <c r="X171" s="6"/>
      <c r="Y171" s="6" t="s">
        <v>6681</v>
      </c>
      <c r="Z171" s="6" t="s">
        <v>6682</v>
      </c>
      <c r="AA171" s="6"/>
      <c r="AB171" s="6"/>
      <c r="AC171" s="6"/>
      <c r="AD171" s="6"/>
      <c r="AE171" s="6"/>
      <c r="AF171" s="6"/>
      <c r="AG171" s="6"/>
      <c r="AH171" s="6"/>
      <c r="AI171" s="6"/>
      <c r="AJ171" s="6"/>
      <c r="AK171" s="6"/>
      <c r="AL171" s="6"/>
      <c r="AM171" s="6"/>
      <c r="AN171" s="6" t="s">
        <v>3377</v>
      </c>
      <c r="AO171" s="6"/>
      <c r="AP171" s="6"/>
      <c r="AQ171" s="6"/>
      <c r="AR171" s="6" t="s">
        <v>67</v>
      </c>
      <c r="AS171" s="6">
        <v>2024</v>
      </c>
      <c r="AT171" s="6">
        <v>16</v>
      </c>
      <c r="AU171" s="6">
        <v>3</v>
      </c>
      <c r="AV171" s="6"/>
      <c r="AW171" s="6"/>
      <c r="AX171" s="6"/>
      <c r="AY171" s="6"/>
      <c r="AZ171" s="6"/>
      <c r="BA171" s="6"/>
      <c r="BB171" s="6">
        <v>1136</v>
      </c>
      <c r="BC171" s="6" t="s">
        <v>6683</v>
      </c>
      <c r="BD171" s="9" t="str">
        <f>HYPERLINK("http://dx.doi.org/10.3390/su16031136","http://dx.doi.org/10.3390/su16031136")</f>
        <v>http://dx.doi.org/10.3390/su16031136</v>
      </c>
      <c r="BE171" s="6"/>
      <c r="BF171" s="6"/>
      <c r="BG171" s="6"/>
      <c r="BH171" s="6"/>
      <c r="BI171" s="6"/>
      <c r="BJ171" s="6" t="s">
        <v>6684</v>
      </c>
      <c r="BK171" s="6"/>
      <c r="BL171" s="6"/>
      <c r="BM171" s="6"/>
      <c r="BN171" s="6"/>
      <c r="BO171" s="6"/>
      <c r="BP171" s="6"/>
      <c r="BQ171" s="6"/>
      <c r="BR171" s="6"/>
      <c r="BS171" s="6"/>
      <c r="BT171" s="6"/>
      <c r="BU171" s="8" t="s">
        <v>7293</v>
      </c>
      <c r="BV171" s="8" t="s">
        <v>7242</v>
      </c>
      <c r="BW171" s="8" t="s">
        <v>7205</v>
      </c>
    </row>
    <row r="172" spans="1:75" ht="12.75" customHeight="1">
      <c r="A172" s="6" t="s">
        <v>63</v>
      </c>
      <c r="B172" s="6" t="s">
        <v>6685</v>
      </c>
      <c r="C172" s="6"/>
      <c r="D172" s="6"/>
      <c r="E172" s="6"/>
      <c r="F172" s="6" t="s">
        <v>6686</v>
      </c>
      <c r="G172" s="6"/>
      <c r="H172" s="6"/>
      <c r="I172" s="6" t="s">
        <v>6687</v>
      </c>
      <c r="J172" s="6" t="s">
        <v>2829</v>
      </c>
      <c r="K172" s="6"/>
      <c r="L172" s="6"/>
      <c r="M172" s="6"/>
      <c r="N172" s="6"/>
      <c r="O172" s="6"/>
      <c r="P172" s="6"/>
      <c r="Q172" s="6"/>
      <c r="R172" s="6"/>
      <c r="S172" s="6"/>
      <c r="T172" s="6" t="s">
        <v>6688</v>
      </c>
      <c r="U172" s="6"/>
      <c r="V172" s="6"/>
      <c r="W172" s="6"/>
      <c r="X172" s="6"/>
      <c r="Y172" s="6"/>
      <c r="Z172" s="6" t="s">
        <v>6689</v>
      </c>
      <c r="AA172" s="6"/>
      <c r="AB172" s="6"/>
      <c r="AC172" s="6"/>
      <c r="AD172" s="6"/>
      <c r="AE172" s="6"/>
      <c r="AF172" s="6"/>
      <c r="AG172" s="6"/>
      <c r="AH172" s="6"/>
      <c r="AI172" s="6"/>
      <c r="AJ172" s="6"/>
      <c r="AK172" s="6"/>
      <c r="AL172" s="6"/>
      <c r="AM172" s="6" t="s">
        <v>2833</v>
      </c>
      <c r="AN172" s="6" t="s">
        <v>2834</v>
      </c>
      <c r="AO172" s="6"/>
      <c r="AP172" s="6"/>
      <c r="AQ172" s="6"/>
      <c r="AR172" s="6" t="s">
        <v>64</v>
      </c>
      <c r="AS172" s="6">
        <v>2024</v>
      </c>
      <c r="AT172" s="6">
        <v>153</v>
      </c>
      <c r="AU172" s="6"/>
      <c r="AV172" s="6"/>
      <c r="AW172" s="6"/>
      <c r="AX172" s="6"/>
      <c r="AY172" s="6"/>
      <c r="AZ172" s="6"/>
      <c r="BA172" s="6"/>
      <c r="BB172" s="6">
        <v>103174</v>
      </c>
      <c r="BC172" s="6" t="s">
        <v>6690</v>
      </c>
      <c r="BD172" s="9" t="str">
        <f>HYPERLINK("http://dx.doi.org/10.1016/j.habitatint.2024.103174","http://dx.doi.org/10.1016/j.habitatint.2024.103174")</f>
        <v>http://dx.doi.org/10.1016/j.habitatint.2024.103174</v>
      </c>
      <c r="BE172" s="6"/>
      <c r="BF172" s="6"/>
      <c r="BG172" s="6"/>
      <c r="BH172" s="6"/>
      <c r="BI172" s="6"/>
      <c r="BJ172" s="6" t="s">
        <v>6691</v>
      </c>
      <c r="BK172" s="6"/>
      <c r="BL172" s="6"/>
      <c r="BM172" s="6"/>
      <c r="BN172" s="6"/>
      <c r="BO172" s="6"/>
      <c r="BP172" s="6"/>
      <c r="BQ172" s="6"/>
      <c r="BR172" s="6"/>
      <c r="BS172" s="6"/>
      <c r="BT172" s="6"/>
      <c r="BU172" s="8" t="s">
        <v>7294</v>
      </c>
      <c r="BV172" s="8" t="s">
        <v>6423</v>
      </c>
      <c r="BW172" s="8" t="s">
        <v>7196</v>
      </c>
    </row>
    <row r="173" spans="1:75" ht="12.75" customHeight="1">
      <c r="A173" s="6" t="s">
        <v>63</v>
      </c>
      <c r="B173" s="6" t="s">
        <v>2780</v>
      </c>
      <c r="C173" s="6"/>
      <c r="D173" s="6"/>
      <c r="E173" s="6"/>
      <c r="F173" s="6" t="s">
        <v>2781</v>
      </c>
      <c r="G173" s="6"/>
      <c r="H173" s="6"/>
      <c r="I173" s="6" t="s">
        <v>2782</v>
      </c>
      <c r="J173" s="6" t="s">
        <v>2783</v>
      </c>
      <c r="K173" s="6"/>
      <c r="L173" s="6"/>
      <c r="M173" s="6"/>
      <c r="N173" s="6"/>
      <c r="O173" s="6"/>
      <c r="P173" s="6"/>
      <c r="Q173" s="6"/>
      <c r="R173" s="6"/>
      <c r="S173" s="6"/>
      <c r="T173" s="6" t="s">
        <v>2784</v>
      </c>
      <c r="U173" s="6"/>
      <c r="V173" s="6"/>
      <c r="W173" s="6"/>
      <c r="X173" s="6"/>
      <c r="Y173" s="6" t="s">
        <v>271</v>
      </c>
      <c r="Z173" s="6" t="s">
        <v>2785</v>
      </c>
      <c r="AA173" s="6"/>
      <c r="AB173" s="6"/>
      <c r="AC173" s="6"/>
      <c r="AD173" s="6"/>
      <c r="AE173" s="6"/>
      <c r="AF173" s="6"/>
      <c r="AG173" s="6"/>
      <c r="AH173" s="6"/>
      <c r="AI173" s="6"/>
      <c r="AJ173" s="6"/>
      <c r="AK173" s="6"/>
      <c r="AL173" s="6"/>
      <c r="AM173" s="6" t="s">
        <v>2786</v>
      </c>
      <c r="AN173" s="6"/>
      <c r="AO173" s="6"/>
      <c r="AP173" s="6"/>
      <c r="AQ173" s="6"/>
      <c r="AR173" s="6" t="s">
        <v>66</v>
      </c>
      <c r="AS173" s="6">
        <v>2017</v>
      </c>
      <c r="AT173" s="6">
        <v>25</v>
      </c>
      <c r="AU173" s="6">
        <v>2</v>
      </c>
      <c r="AV173" s="6"/>
      <c r="AW173" s="6"/>
      <c r="AX173" s="6"/>
      <c r="AY173" s="6"/>
      <c r="AZ173" s="6">
        <v>95</v>
      </c>
      <c r="BA173" s="6">
        <v>103</v>
      </c>
      <c r="BB173" s="6"/>
      <c r="BC173" s="6" t="s">
        <v>2787</v>
      </c>
      <c r="BD173" s="9" t="str">
        <f>HYPERLINK("http://dx.doi.org/10.1515/mgr-2017-0009","http://dx.doi.org/10.1515/mgr-2017-0009")</f>
        <v>http://dx.doi.org/10.1515/mgr-2017-0009</v>
      </c>
      <c r="BE173" s="6"/>
      <c r="BF173" s="6"/>
      <c r="BG173" s="6"/>
      <c r="BH173" s="6"/>
      <c r="BI173" s="6"/>
      <c r="BJ173" s="6" t="s">
        <v>2788</v>
      </c>
      <c r="BK173" s="6"/>
      <c r="BL173" s="6"/>
      <c r="BM173" s="6"/>
      <c r="BN173" s="6"/>
      <c r="BO173" s="6"/>
      <c r="BP173" s="6"/>
      <c r="BQ173" s="6"/>
      <c r="BR173" s="6"/>
      <c r="BS173" s="6"/>
      <c r="BT173" s="6"/>
      <c r="BU173" s="8" t="s">
        <v>7295</v>
      </c>
      <c r="BV173" s="8" t="s">
        <v>7204</v>
      </c>
      <c r="BW173" s="8" t="s">
        <v>7205</v>
      </c>
    </row>
    <row r="174" spans="1:75" ht="12.75" customHeight="1">
      <c r="A174" s="4" t="s">
        <v>63</v>
      </c>
      <c r="B174" s="4" t="s">
        <v>4863</v>
      </c>
      <c r="C174" s="4"/>
      <c r="D174" s="4"/>
      <c r="E174" s="4"/>
      <c r="F174" s="4" t="s">
        <v>4864</v>
      </c>
      <c r="G174" s="4"/>
      <c r="H174" s="4"/>
      <c r="I174" s="4" t="s">
        <v>4865</v>
      </c>
      <c r="J174" s="4" t="s">
        <v>3768</v>
      </c>
      <c r="K174" s="4"/>
      <c r="L174" s="4"/>
      <c r="M174" s="4"/>
      <c r="N174" s="4"/>
      <c r="O174" s="4"/>
      <c r="P174" s="4"/>
      <c r="Q174" s="4"/>
      <c r="R174" s="4"/>
      <c r="S174" s="4"/>
      <c r="T174" s="4" t="s">
        <v>4866</v>
      </c>
      <c r="U174" s="4"/>
      <c r="V174" s="4"/>
      <c r="W174" s="4"/>
      <c r="X174" s="4"/>
      <c r="Y174" s="4"/>
      <c r="Z174" s="4"/>
      <c r="AA174" s="4"/>
      <c r="AB174" s="4"/>
      <c r="AC174" s="4"/>
      <c r="AD174" s="4"/>
      <c r="AE174" s="4"/>
      <c r="AF174" s="4"/>
      <c r="AG174" s="4"/>
      <c r="AH174" s="4"/>
      <c r="AI174" s="4"/>
      <c r="AJ174" s="4"/>
      <c r="AK174" s="4"/>
      <c r="AL174" s="4"/>
      <c r="AM174" s="4" t="s">
        <v>3772</v>
      </c>
      <c r="AN174" s="4" t="s">
        <v>3773</v>
      </c>
      <c r="AO174" s="4"/>
      <c r="AP174" s="4"/>
      <c r="AQ174" s="4"/>
      <c r="AR174" s="4"/>
      <c r="AS174" s="4">
        <v>2021</v>
      </c>
      <c r="AT174" s="4">
        <v>56</v>
      </c>
      <c r="AU174" s="4">
        <v>118</v>
      </c>
      <c r="AV174" s="4"/>
      <c r="AW174" s="4"/>
      <c r="AX174" s="4"/>
      <c r="AY174" s="4"/>
      <c r="AZ174" s="4">
        <v>111</v>
      </c>
      <c r="BA174" s="4">
        <v>129</v>
      </c>
      <c r="BB174" s="4"/>
      <c r="BC174" s="4" t="s">
        <v>4867</v>
      </c>
      <c r="BD174" s="5" t="str">
        <f>HYPERLINK("http://dx.doi.org/10.18055/Finis20943","http://dx.doi.org/10.18055/Finis20943")</f>
        <v>http://dx.doi.org/10.18055/Finis20943</v>
      </c>
      <c r="BE174" s="4"/>
      <c r="BF174" s="4"/>
      <c r="BG174" s="4"/>
      <c r="BH174" s="4"/>
      <c r="BI174" s="4"/>
      <c r="BJ174" s="4" t="s">
        <v>4868</v>
      </c>
      <c r="BK174" s="4"/>
      <c r="BL174" s="4"/>
      <c r="BM174" s="4"/>
      <c r="BN174" s="4"/>
      <c r="BO174" s="4"/>
      <c r="BP174" s="4"/>
      <c r="BQ174" s="4"/>
      <c r="BR174" s="4"/>
      <c r="BS174" s="4"/>
      <c r="BT174" s="4"/>
      <c r="BU174" s="12" t="s">
        <v>7296</v>
      </c>
      <c r="BV174" s="12" t="s">
        <v>3516</v>
      </c>
      <c r="BW174" s="12" t="s">
        <v>7196</v>
      </c>
    </row>
    <row r="175" spans="1:75" ht="12.75" customHeight="1">
      <c r="A175" s="4" t="s">
        <v>63</v>
      </c>
      <c r="B175" s="4" t="s">
        <v>2789</v>
      </c>
      <c r="C175" s="4"/>
      <c r="D175" s="4"/>
      <c r="E175" s="4"/>
      <c r="F175" s="4" t="s">
        <v>2790</v>
      </c>
      <c r="G175" s="4"/>
      <c r="H175" s="4"/>
      <c r="I175" s="4" t="s">
        <v>2791</v>
      </c>
      <c r="J175" s="4" t="s">
        <v>1142</v>
      </c>
      <c r="K175" s="4"/>
      <c r="L175" s="4"/>
      <c r="M175" s="4"/>
      <c r="N175" s="4"/>
      <c r="O175" s="4"/>
      <c r="P175" s="4"/>
      <c r="Q175" s="4"/>
      <c r="R175" s="4"/>
      <c r="S175" s="4"/>
      <c r="T175" s="4" t="s">
        <v>2792</v>
      </c>
      <c r="U175" s="4"/>
      <c r="V175" s="4"/>
      <c r="W175" s="4"/>
      <c r="X175" s="4"/>
      <c r="Y175" s="4" t="s">
        <v>2793</v>
      </c>
      <c r="Z175" s="4" t="s">
        <v>2794</v>
      </c>
      <c r="AA175" s="4"/>
      <c r="AB175" s="4"/>
      <c r="AC175" s="4"/>
      <c r="AD175" s="4"/>
      <c r="AE175" s="4"/>
      <c r="AF175" s="4"/>
      <c r="AG175" s="4"/>
      <c r="AH175" s="4"/>
      <c r="AI175" s="4"/>
      <c r="AJ175" s="4"/>
      <c r="AK175" s="4"/>
      <c r="AL175" s="4"/>
      <c r="AM175" s="4"/>
      <c r="AN175" s="4" t="s">
        <v>1144</v>
      </c>
      <c r="AO175" s="4"/>
      <c r="AP175" s="4"/>
      <c r="AQ175" s="4"/>
      <c r="AR175" s="4" t="s">
        <v>64</v>
      </c>
      <c r="AS175" s="4">
        <v>2017</v>
      </c>
      <c r="AT175" s="4">
        <v>14</v>
      </c>
      <c r="AU175" s="4">
        <v>11</v>
      </c>
      <c r="AV175" s="4"/>
      <c r="AW175" s="4"/>
      <c r="AX175" s="4"/>
      <c r="AY175" s="4"/>
      <c r="AZ175" s="4"/>
      <c r="BA175" s="4"/>
      <c r="BB175" s="4">
        <v>1366</v>
      </c>
      <c r="BC175" s="4" t="s">
        <v>2795</v>
      </c>
      <c r="BD175" s="5" t="str">
        <f>HYPERLINK("http://dx.doi.org/10.3390/ijerph14111366","http://dx.doi.org/10.3390/ijerph14111366")</f>
        <v>http://dx.doi.org/10.3390/ijerph14111366</v>
      </c>
      <c r="BE175" s="4"/>
      <c r="BF175" s="4"/>
      <c r="BG175" s="4"/>
      <c r="BH175" s="4"/>
      <c r="BI175" s="4">
        <v>29135909</v>
      </c>
      <c r="BJ175" s="4" t="s">
        <v>2796</v>
      </c>
      <c r="BK175" s="4"/>
      <c r="BL175" s="4"/>
      <c r="BM175" s="4"/>
      <c r="BN175" s="4"/>
      <c r="BO175" s="4"/>
      <c r="BP175" s="4"/>
      <c r="BQ175" s="4"/>
      <c r="BR175" s="4"/>
      <c r="BS175" s="4"/>
      <c r="BT175" s="4"/>
      <c r="BU175" s="12" t="s">
        <v>7201</v>
      </c>
      <c r="BV175" s="12" t="s">
        <v>7188</v>
      </c>
      <c r="BW175" s="12" t="s">
        <v>7189</v>
      </c>
    </row>
    <row r="176" spans="1:75" ht="12.75" customHeight="1">
      <c r="A176" s="6" t="s">
        <v>63</v>
      </c>
      <c r="B176" s="6" t="s">
        <v>2797</v>
      </c>
      <c r="C176" s="6"/>
      <c r="D176" s="6"/>
      <c r="E176" s="6"/>
      <c r="F176" s="6" t="s">
        <v>2798</v>
      </c>
      <c r="G176" s="6"/>
      <c r="H176" s="6"/>
      <c r="I176" s="6" t="s">
        <v>2799</v>
      </c>
      <c r="J176" s="6" t="s">
        <v>363</v>
      </c>
      <c r="K176" s="6"/>
      <c r="L176" s="6"/>
      <c r="M176" s="6"/>
      <c r="N176" s="6"/>
      <c r="O176" s="6"/>
      <c r="P176" s="6"/>
      <c r="Q176" s="6"/>
      <c r="R176" s="6"/>
      <c r="S176" s="6"/>
      <c r="T176" s="6" t="s">
        <v>2800</v>
      </c>
      <c r="U176" s="6"/>
      <c r="V176" s="6"/>
      <c r="W176" s="6"/>
      <c r="X176" s="6"/>
      <c r="Y176" s="6" t="s">
        <v>2801</v>
      </c>
      <c r="Z176" s="6" t="s">
        <v>2802</v>
      </c>
      <c r="AA176" s="6"/>
      <c r="AB176" s="6"/>
      <c r="AC176" s="6"/>
      <c r="AD176" s="6"/>
      <c r="AE176" s="6"/>
      <c r="AF176" s="6"/>
      <c r="AG176" s="6"/>
      <c r="AH176" s="6"/>
      <c r="AI176" s="6"/>
      <c r="AJ176" s="6"/>
      <c r="AK176" s="6"/>
      <c r="AL176" s="6"/>
      <c r="AM176" s="6" t="s">
        <v>365</v>
      </c>
      <c r="AN176" s="6" t="s">
        <v>366</v>
      </c>
      <c r="AO176" s="6"/>
      <c r="AP176" s="6"/>
      <c r="AQ176" s="6"/>
      <c r="AR176" s="6"/>
      <c r="AS176" s="6">
        <v>2017</v>
      </c>
      <c r="AT176" s="6">
        <v>119</v>
      </c>
      <c r="AU176" s="6">
        <v>7</v>
      </c>
      <c r="AV176" s="6"/>
      <c r="AW176" s="6"/>
      <c r="AX176" s="6"/>
      <c r="AY176" s="6"/>
      <c r="AZ176" s="6">
        <v>1495</v>
      </c>
      <c r="BA176" s="6">
        <v>1510</v>
      </c>
      <c r="BB176" s="6"/>
      <c r="BC176" s="6" t="s">
        <v>2803</v>
      </c>
      <c r="BD176" s="9" t="str">
        <f>HYPERLINK("http://dx.doi.org/10.1108/BFJ-09-2016-0407","http://dx.doi.org/10.1108/BFJ-09-2016-0407")</f>
        <v>http://dx.doi.org/10.1108/BFJ-09-2016-0407</v>
      </c>
      <c r="BE176" s="6"/>
      <c r="BF176" s="6"/>
      <c r="BG176" s="6"/>
      <c r="BH176" s="6"/>
      <c r="BI176" s="6"/>
      <c r="BJ176" s="6" t="s">
        <v>2804</v>
      </c>
      <c r="BK176" s="6"/>
      <c r="BL176" s="6"/>
      <c r="BM176" s="6"/>
      <c r="BN176" s="6"/>
      <c r="BO176" s="6"/>
      <c r="BP176" s="6"/>
      <c r="BQ176" s="6"/>
      <c r="BR176" s="6"/>
      <c r="BS176" s="6"/>
      <c r="BT176" s="6"/>
      <c r="BU176" s="8" t="s">
        <v>454</v>
      </c>
      <c r="BV176" s="8" t="s">
        <v>2039</v>
      </c>
      <c r="BW176" s="8" t="s">
        <v>7189</v>
      </c>
    </row>
    <row r="177" spans="1:75" ht="12.75" customHeight="1">
      <c r="A177" s="6" t="s">
        <v>63</v>
      </c>
      <c r="B177" s="6" t="s">
        <v>4869</v>
      </c>
      <c r="C177" s="6"/>
      <c r="D177" s="6"/>
      <c r="E177" s="6"/>
      <c r="F177" s="6" t="s">
        <v>4870</v>
      </c>
      <c r="G177" s="6"/>
      <c r="H177" s="6"/>
      <c r="I177" s="6" t="s">
        <v>4871</v>
      </c>
      <c r="J177" s="6" t="s">
        <v>434</v>
      </c>
      <c r="K177" s="6"/>
      <c r="L177" s="6"/>
      <c r="M177" s="6"/>
      <c r="N177" s="6"/>
      <c r="O177" s="6"/>
      <c r="P177" s="6"/>
      <c r="Q177" s="6"/>
      <c r="R177" s="6"/>
      <c r="S177" s="6"/>
      <c r="T177" s="6" t="s">
        <v>4872</v>
      </c>
      <c r="U177" s="6"/>
      <c r="V177" s="6"/>
      <c r="W177" s="6"/>
      <c r="X177" s="6"/>
      <c r="Y177" s="6"/>
      <c r="Z177" s="6"/>
      <c r="AA177" s="6"/>
      <c r="AB177" s="6"/>
      <c r="AC177" s="6"/>
      <c r="AD177" s="6"/>
      <c r="AE177" s="6"/>
      <c r="AF177" s="6"/>
      <c r="AG177" s="6"/>
      <c r="AH177" s="6"/>
      <c r="AI177" s="6"/>
      <c r="AJ177" s="6"/>
      <c r="AK177" s="6"/>
      <c r="AL177" s="6"/>
      <c r="AM177" s="6" t="s">
        <v>436</v>
      </c>
      <c r="AN177" s="6" t="s">
        <v>568</v>
      </c>
      <c r="AO177" s="6"/>
      <c r="AP177" s="6"/>
      <c r="AQ177" s="6"/>
      <c r="AR177" s="6" t="s">
        <v>445</v>
      </c>
      <c r="AS177" s="6">
        <v>2021</v>
      </c>
      <c r="AT177" s="6">
        <v>134</v>
      </c>
      <c r="AU177" s="6"/>
      <c r="AV177" s="6"/>
      <c r="AW177" s="6"/>
      <c r="AX177" s="6"/>
      <c r="AY177" s="6"/>
      <c r="AZ177" s="6"/>
      <c r="BA177" s="6"/>
      <c r="BB177" s="6">
        <v>102497</v>
      </c>
      <c r="BC177" s="6" t="s">
        <v>4873</v>
      </c>
      <c r="BD177" s="9" t="str">
        <f>HYPERLINK("http://dx.doi.org/10.1016/j.apgeog.2021.102497","http://dx.doi.org/10.1016/j.apgeog.2021.102497")</f>
        <v>http://dx.doi.org/10.1016/j.apgeog.2021.102497</v>
      </c>
      <c r="BE177" s="6"/>
      <c r="BF177" s="6" t="s">
        <v>4874</v>
      </c>
      <c r="BG177" s="6"/>
      <c r="BH177" s="6"/>
      <c r="BI177" s="6"/>
      <c r="BJ177" s="6" t="s">
        <v>4875</v>
      </c>
      <c r="BK177" s="6"/>
      <c r="BL177" s="6"/>
      <c r="BM177" s="6"/>
      <c r="BN177" s="6"/>
      <c r="BO177" s="6"/>
      <c r="BP177" s="6"/>
      <c r="BQ177" s="6"/>
      <c r="BR177" s="6"/>
      <c r="BS177" s="6"/>
      <c r="BT177" s="6"/>
      <c r="BU177" s="8" t="s">
        <v>7193</v>
      </c>
      <c r="BV177" s="8" t="s">
        <v>7188</v>
      </c>
      <c r="BW177" s="8" t="s">
        <v>7189</v>
      </c>
    </row>
    <row r="178" spans="1:75" ht="12.75" customHeight="1">
      <c r="A178" s="6" t="s">
        <v>63</v>
      </c>
      <c r="B178" s="6" t="s">
        <v>1410</v>
      </c>
      <c r="C178" s="6"/>
      <c r="D178" s="6"/>
      <c r="E178" s="6"/>
      <c r="F178" s="6" t="s">
        <v>1411</v>
      </c>
      <c r="G178" s="6"/>
      <c r="H178" s="6"/>
      <c r="I178" s="6" t="s">
        <v>1412</v>
      </c>
      <c r="J178" s="6" t="s">
        <v>1413</v>
      </c>
      <c r="K178" s="6"/>
      <c r="L178" s="6"/>
      <c r="M178" s="6"/>
      <c r="N178" s="6"/>
      <c r="O178" s="6"/>
      <c r="P178" s="6"/>
      <c r="Q178" s="6"/>
      <c r="R178" s="6"/>
      <c r="S178" s="6"/>
      <c r="T178" s="6" t="s">
        <v>1414</v>
      </c>
      <c r="U178" s="6"/>
      <c r="V178" s="6"/>
      <c r="W178" s="6"/>
      <c r="X178" s="6"/>
      <c r="Y178" s="6" t="s">
        <v>1415</v>
      </c>
      <c r="Z178" s="6"/>
      <c r="AA178" s="6"/>
      <c r="AB178" s="6"/>
      <c r="AC178" s="6"/>
      <c r="AD178" s="6"/>
      <c r="AE178" s="6"/>
      <c r="AF178" s="6"/>
      <c r="AG178" s="6"/>
      <c r="AH178" s="6"/>
      <c r="AI178" s="6"/>
      <c r="AJ178" s="6"/>
      <c r="AK178" s="6"/>
      <c r="AL178" s="6"/>
      <c r="AM178" s="6" t="s">
        <v>1416</v>
      </c>
      <c r="AN178" s="6"/>
      <c r="AO178" s="6"/>
      <c r="AP178" s="6"/>
      <c r="AQ178" s="6"/>
      <c r="AR178" s="6" t="s">
        <v>1417</v>
      </c>
      <c r="AS178" s="6">
        <v>2014</v>
      </c>
      <c r="AT178" s="6">
        <v>9</v>
      </c>
      <c r="AU178" s="6">
        <v>19</v>
      </c>
      <c r="AV178" s="6"/>
      <c r="AW178" s="6"/>
      <c r="AX178" s="6"/>
      <c r="AY178" s="6"/>
      <c r="AZ178" s="6">
        <v>77</v>
      </c>
      <c r="BA178" s="6">
        <v>95</v>
      </c>
      <c r="BB178" s="6"/>
      <c r="BC178" s="6" t="s">
        <v>1418</v>
      </c>
      <c r="BD178" s="9" t="str">
        <f>HYPERLINK("http://dx.doi.org/10.24142/raju.v9n19a3","http://dx.doi.org/10.24142/raju.v9n19a3")</f>
        <v>http://dx.doi.org/10.24142/raju.v9n19a3</v>
      </c>
      <c r="BE178" s="6"/>
      <c r="BF178" s="6"/>
      <c r="BG178" s="6"/>
      <c r="BH178" s="6"/>
      <c r="BI178" s="6"/>
      <c r="BJ178" s="6" t="s">
        <v>1419</v>
      </c>
      <c r="BK178" s="6"/>
      <c r="BL178" s="6"/>
      <c r="BM178" s="6"/>
      <c r="BN178" s="6"/>
      <c r="BO178" s="6"/>
      <c r="BP178" s="6"/>
      <c r="BQ178" s="6"/>
      <c r="BR178" s="6"/>
      <c r="BS178" s="6"/>
      <c r="BT178" s="6"/>
      <c r="BU178" s="8" t="s">
        <v>7193</v>
      </c>
      <c r="BV178" s="8" t="s">
        <v>7265</v>
      </c>
      <c r="BW178" s="8" t="s">
        <v>7196</v>
      </c>
    </row>
    <row r="179" spans="1:75" ht="12.75" customHeight="1">
      <c r="A179" s="6" t="s">
        <v>63</v>
      </c>
      <c r="B179" s="6" t="s">
        <v>6156</v>
      </c>
      <c r="C179" s="6"/>
      <c r="D179" s="6"/>
      <c r="E179" s="6"/>
      <c r="F179" s="6" t="s">
        <v>6157</v>
      </c>
      <c r="G179" s="6"/>
      <c r="H179" s="6"/>
      <c r="I179" s="6" t="s">
        <v>6158</v>
      </c>
      <c r="J179" s="6" t="s">
        <v>1884</v>
      </c>
      <c r="K179" s="6"/>
      <c r="L179" s="6"/>
      <c r="M179" s="6"/>
      <c r="N179" s="6"/>
      <c r="O179" s="6"/>
      <c r="P179" s="6"/>
      <c r="Q179" s="6"/>
      <c r="R179" s="6"/>
      <c r="S179" s="6"/>
      <c r="T179" s="6" t="s">
        <v>6159</v>
      </c>
      <c r="U179" s="6"/>
      <c r="V179" s="6"/>
      <c r="W179" s="6"/>
      <c r="X179" s="6"/>
      <c r="Y179" s="6" t="s">
        <v>6160</v>
      </c>
      <c r="Z179" s="6" t="s">
        <v>6161</v>
      </c>
      <c r="AA179" s="6"/>
      <c r="AB179" s="6"/>
      <c r="AC179" s="6"/>
      <c r="AD179" s="6"/>
      <c r="AE179" s="6"/>
      <c r="AF179" s="6"/>
      <c r="AG179" s="6"/>
      <c r="AH179" s="6"/>
      <c r="AI179" s="6"/>
      <c r="AJ179" s="6"/>
      <c r="AK179" s="6"/>
      <c r="AL179" s="6"/>
      <c r="AM179" s="6" t="s">
        <v>1888</v>
      </c>
      <c r="AN179" s="6" t="s">
        <v>1889</v>
      </c>
      <c r="AO179" s="6"/>
      <c r="AP179" s="6"/>
      <c r="AQ179" s="6"/>
      <c r="AR179" s="6" t="s">
        <v>92</v>
      </c>
      <c r="AS179" s="6">
        <v>2023</v>
      </c>
      <c r="AT179" s="6">
        <v>15</v>
      </c>
      <c r="AU179" s="6">
        <v>5</v>
      </c>
      <c r="AV179" s="6"/>
      <c r="AW179" s="6"/>
      <c r="AX179" s="6"/>
      <c r="AY179" s="6"/>
      <c r="AZ179" s="6">
        <v>1255</v>
      </c>
      <c r="BA179" s="6">
        <v>1271</v>
      </c>
      <c r="BB179" s="6"/>
      <c r="BC179" s="6" t="s">
        <v>6162</v>
      </c>
      <c r="BD179" s="9" t="str">
        <f>HYPERLINK("http://dx.doi.org/10.1007/s12571-023-01381-5","http://dx.doi.org/10.1007/s12571-023-01381-5")</f>
        <v>http://dx.doi.org/10.1007/s12571-023-01381-5</v>
      </c>
      <c r="BE179" s="6"/>
      <c r="BF179" s="6" t="s">
        <v>6048</v>
      </c>
      <c r="BG179" s="6"/>
      <c r="BH179" s="6"/>
      <c r="BI179" s="6"/>
      <c r="BJ179" s="6" t="s">
        <v>6163</v>
      </c>
      <c r="BK179" s="6"/>
      <c r="BL179" s="6"/>
      <c r="BM179" s="6"/>
      <c r="BN179" s="6"/>
      <c r="BO179" s="6"/>
      <c r="BP179" s="6"/>
      <c r="BQ179" s="6"/>
      <c r="BR179" s="6"/>
      <c r="BS179" s="6"/>
      <c r="BT179" s="6"/>
      <c r="BU179" s="8" t="s">
        <v>7187</v>
      </c>
      <c r="BV179" s="8" t="s">
        <v>7188</v>
      </c>
      <c r="BW179" s="8" t="s">
        <v>7189</v>
      </c>
    </row>
    <row r="180" spans="1:75" ht="12.75" customHeight="1">
      <c r="A180" s="4" t="s">
        <v>63</v>
      </c>
      <c r="B180" s="4" t="s">
        <v>3297</v>
      </c>
      <c r="C180" s="4"/>
      <c r="D180" s="4"/>
      <c r="E180" s="4"/>
      <c r="F180" s="4" t="s">
        <v>3298</v>
      </c>
      <c r="G180" s="4"/>
      <c r="H180" s="4"/>
      <c r="I180" s="4" t="s">
        <v>3299</v>
      </c>
      <c r="J180" s="4" t="s">
        <v>380</v>
      </c>
      <c r="K180" s="4"/>
      <c r="L180" s="4"/>
      <c r="M180" s="4"/>
      <c r="N180" s="4"/>
      <c r="O180" s="4"/>
      <c r="P180" s="4"/>
      <c r="Q180" s="4"/>
      <c r="R180" s="4"/>
      <c r="S180" s="4"/>
      <c r="T180" s="4" t="s">
        <v>3300</v>
      </c>
      <c r="U180" s="4"/>
      <c r="V180" s="4"/>
      <c r="W180" s="4"/>
      <c r="X180" s="4"/>
      <c r="Y180" s="4" t="s">
        <v>3301</v>
      </c>
      <c r="Z180" s="4" t="s">
        <v>3302</v>
      </c>
      <c r="AA180" s="4"/>
      <c r="AB180" s="4"/>
      <c r="AC180" s="4"/>
      <c r="AD180" s="4"/>
      <c r="AE180" s="4"/>
      <c r="AF180" s="4"/>
      <c r="AG180" s="4"/>
      <c r="AH180" s="4"/>
      <c r="AI180" s="4"/>
      <c r="AJ180" s="4"/>
      <c r="AK180" s="4"/>
      <c r="AL180" s="4"/>
      <c r="AM180" s="4" t="s">
        <v>382</v>
      </c>
      <c r="AN180" s="4" t="s">
        <v>383</v>
      </c>
      <c r="AO180" s="4"/>
      <c r="AP180" s="4"/>
      <c r="AQ180" s="4"/>
      <c r="AR180" s="4" t="s">
        <v>82</v>
      </c>
      <c r="AS180" s="4">
        <v>2018</v>
      </c>
      <c r="AT180" s="4">
        <v>50</v>
      </c>
      <c r="AU180" s="4"/>
      <c r="AV180" s="4"/>
      <c r="AW180" s="4"/>
      <c r="AX180" s="4"/>
      <c r="AY180" s="4"/>
      <c r="AZ180" s="4">
        <v>81</v>
      </c>
      <c r="BA180" s="4">
        <v>88</v>
      </c>
      <c r="BB180" s="4"/>
      <c r="BC180" s="4" t="s">
        <v>3303</v>
      </c>
      <c r="BD180" s="5" t="str">
        <f>HYPERLINK("http://dx.doi.org/10.1016/j.healthplace.2018.01.004","http://dx.doi.org/10.1016/j.healthplace.2018.01.004")</f>
        <v>http://dx.doi.org/10.1016/j.healthplace.2018.01.004</v>
      </c>
      <c r="BE180" s="4"/>
      <c r="BF180" s="4"/>
      <c r="BG180" s="4"/>
      <c r="BH180" s="4"/>
      <c r="BI180" s="4">
        <v>29414425</v>
      </c>
      <c r="BJ180" s="4" t="s">
        <v>3304</v>
      </c>
      <c r="BK180" s="4"/>
      <c r="BL180" s="4"/>
      <c r="BM180" s="4"/>
      <c r="BN180" s="4"/>
      <c r="BO180" s="4"/>
      <c r="BP180" s="4"/>
      <c r="BQ180" s="4"/>
      <c r="BR180" s="4"/>
      <c r="BS180" s="4"/>
      <c r="BT180" s="4"/>
      <c r="BU180" s="12" t="s">
        <v>7201</v>
      </c>
      <c r="BV180" s="12" t="s">
        <v>7188</v>
      </c>
      <c r="BW180" s="12" t="s">
        <v>7189</v>
      </c>
    </row>
    <row r="181" spans="1:75" ht="12.75" customHeight="1">
      <c r="A181" s="6" t="s">
        <v>63</v>
      </c>
      <c r="B181" s="6" t="s">
        <v>5476</v>
      </c>
      <c r="C181" s="6"/>
      <c r="D181" s="6"/>
      <c r="E181" s="6"/>
      <c r="F181" s="6" t="s">
        <v>5477</v>
      </c>
      <c r="G181" s="6"/>
      <c r="H181" s="6"/>
      <c r="I181" s="6" t="s">
        <v>5478</v>
      </c>
      <c r="J181" s="6" t="s">
        <v>2840</v>
      </c>
      <c r="K181" s="6"/>
      <c r="L181" s="6"/>
      <c r="M181" s="6"/>
      <c r="N181" s="6"/>
      <c r="O181" s="6"/>
      <c r="P181" s="6"/>
      <c r="Q181" s="6"/>
      <c r="R181" s="6"/>
      <c r="S181" s="6"/>
      <c r="T181" s="6" t="s">
        <v>5479</v>
      </c>
      <c r="U181" s="6"/>
      <c r="V181" s="6"/>
      <c r="W181" s="6"/>
      <c r="X181" s="6"/>
      <c r="Y181" s="6" t="s">
        <v>5480</v>
      </c>
      <c r="Z181" s="6" t="s">
        <v>5481</v>
      </c>
      <c r="AA181" s="6"/>
      <c r="AB181" s="6"/>
      <c r="AC181" s="6"/>
      <c r="AD181" s="6"/>
      <c r="AE181" s="6"/>
      <c r="AF181" s="6"/>
      <c r="AG181" s="6"/>
      <c r="AH181" s="6"/>
      <c r="AI181" s="6"/>
      <c r="AJ181" s="6"/>
      <c r="AK181" s="6"/>
      <c r="AL181" s="6"/>
      <c r="AM181" s="6" t="s">
        <v>2843</v>
      </c>
      <c r="AN181" s="6" t="s">
        <v>5482</v>
      </c>
      <c r="AO181" s="6"/>
      <c r="AP181" s="6"/>
      <c r="AQ181" s="6"/>
      <c r="AR181" s="6" t="s">
        <v>121</v>
      </c>
      <c r="AS181" s="6">
        <v>2022</v>
      </c>
      <c r="AT181" s="6">
        <v>82</v>
      </c>
      <c r="AU181" s="6"/>
      <c r="AV181" s="6" t="s">
        <v>3310</v>
      </c>
      <c r="AW181" s="6"/>
      <c r="AX181" s="6"/>
      <c r="AY181" s="6"/>
      <c r="AZ181" s="6"/>
      <c r="BA181" s="6"/>
      <c r="BB181" s="6">
        <v>101301</v>
      </c>
      <c r="BC181" s="6" t="s">
        <v>5483</v>
      </c>
      <c r="BD181" s="9" t="str">
        <f>HYPERLINK("http://dx.doi.org/10.1016/j.seps.2022.101301","http://dx.doi.org/10.1016/j.seps.2022.101301")</f>
        <v>http://dx.doi.org/10.1016/j.seps.2022.101301</v>
      </c>
      <c r="BE181" s="6"/>
      <c r="BF181" s="6" t="s">
        <v>5484</v>
      </c>
      <c r="BG181" s="6"/>
      <c r="BH181" s="6"/>
      <c r="BI181" s="6"/>
      <c r="BJ181" s="6" t="s">
        <v>5485</v>
      </c>
      <c r="BK181" s="6"/>
      <c r="BL181" s="6"/>
      <c r="BM181" s="6"/>
      <c r="BN181" s="6"/>
      <c r="BO181" s="6"/>
      <c r="BP181" s="6"/>
      <c r="BQ181" s="6"/>
      <c r="BR181" s="6"/>
      <c r="BS181" s="6"/>
      <c r="BT181" s="6"/>
      <c r="BU181" s="8" t="s">
        <v>7193</v>
      </c>
      <c r="BV181" s="8" t="s">
        <v>7188</v>
      </c>
      <c r="BW181" s="8" t="s">
        <v>7189</v>
      </c>
    </row>
    <row r="182" spans="1:75" ht="12.75" customHeight="1">
      <c r="A182" s="3" t="s">
        <v>63</v>
      </c>
      <c r="B182" s="3" t="s">
        <v>2805</v>
      </c>
      <c r="C182" s="3"/>
      <c r="D182" s="3"/>
      <c r="E182" s="3"/>
      <c r="F182" s="3" t="s">
        <v>2806</v>
      </c>
      <c r="G182" s="3"/>
      <c r="H182" s="3"/>
      <c r="I182" s="3" t="s">
        <v>2807</v>
      </c>
      <c r="J182" s="3" t="s">
        <v>1004</v>
      </c>
      <c r="K182" s="3"/>
      <c r="L182" s="3"/>
      <c r="M182" s="3"/>
      <c r="N182" s="3"/>
      <c r="O182" s="3"/>
      <c r="P182" s="3"/>
      <c r="Q182" s="3"/>
      <c r="R182" s="3"/>
      <c r="S182" s="3"/>
      <c r="T182" s="3" t="s">
        <v>2808</v>
      </c>
      <c r="U182" s="3"/>
      <c r="V182" s="3"/>
      <c r="W182" s="3"/>
      <c r="X182" s="3"/>
      <c r="Y182" s="3"/>
      <c r="Z182" s="3"/>
      <c r="AA182" s="3"/>
      <c r="AB182" s="3"/>
      <c r="AC182" s="3"/>
      <c r="AD182" s="3"/>
      <c r="AE182" s="3"/>
      <c r="AF182" s="3"/>
      <c r="AG182" s="3"/>
      <c r="AH182" s="3"/>
      <c r="AI182" s="3"/>
      <c r="AJ182" s="3"/>
      <c r="AK182" s="3"/>
      <c r="AL182" s="3"/>
      <c r="AM182" s="3" t="s">
        <v>1006</v>
      </c>
      <c r="AN182" s="3" t="s">
        <v>1007</v>
      </c>
      <c r="AO182" s="3"/>
      <c r="AP182" s="3"/>
      <c r="AQ182" s="3"/>
      <c r="AR182" s="3" t="s">
        <v>92</v>
      </c>
      <c r="AS182" s="3">
        <v>2017</v>
      </c>
      <c r="AT182" s="3">
        <v>20</v>
      </c>
      <c r="AU182" s="3">
        <v>14</v>
      </c>
      <c r="AV182" s="3"/>
      <c r="AW182" s="3"/>
      <c r="AX182" s="3"/>
      <c r="AY182" s="3"/>
      <c r="AZ182" s="3">
        <v>2608</v>
      </c>
      <c r="BA182" s="3">
        <v>2616</v>
      </c>
      <c r="BB182" s="3"/>
      <c r="BC182" s="3" t="s">
        <v>2809</v>
      </c>
      <c r="BD182" s="15" t="str">
        <f>HYPERLINK("http://dx.doi.org/10.1017/S136898001600269X","http://dx.doi.org/10.1017/S136898001600269X")</f>
        <v>http://dx.doi.org/10.1017/S136898001600269X</v>
      </c>
      <c r="BE182" s="3"/>
      <c r="BF182" s="3"/>
      <c r="BG182" s="3"/>
      <c r="BH182" s="3"/>
      <c r="BI182" s="3">
        <v>27702412</v>
      </c>
      <c r="BJ182" s="3" t="s">
        <v>2810</v>
      </c>
      <c r="BK182" s="3"/>
      <c r="BL182" s="3"/>
      <c r="BM182" s="3"/>
      <c r="BN182" s="3"/>
      <c r="BO182" s="3"/>
      <c r="BP182" s="3"/>
      <c r="BQ182" s="3"/>
      <c r="BR182" s="3"/>
      <c r="BS182" s="3"/>
      <c r="BT182" s="3"/>
      <c r="BU182" s="1" t="s">
        <v>7199</v>
      </c>
      <c r="BV182" s="2" t="s">
        <v>7188</v>
      </c>
      <c r="BW182" s="2" t="s">
        <v>7189</v>
      </c>
    </row>
    <row r="183" spans="1:75" ht="12.75" customHeight="1">
      <c r="A183" s="6" t="s">
        <v>63</v>
      </c>
      <c r="B183" s="6" t="s">
        <v>4185</v>
      </c>
      <c r="C183" s="6"/>
      <c r="D183" s="6"/>
      <c r="E183" s="6"/>
      <c r="F183" s="6" t="s">
        <v>4186</v>
      </c>
      <c r="G183" s="6"/>
      <c r="H183" s="6"/>
      <c r="I183" s="6" t="s">
        <v>4187</v>
      </c>
      <c r="J183" s="6" t="s">
        <v>412</v>
      </c>
      <c r="K183" s="6"/>
      <c r="L183" s="6"/>
      <c r="M183" s="6"/>
      <c r="N183" s="6"/>
      <c r="O183" s="6"/>
      <c r="P183" s="6"/>
      <c r="Q183" s="6"/>
      <c r="R183" s="6"/>
      <c r="S183" s="6"/>
      <c r="T183" s="6" t="s">
        <v>4188</v>
      </c>
      <c r="U183" s="6"/>
      <c r="V183" s="6"/>
      <c r="W183" s="6"/>
      <c r="X183" s="6"/>
      <c r="Y183" s="6"/>
      <c r="Z183" s="6" t="s">
        <v>4189</v>
      </c>
      <c r="AA183" s="6"/>
      <c r="AB183" s="6"/>
      <c r="AC183" s="6"/>
      <c r="AD183" s="6"/>
      <c r="AE183" s="6"/>
      <c r="AF183" s="6"/>
      <c r="AG183" s="6"/>
      <c r="AH183" s="6"/>
      <c r="AI183" s="6"/>
      <c r="AJ183" s="6"/>
      <c r="AK183" s="6"/>
      <c r="AL183" s="6"/>
      <c r="AM183" s="6" t="s">
        <v>414</v>
      </c>
      <c r="AN183" s="6" t="s">
        <v>415</v>
      </c>
      <c r="AO183" s="6"/>
      <c r="AP183" s="6"/>
      <c r="AQ183" s="6"/>
      <c r="AR183" s="6"/>
      <c r="AS183" s="6">
        <v>2020</v>
      </c>
      <c r="AT183" s="6">
        <v>39</v>
      </c>
      <c r="AU183" s="6">
        <v>1</v>
      </c>
      <c r="AV183" s="6"/>
      <c r="AW183" s="6"/>
      <c r="AX183" s="6"/>
      <c r="AY183" s="6"/>
      <c r="AZ183" s="6">
        <v>37</v>
      </c>
      <c r="BA183" s="6">
        <v>49</v>
      </c>
      <c r="BB183" s="6"/>
      <c r="BC183" s="6" t="s">
        <v>4190</v>
      </c>
      <c r="BD183" s="9" t="str">
        <f>HYPERLINK("http://dx.doi.org/10.1080/01616846.2019.1591156","http://dx.doi.org/10.1080/01616846.2019.1591156")</f>
        <v>http://dx.doi.org/10.1080/01616846.2019.1591156</v>
      </c>
      <c r="BE183" s="6"/>
      <c r="BF183" s="6"/>
      <c r="BG183" s="6"/>
      <c r="BH183" s="6"/>
      <c r="BI183" s="6"/>
      <c r="BJ183" s="6" t="s">
        <v>4191</v>
      </c>
      <c r="BK183" s="6"/>
      <c r="BL183" s="6"/>
      <c r="BM183" s="6"/>
      <c r="BN183" s="6"/>
      <c r="BO183" s="6"/>
      <c r="BP183" s="6"/>
      <c r="BQ183" s="6"/>
      <c r="BR183" s="6"/>
      <c r="BS183" s="6"/>
      <c r="BT183" s="6"/>
      <c r="BU183" s="8" t="s">
        <v>7297</v>
      </c>
      <c r="BV183" s="8" t="s">
        <v>7188</v>
      </c>
      <c r="BW183" s="8" t="s">
        <v>7189</v>
      </c>
    </row>
    <row r="184" spans="1:75" ht="12.75" customHeight="1">
      <c r="A184" s="3" t="s">
        <v>63</v>
      </c>
      <c r="B184" s="3" t="s">
        <v>6164</v>
      </c>
      <c r="C184" s="3"/>
      <c r="D184" s="3"/>
      <c r="E184" s="3"/>
      <c r="F184" s="3" t="s">
        <v>6165</v>
      </c>
      <c r="G184" s="3"/>
      <c r="H184" s="3"/>
      <c r="I184" s="3" t="s">
        <v>6166</v>
      </c>
      <c r="J184" s="3" t="s">
        <v>5506</v>
      </c>
      <c r="K184" s="3"/>
      <c r="L184" s="3"/>
      <c r="M184" s="3"/>
      <c r="N184" s="3"/>
      <c r="O184" s="3"/>
      <c r="P184" s="3"/>
      <c r="Q184" s="3"/>
      <c r="R184" s="3"/>
      <c r="S184" s="3"/>
      <c r="T184" s="3" t="s">
        <v>6167</v>
      </c>
      <c r="U184" s="3"/>
      <c r="V184" s="3"/>
      <c r="W184" s="3"/>
      <c r="X184" s="3"/>
      <c r="Y184" s="3" t="s">
        <v>6168</v>
      </c>
      <c r="Z184" s="3" t="s">
        <v>6169</v>
      </c>
      <c r="AA184" s="3"/>
      <c r="AB184" s="3"/>
      <c r="AC184" s="3"/>
      <c r="AD184" s="3"/>
      <c r="AE184" s="3"/>
      <c r="AF184" s="3"/>
      <c r="AG184" s="3"/>
      <c r="AH184" s="3"/>
      <c r="AI184" s="3"/>
      <c r="AJ184" s="3"/>
      <c r="AK184" s="3"/>
      <c r="AL184" s="3"/>
      <c r="AM184" s="3" t="s">
        <v>5509</v>
      </c>
      <c r="AN184" s="3" t="s">
        <v>5510</v>
      </c>
      <c r="AO184" s="3"/>
      <c r="AP184" s="3"/>
      <c r="AQ184" s="3"/>
      <c r="AR184" s="3" t="s">
        <v>4439</v>
      </c>
      <c r="AS184" s="3">
        <v>2023</v>
      </c>
      <c r="AT184" s="3">
        <v>33</v>
      </c>
      <c r="AU184" s="3">
        <v>4</v>
      </c>
      <c r="AV184" s="3"/>
      <c r="AW184" s="3"/>
      <c r="AX184" s="3" t="s">
        <v>569</v>
      </c>
      <c r="AY184" s="3"/>
      <c r="AZ184" s="3">
        <v>347</v>
      </c>
      <c r="BA184" s="3">
        <v>370</v>
      </c>
      <c r="BB184" s="3"/>
      <c r="BC184" s="3" t="s">
        <v>6170</v>
      </c>
      <c r="BD184" s="15" t="str">
        <f>HYPERLINK("http://dx.doi.org/10.1080/09593969.2023.2198251","http://dx.doi.org/10.1080/09593969.2023.2198251")</f>
        <v>http://dx.doi.org/10.1080/09593969.2023.2198251</v>
      </c>
      <c r="BE184" s="3"/>
      <c r="BF184" s="3" t="s">
        <v>6075</v>
      </c>
      <c r="BG184" s="3"/>
      <c r="BH184" s="3"/>
      <c r="BI184" s="3"/>
      <c r="BJ184" s="3" t="s">
        <v>6171</v>
      </c>
      <c r="BK184" s="3"/>
      <c r="BL184" s="3"/>
      <c r="BM184" s="3"/>
      <c r="BN184" s="3"/>
      <c r="BO184" s="3"/>
      <c r="BP184" s="3"/>
      <c r="BQ184" s="3"/>
      <c r="BR184" s="3"/>
      <c r="BS184" s="3"/>
      <c r="BT184" s="3"/>
      <c r="BU184" s="1" t="s">
        <v>7298</v>
      </c>
      <c r="BV184" s="2" t="s">
        <v>7214</v>
      </c>
      <c r="BW184" s="2" t="s">
        <v>7205</v>
      </c>
    </row>
    <row r="185" spans="1:75" ht="12.75" customHeight="1">
      <c r="A185" s="6" t="s">
        <v>63</v>
      </c>
      <c r="B185" s="6" t="s">
        <v>2257</v>
      </c>
      <c r="C185" s="6"/>
      <c r="D185" s="6"/>
      <c r="E185" s="6"/>
      <c r="F185" s="6" t="s">
        <v>2258</v>
      </c>
      <c r="G185" s="6"/>
      <c r="H185" s="6"/>
      <c r="I185" s="6" t="s">
        <v>2259</v>
      </c>
      <c r="J185" s="6" t="s">
        <v>2043</v>
      </c>
      <c r="K185" s="6"/>
      <c r="L185" s="6"/>
      <c r="M185" s="6"/>
      <c r="N185" s="6"/>
      <c r="O185" s="6"/>
      <c r="P185" s="6"/>
      <c r="Q185" s="6"/>
      <c r="R185" s="6"/>
      <c r="S185" s="6"/>
      <c r="T185" s="6" t="s">
        <v>2260</v>
      </c>
      <c r="U185" s="6"/>
      <c r="V185" s="6"/>
      <c r="W185" s="6"/>
      <c r="X185" s="6"/>
      <c r="Y185" s="6" t="s">
        <v>2261</v>
      </c>
      <c r="Z185" s="6" t="s">
        <v>2262</v>
      </c>
      <c r="AA185" s="6"/>
      <c r="AB185" s="6"/>
      <c r="AC185" s="6"/>
      <c r="AD185" s="6"/>
      <c r="AE185" s="6"/>
      <c r="AF185" s="6"/>
      <c r="AG185" s="6"/>
      <c r="AH185" s="6"/>
      <c r="AI185" s="6"/>
      <c r="AJ185" s="6"/>
      <c r="AK185" s="6"/>
      <c r="AL185" s="6"/>
      <c r="AM185" s="6" t="s">
        <v>2046</v>
      </c>
      <c r="AN185" s="6" t="s">
        <v>2047</v>
      </c>
      <c r="AO185" s="6"/>
      <c r="AP185" s="6"/>
      <c r="AQ185" s="6"/>
      <c r="AR185" s="6"/>
      <c r="AS185" s="6">
        <v>2016</v>
      </c>
      <c r="AT185" s="6">
        <v>107</v>
      </c>
      <c r="AU185" s="6"/>
      <c r="AV185" s="6"/>
      <c r="AW185" s="6">
        <v>1</v>
      </c>
      <c r="AX185" s="6"/>
      <c r="AY185" s="6"/>
      <c r="AZ185" s="6" t="s">
        <v>2263</v>
      </c>
      <c r="BA185" s="6" t="s">
        <v>2264</v>
      </c>
      <c r="BB185" s="6"/>
      <c r="BC185" s="6" t="s">
        <v>2265</v>
      </c>
      <c r="BD185" s="9" t="str">
        <f>HYPERLINK("http://dx.doi.org/10.17269/CJPH.107.5353","http://dx.doi.org/10.17269/CJPH.107.5353")</f>
        <v>http://dx.doi.org/10.17269/CJPH.107.5353</v>
      </c>
      <c r="BE185" s="6"/>
      <c r="BF185" s="6"/>
      <c r="BG185" s="6"/>
      <c r="BH185" s="6"/>
      <c r="BI185" s="6"/>
      <c r="BJ185" s="6" t="s">
        <v>2266</v>
      </c>
      <c r="BK185" s="6"/>
      <c r="BL185" s="6"/>
      <c r="BM185" s="6"/>
      <c r="BN185" s="6"/>
      <c r="BO185" s="6"/>
      <c r="BP185" s="6"/>
      <c r="BQ185" s="6"/>
      <c r="BR185" s="6"/>
      <c r="BS185" s="6"/>
      <c r="BT185" s="6"/>
      <c r="BU185" s="8" t="s">
        <v>7248</v>
      </c>
      <c r="BV185" s="8" t="s">
        <v>2039</v>
      </c>
      <c r="BW185" s="8" t="s">
        <v>7189</v>
      </c>
    </row>
    <row r="186" spans="1:75" ht="12.75" customHeight="1">
      <c r="A186" s="3" t="s">
        <v>63</v>
      </c>
      <c r="B186" s="3" t="s">
        <v>1018</v>
      </c>
      <c r="C186" s="3"/>
      <c r="D186" s="3"/>
      <c r="E186" s="3"/>
      <c r="F186" s="3" t="s">
        <v>1019</v>
      </c>
      <c r="G186" s="3"/>
      <c r="H186" s="3"/>
      <c r="I186" s="3" t="s">
        <v>1020</v>
      </c>
      <c r="J186" s="3" t="s">
        <v>380</v>
      </c>
      <c r="K186" s="3"/>
      <c r="L186" s="3"/>
      <c r="M186" s="3"/>
      <c r="N186" s="3"/>
      <c r="O186" s="3"/>
      <c r="P186" s="3"/>
      <c r="Q186" s="3"/>
      <c r="R186" s="3"/>
      <c r="S186" s="3"/>
      <c r="T186" s="3" t="s">
        <v>1021</v>
      </c>
      <c r="U186" s="3"/>
      <c r="V186" s="3"/>
      <c r="W186" s="3"/>
      <c r="X186" s="3"/>
      <c r="Y186" s="3" t="s">
        <v>1022</v>
      </c>
      <c r="Z186" s="3"/>
      <c r="AA186" s="3"/>
      <c r="AB186" s="3"/>
      <c r="AC186" s="3"/>
      <c r="AD186" s="3"/>
      <c r="AE186" s="3"/>
      <c r="AF186" s="3"/>
      <c r="AG186" s="3"/>
      <c r="AH186" s="3"/>
      <c r="AI186" s="3"/>
      <c r="AJ186" s="3"/>
      <c r="AK186" s="3"/>
      <c r="AL186" s="3"/>
      <c r="AM186" s="3" t="s">
        <v>382</v>
      </c>
      <c r="AN186" s="3" t="s">
        <v>383</v>
      </c>
      <c r="AO186" s="3"/>
      <c r="AP186" s="3"/>
      <c r="AQ186" s="3"/>
      <c r="AR186" s="3" t="s">
        <v>133</v>
      </c>
      <c r="AS186" s="3">
        <v>2013</v>
      </c>
      <c r="AT186" s="3">
        <v>19</v>
      </c>
      <c r="AU186" s="3"/>
      <c r="AV186" s="3"/>
      <c r="AW186" s="3"/>
      <c r="AX186" s="3"/>
      <c r="AY186" s="3"/>
      <c r="AZ186" s="3">
        <v>1</v>
      </c>
      <c r="BA186" s="3">
        <v>14</v>
      </c>
      <c r="BB186" s="3"/>
      <c r="BC186" s="3" t="s">
        <v>1023</v>
      </c>
      <c r="BD186" s="15" t="str">
        <f>HYPERLINK("http://dx.doi.org/10.1016/j.healthplace.2012.09.010","http://dx.doi.org/10.1016/j.healthplace.2012.09.010")</f>
        <v>http://dx.doi.org/10.1016/j.healthplace.2012.09.010</v>
      </c>
      <c r="BE186" s="3"/>
      <c r="BF186" s="3"/>
      <c r="BG186" s="3"/>
      <c r="BH186" s="3"/>
      <c r="BI186" s="3">
        <v>23142639</v>
      </c>
      <c r="BJ186" s="3" t="s">
        <v>1024</v>
      </c>
      <c r="BK186" s="3"/>
      <c r="BL186" s="3"/>
      <c r="BM186" s="3"/>
      <c r="BN186" s="3"/>
      <c r="BO186" s="3"/>
      <c r="BP186" s="3"/>
      <c r="BQ186" s="3"/>
      <c r="BR186" s="3"/>
      <c r="BS186" s="3"/>
      <c r="BT186" s="3"/>
      <c r="BU186" s="13" t="s">
        <v>7254</v>
      </c>
      <c r="BV186" s="2" t="s">
        <v>7188</v>
      </c>
      <c r="BW186" s="2" t="s">
        <v>7189</v>
      </c>
    </row>
    <row r="187" spans="1:75" ht="12.75" customHeight="1">
      <c r="A187" s="4" t="s">
        <v>63</v>
      </c>
      <c r="B187" s="4" t="s">
        <v>3677</v>
      </c>
      <c r="C187" s="4"/>
      <c r="D187" s="4"/>
      <c r="E187" s="4"/>
      <c r="F187" s="4" t="s">
        <v>3678</v>
      </c>
      <c r="G187" s="4"/>
      <c r="H187" s="4"/>
      <c r="I187" s="4" t="s">
        <v>3679</v>
      </c>
      <c r="J187" s="4" t="s">
        <v>1004</v>
      </c>
      <c r="K187" s="4"/>
      <c r="L187" s="4"/>
      <c r="M187" s="4"/>
      <c r="N187" s="4"/>
      <c r="O187" s="4"/>
      <c r="P187" s="4"/>
      <c r="Q187" s="4"/>
      <c r="R187" s="4"/>
      <c r="S187" s="4"/>
      <c r="T187" s="4" t="s">
        <v>3680</v>
      </c>
      <c r="U187" s="4"/>
      <c r="V187" s="4"/>
      <c r="W187" s="4"/>
      <c r="X187" s="4"/>
      <c r="Y187" s="4"/>
      <c r="Z187" s="4"/>
      <c r="AA187" s="4"/>
      <c r="AB187" s="4"/>
      <c r="AC187" s="4"/>
      <c r="AD187" s="4"/>
      <c r="AE187" s="4"/>
      <c r="AF187" s="4"/>
      <c r="AG187" s="4"/>
      <c r="AH187" s="4"/>
      <c r="AI187" s="4"/>
      <c r="AJ187" s="4"/>
      <c r="AK187" s="4"/>
      <c r="AL187" s="4"/>
      <c r="AM187" s="4" t="s">
        <v>1006</v>
      </c>
      <c r="AN187" s="4" t="s">
        <v>1007</v>
      </c>
      <c r="AO187" s="4"/>
      <c r="AP187" s="4"/>
      <c r="AQ187" s="4"/>
      <c r="AR187" s="4" t="s">
        <v>82</v>
      </c>
      <c r="AS187" s="4">
        <v>2019</v>
      </c>
      <c r="AT187" s="4">
        <v>22</v>
      </c>
      <c r="AU187" s="4">
        <v>4</v>
      </c>
      <c r="AV187" s="4"/>
      <c r="AW187" s="4"/>
      <c r="AX187" s="4"/>
      <c r="AY187" s="4"/>
      <c r="AZ187" s="4">
        <v>672</v>
      </c>
      <c r="BA187" s="4">
        <v>680</v>
      </c>
      <c r="BB187" s="4"/>
      <c r="BC187" s="4" t="s">
        <v>3681</v>
      </c>
      <c r="BD187" s="5" t="str">
        <f>HYPERLINK("http://dx.doi.org/10.1017/S1368980018002720","http://dx.doi.org/10.1017/S1368980018002720")</f>
        <v>http://dx.doi.org/10.1017/S1368980018002720</v>
      </c>
      <c r="BE187" s="4"/>
      <c r="BF187" s="4"/>
      <c r="BG187" s="4"/>
      <c r="BH187" s="4"/>
      <c r="BI187" s="4">
        <v>30348247</v>
      </c>
      <c r="BJ187" s="4" t="s">
        <v>3682</v>
      </c>
      <c r="BK187" s="4"/>
      <c r="BL187" s="4"/>
      <c r="BM187" s="4"/>
      <c r="BN187" s="4"/>
      <c r="BO187" s="4"/>
      <c r="BP187" s="4"/>
      <c r="BQ187" s="4"/>
      <c r="BR187" s="4"/>
      <c r="BS187" s="4"/>
      <c r="BT187" s="4"/>
      <c r="BU187" s="12" t="s">
        <v>7193</v>
      </c>
      <c r="BV187" s="12" t="s">
        <v>7188</v>
      </c>
      <c r="BW187" s="12" t="s">
        <v>7189</v>
      </c>
    </row>
    <row r="188" spans="1:75" ht="12.75" customHeight="1">
      <c r="A188" s="3" t="s">
        <v>63</v>
      </c>
      <c r="B188" s="3" t="s">
        <v>2267</v>
      </c>
      <c r="C188" s="3"/>
      <c r="D188" s="3"/>
      <c r="E188" s="3"/>
      <c r="F188" s="3" t="s">
        <v>2268</v>
      </c>
      <c r="G188" s="3"/>
      <c r="H188" s="3"/>
      <c r="I188" s="3" t="s">
        <v>2269</v>
      </c>
      <c r="J188" s="3" t="s">
        <v>800</v>
      </c>
      <c r="K188" s="3"/>
      <c r="L188" s="3"/>
      <c r="M188" s="3"/>
      <c r="N188" s="3"/>
      <c r="O188" s="3"/>
      <c r="P188" s="3"/>
      <c r="Q188" s="3"/>
      <c r="R188" s="3"/>
      <c r="S188" s="3"/>
      <c r="T188" s="3" t="s">
        <v>2270</v>
      </c>
      <c r="U188" s="3"/>
      <c r="V188" s="3"/>
      <c r="W188" s="3"/>
      <c r="X188" s="3"/>
      <c r="Y188" s="3" t="s">
        <v>2271</v>
      </c>
      <c r="Z188" s="3"/>
      <c r="AA188" s="3"/>
      <c r="AB188" s="3"/>
      <c r="AC188" s="3"/>
      <c r="AD188" s="3"/>
      <c r="AE188" s="3"/>
      <c r="AF188" s="3"/>
      <c r="AG188" s="3"/>
      <c r="AH188" s="3"/>
      <c r="AI188" s="3"/>
      <c r="AJ188" s="3"/>
      <c r="AK188" s="3"/>
      <c r="AL188" s="3"/>
      <c r="AM188" s="3" t="s">
        <v>804</v>
      </c>
      <c r="AN188" s="3" t="s">
        <v>805</v>
      </c>
      <c r="AO188" s="3"/>
      <c r="AP188" s="3"/>
      <c r="AQ188" s="3"/>
      <c r="AR188" s="3" t="s">
        <v>78</v>
      </c>
      <c r="AS188" s="3">
        <v>2016</v>
      </c>
      <c r="AT188" s="3">
        <v>106</v>
      </c>
      <c r="AU188" s="3">
        <v>5</v>
      </c>
      <c r="AV188" s="3"/>
      <c r="AW188" s="3"/>
      <c r="AX188" s="3"/>
      <c r="AY188" s="3"/>
      <c r="AZ188" s="3">
        <v>881</v>
      </c>
      <c r="BA188" s="3">
        <v>888</v>
      </c>
      <c r="BB188" s="3"/>
      <c r="BC188" s="3" t="s">
        <v>2272</v>
      </c>
      <c r="BD188" s="15" t="str">
        <f>HYPERLINK("http://dx.doi.org/10.2105/AJPH.2016.303048","http://dx.doi.org/10.2105/AJPH.2016.303048")</f>
        <v>http://dx.doi.org/10.2105/AJPH.2016.303048</v>
      </c>
      <c r="BE188" s="3"/>
      <c r="BF188" s="3"/>
      <c r="BG188" s="3"/>
      <c r="BH188" s="3"/>
      <c r="BI188" s="3">
        <v>26985622</v>
      </c>
      <c r="BJ188" s="3" t="s">
        <v>2273</v>
      </c>
      <c r="BK188" s="3"/>
      <c r="BL188" s="3"/>
      <c r="BM188" s="3"/>
      <c r="BN188" s="3"/>
      <c r="BO188" s="3"/>
      <c r="BP188" s="3"/>
      <c r="BQ188" s="3"/>
      <c r="BR188" s="3"/>
      <c r="BS188" s="3"/>
      <c r="BT188" s="3"/>
      <c r="BU188" s="2" t="s">
        <v>7201</v>
      </c>
      <c r="BV188" s="2" t="s">
        <v>7188</v>
      </c>
      <c r="BW188" s="2" t="s">
        <v>7189</v>
      </c>
    </row>
    <row r="189" spans="1:75" ht="12.75" customHeight="1">
      <c r="A189" s="6" t="s">
        <v>63</v>
      </c>
      <c r="B189" s="6" t="s">
        <v>1025</v>
      </c>
      <c r="C189" s="6"/>
      <c r="D189" s="6"/>
      <c r="E189" s="6"/>
      <c r="F189" s="6" t="s">
        <v>1026</v>
      </c>
      <c r="G189" s="6"/>
      <c r="H189" s="6"/>
      <c r="I189" s="6" t="s">
        <v>1027</v>
      </c>
      <c r="J189" s="6" t="s">
        <v>434</v>
      </c>
      <c r="K189" s="6"/>
      <c r="L189" s="6"/>
      <c r="M189" s="6"/>
      <c r="N189" s="6"/>
      <c r="O189" s="6"/>
      <c r="P189" s="6"/>
      <c r="Q189" s="6"/>
      <c r="R189" s="6"/>
      <c r="S189" s="6"/>
      <c r="T189" s="6" t="s">
        <v>1028</v>
      </c>
      <c r="U189" s="6"/>
      <c r="V189" s="6"/>
      <c r="W189" s="6"/>
      <c r="X189" s="6"/>
      <c r="Y189" s="6" t="s">
        <v>1029</v>
      </c>
      <c r="Z189" s="6" t="s">
        <v>1030</v>
      </c>
      <c r="AA189" s="6"/>
      <c r="AB189" s="6"/>
      <c r="AC189" s="6"/>
      <c r="AD189" s="6"/>
      <c r="AE189" s="6"/>
      <c r="AF189" s="6"/>
      <c r="AG189" s="6"/>
      <c r="AH189" s="6"/>
      <c r="AI189" s="6"/>
      <c r="AJ189" s="6"/>
      <c r="AK189" s="6"/>
      <c r="AL189" s="6"/>
      <c r="AM189" s="6" t="s">
        <v>436</v>
      </c>
      <c r="AN189" s="6" t="s">
        <v>568</v>
      </c>
      <c r="AO189" s="6"/>
      <c r="AP189" s="6"/>
      <c r="AQ189" s="6"/>
      <c r="AR189" s="6" t="s">
        <v>65</v>
      </c>
      <c r="AS189" s="6">
        <v>2013</v>
      </c>
      <c r="AT189" s="6">
        <v>45</v>
      </c>
      <c r="AU189" s="6"/>
      <c r="AV189" s="6"/>
      <c r="AW189" s="6"/>
      <c r="AX189" s="6"/>
      <c r="AY189" s="6"/>
      <c r="AZ189" s="6">
        <v>131</v>
      </c>
      <c r="BA189" s="6">
        <v>137</v>
      </c>
      <c r="BB189" s="6"/>
      <c r="BC189" s="6" t="s">
        <v>1031</v>
      </c>
      <c r="BD189" s="9" t="str">
        <f>HYPERLINK("http://dx.doi.org/10.1016/j.apgeog.2013.08.014","http://dx.doi.org/10.1016/j.apgeog.2013.08.014")</f>
        <v>http://dx.doi.org/10.1016/j.apgeog.2013.08.014</v>
      </c>
      <c r="BE189" s="6"/>
      <c r="BF189" s="6"/>
      <c r="BG189" s="6"/>
      <c r="BH189" s="6"/>
      <c r="BI189" s="6">
        <v>24367136</v>
      </c>
      <c r="BJ189" s="6" t="s">
        <v>1032</v>
      </c>
      <c r="BK189" s="6"/>
      <c r="BL189" s="6"/>
      <c r="BM189" s="6"/>
      <c r="BN189" s="6"/>
      <c r="BO189" s="6"/>
      <c r="BP189" s="6"/>
      <c r="BQ189" s="6"/>
      <c r="BR189" s="6"/>
      <c r="BS189" s="6"/>
      <c r="BT189" s="6"/>
      <c r="BU189" s="8" t="s">
        <v>7247</v>
      </c>
      <c r="BV189" s="8" t="s">
        <v>7188</v>
      </c>
      <c r="BW189" s="8" t="s">
        <v>7189</v>
      </c>
    </row>
    <row r="190" spans="1:75" ht="12.75" customHeight="1">
      <c r="A190" s="3" t="s">
        <v>63</v>
      </c>
      <c r="B190" s="3" t="s">
        <v>386</v>
      </c>
      <c r="C190" s="3"/>
      <c r="D190" s="3"/>
      <c r="E190" s="3"/>
      <c r="F190" s="3" t="s">
        <v>387</v>
      </c>
      <c r="G190" s="3"/>
      <c r="H190" s="3"/>
      <c r="I190" s="3" t="s">
        <v>388</v>
      </c>
      <c r="J190" s="3" t="s">
        <v>380</v>
      </c>
      <c r="K190" s="3"/>
      <c r="L190" s="3"/>
      <c r="M190" s="3"/>
      <c r="N190" s="3"/>
      <c r="O190" s="3"/>
      <c r="P190" s="3"/>
      <c r="Q190" s="3"/>
      <c r="R190" s="3"/>
      <c r="S190" s="3"/>
      <c r="T190" s="3" t="s">
        <v>389</v>
      </c>
      <c r="U190" s="3"/>
      <c r="V190" s="3"/>
      <c r="W190" s="3"/>
      <c r="X190" s="3"/>
      <c r="Y190" s="3"/>
      <c r="Z190" s="3" t="s">
        <v>390</v>
      </c>
      <c r="AA190" s="3"/>
      <c r="AB190" s="3"/>
      <c r="AC190" s="3"/>
      <c r="AD190" s="3"/>
      <c r="AE190" s="3"/>
      <c r="AF190" s="3"/>
      <c r="AG190" s="3"/>
      <c r="AH190" s="3"/>
      <c r="AI190" s="3"/>
      <c r="AJ190" s="3"/>
      <c r="AK190" s="3"/>
      <c r="AL190" s="3"/>
      <c r="AM190" s="3" t="s">
        <v>382</v>
      </c>
      <c r="AN190" s="3" t="s">
        <v>383</v>
      </c>
      <c r="AO190" s="3"/>
      <c r="AP190" s="3"/>
      <c r="AQ190" s="3"/>
      <c r="AR190" s="3" t="s">
        <v>82</v>
      </c>
      <c r="AS190" s="3">
        <v>2009</v>
      </c>
      <c r="AT190" s="3">
        <v>15</v>
      </c>
      <c r="AU190" s="3">
        <v>1</v>
      </c>
      <c r="AV190" s="3"/>
      <c r="AW190" s="3"/>
      <c r="AX190" s="3"/>
      <c r="AY190" s="3"/>
      <c r="AZ190" s="3">
        <v>45</v>
      </c>
      <c r="BA190" s="3">
        <v>55</v>
      </c>
      <c r="BB190" s="3"/>
      <c r="BC190" s="3" t="s">
        <v>391</v>
      </c>
      <c r="BD190" s="15" t="str">
        <f>HYPERLINK("http://dx.doi.org/10.1016/j.healthplace.2008.01.010","http://dx.doi.org/10.1016/j.healthplace.2008.01.010")</f>
        <v>http://dx.doi.org/10.1016/j.healthplace.2008.01.010</v>
      </c>
      <c r="BE190" s="3"/>
      <c r="BF190" s="3"/>
      <c r="BG190" s="3"/>
      <c r="BH190" s="3"/>
      <c r="BI190" s="3">
        <v>18396090</v>
      </c>
      <c r="BJ190" s="3" t="s">
        <v>392</v>
      </c>
      <c r="BK190" s="3"/>
      <c r="BL190" s="3"/>
      <c r="BM190" s="3"/>
      <c r="BN190" s="3"/>
      <c r="BO190" s="3"/>
      <c r="BP190" s="3"/>
      <c r="BQ190" s="3"/>
      <c r="BR190" s="3"/>
      <c r="BS190" s="3"/>
      <c r="BT190" s="3"/>
      <c r="BU190" s="1" t="s">
        <v>7299</v>
      </c>
      <c r="BV190" s="2" t="s">
        <v>7300</v>
      </c>
      <c r="BW190" s="2" t="s">
        <v>7301</v>
      </c>
    </row>
    <row r="191" spans="1:75" ht="12.75" customHeight="1">
      <c r="A191" s="6" t="s">
        <v>63</v>
      </c>
      <c r="B191" s="6" t="s">
        <v>5486</v>
      </c>
      <c r="C191" s="6"/>
      <c r="D191" s="6"/>
      <c r="E191" s="6"/>
      <c r="F191" s="6" t="s">
        <v>5487</v>
      </c>
      <c r="G191" s="6"/>
      <c r="H191" s="6"/>
      <c r="I191" s="6" t="s">
        <v>5488</v>
      </c>
      <c r="J191" s="6" t="s">
        <v>5489</v>
      </c>
      <c r="K191" s="6"/>
      <c r="L191" s="6"/>
      <c r="M191" s="6"/>
      <c r="N191" s="6"/>
      <c r="O191" s="6"/>
      <c r="P191" s="6"/>
      <c r="Q191" s="6"/>
      <c r="R191" s="6"/>
      <c r="S191" s="6"/>
      <c r="T191" s="6" t="s">
        <v>5490</v>
      </c>
      <c r="U191" s="6"/>
      <c r="V191" s="6"/>
      <c r="W191" s="6"/>
      <c r="X191" s="6"/>
      <c r="Y191" s="6" t="s">
        <v>5491</v>
      </c>
      <c r="Z191" s="6"/>
      <c r="AA191" s="6"/>
      <c r="AB191" s="6"/>
      <c r="AC191" s="6"/>
      <c r="AD191" s="6"/>
      <c r="AE191" s="6"/>
      <c r="AF191" s="6"/>
      <c r="AG191" s="6"/>
      <c r="AH191" s="6"/>
      <c r="AI191" s="6"/>
      <c r="AJ191" s="6"/>
      <c r="AK191" s="6"/>
      <c r="AL191" s="6"/>
      <c r="AM191" s="6" t="s">
        <v>5492</v>
      </c>
      <c r="AN191" s="6" t="s">
        <v>5493</v>
      </c>
      <c r="AO191" s="6"/>
      <c r="AP191" s="6"/>
      <c r="AQ191" s="6"/>
      <c r="AR191" s="6" t="s">
        <v>2083</v>
      </c>
      <c r="AS191" s="6">
        <v>2022</v>
      </c>
      <c r="AT191" s="6">
        <v>148</v>
      </c>
      <c r="AU191" s="6">
        <v>2</v>
      </c>
      <c r="AV191" s="6"/>
      <c r="AW191" s="6"/>
      <c r="AX191" s="6"/>
      <c r="AY191" s="6"/>
      <c r="AZ191" s="6"/>
      <c r="BA191" s="6"/>
      <c r="BB191" s="6">
        <v>4022019</v>
      </c>
      <c r="BC191" s="6" t="s">
        <v>5494</v>
      </c>
      <c r="BD191" s="9" t="str">
        <f>HYPERLINK("http://dx.doi.org/10.1061/(ASCE)UP.1943-5444.0000823","http://dx.doi.org/10.1061/(ASCE)UP.1943-5444.0000823")</f>
        <v>http://dx.doi.org/10.1061/(ASCE)UP.1943-5444.0000823</v>
      </c>
      <c r="BE191" s="6"/>
      <c r="BF191" s="6"/>
      <c r="BG191" s="6"/>
      <c r="BH191" s="6"/>
      <c r="BI191" s="6"/>
      <c r="BJ191" s="6" t="s">
        <v>5495</v>
      </c>
      <c r="BK191" s="6"/>
      <c r="BL191" s="6"/>
      <c r="BM191" s="6"/>
      <c r="BN191" s="6"/>
      <c r="BO191" s="6"/>
      <c r="BP191" s="6"/>
      <c r="BQ191" s="6"/>
      <c r="BR191" s="6"/>
      <c r="BS191" s="6"/>
      <c r="BT191" s="6"/>
      <c r="BU191" s="8" t="s">
        <v>7221</v>
      </c>
      <c r="BV191" s="8" t="s">
        <v>7188</v>
      </c>
      <c r="BW191" s="8" t="s">
        <v>7189</v>
      </c>
    </row>
    <row r="192" spans="1:75" ht="12.75" customHeight="1">
      <c r="A192" s="4" t="s">
        <v>63</v>
      </c>
      <c r="B192" s="4" t="s">
        <v>2811</v>
      </c>
      <c r="C192" s="4"/>
      <c r="D192" s="4"/>
      <c r="E192" s="4"/>
      <c r="F192" s="4" t="s">
        <v>2812</v>
      </c>
      <c r="G192" s="4"/>
      <c r="H192" s="4"/>
      <c r="I192" s="4" t="s">
        <v>2813</v>
      </c>
      <c r="J192" s="4" t="s">
        <v>2814</v>
      </c>
      <c r="K192" s="4"/>
      <c r="L192" s="4"/>
      <c r="M192" s="4"/>
      <c r="N192" s="4"/>
      <c r="O192" s="4"/>
      <c r="P192" s="4"/>
      <c r="Q192" s="4"/>
      <c r="R192" s="4"/>
      <c r="S192" s="4"/>
      <c r="T192" s="4" t="s">
        <v>2815</v>
      </c>
      <c r="U192" s="4"/>
      <c r="V192" s="4"/>
      <c r="W192" s="4"/>
      <c r="X192" s="4"/>
      <c r="Y192" s="4" t="s">
        <v>1966</v>
      </c>
      <c r="Z192" s="4" t="s">
        <v>1967</v>
      </c>
      <c r="AA192" s="4"/>
      <c r="AB192" s="4"/>
      <c r="AC192" s="4"/>
      <c r="AD192" s="4"/>
      <c r="AE192" s="4"/>
      <c r="AF192" s="4"/>
      <c r="AG192" s="4"/>
      <c r="AH192" s="4"/>
      <c r="AI192" s="4"/>
      <c r="AJ192" s="4"/>
      <c r="AK192" s="4"/>
      <c r="AL192" s="4"/>
      <c r="AM192" s="4" t="s">
        <v>2816</v>
      </c>
      <c r="AN192" s="4"/>
      <c r="AO192" s="4"/>
      <c r="AP192" s="4"/>
      <c r="AQ192" s="4"/>
      <c r="AR192" s="4" t="s">
        <v>82</v>
      </c>
      <c r="AS192" s="4">
        <v>2017</v>
      </c>
      <c r="AT192" s="4">
        <v>3</v>
      </c>
      <c r="AU192" s="4">
        <v>1</v>
      </c>
      <c r="AV192" s="4"/>
      <c r="AW192" s="4"/>
      <c r="AX192" s="4"/>
      <c r="AY192" s="4"/>
      <c r="AZ192" s="4">
        <v>75</v>
      </c>
      <c r="BA192" s="4">
        <v>82</v>
      </c>
      <c r="BB192" s="4"/>
      <c r="BC192" s="4" t="s">
        <v>2817</v>
      </c>
      <c r="BD192" s="5" t="str">
        <f>HYPERLINK("http://dx.doi.org/10.1002/osp4.81","http://dx.doi.org/10.1002/osp4.81")</f>
        <v>http://dx.doi.org/10.1002/osp4.81</v>
      </c>
      <c r="BE192" s="4"/>
      <c r="BF192" s="4"/>
      <c r="BG192" s="4"/>
      <c r="BH192" s="4"/>
      <c r="BI192" s="4">
        <v>28392933</v>
      </c>
      <c r="BJ192" s="4" t="s">
        <v>2818</v>
      </c>
      <c r="BK192" s="4"/>
      <c r="BL192" s="4"/>
      <c r="BM192" s="4"/>
      <c r="BN192" s="4"/>
      <c r="BO192" s="4"/>
      <c r="BP192" s="4"/>
      <c r="BQ192" s="4"/>
      <c r="BR192" s="4"/>
      <c r="BS192" s="4"/>
      <c r="BT192" s="4"/>
      <c r="BU192" s="12" t="s">
        <v>7222</v>
      </c>
      <c r="BV192" s="12" t="s">
        <v>7188</v>
      </c>
      <c r="BW192" s="12" t="s">
        <v>7189</v>
      </c>
    </row>
    <row r="193" spans="1:75" ht="12.75" customHeight="1">
      <c r="A193" s="4" t="s">
        <v>63</v>
      </c>
      <c r="B193" s="4" t="s">
        <v>2819</v>
      </c>
      <c r="C193" s="4"/>
      <c r="D193" s="4"/>
      <c r="E193" s="4"/>
      <c r="F193" s="4" t="s">
        <v>2820</v>
      </c>
      <c r="G193" s="4"/>
      <c r="H193" s="4"/>
      <c r="I193" s="4" t="s">
        <v>2821</v>
      </c>
      <c r="J193" s="4" t="s">
        <v>193</v>
      </c>
      <c r="K193" s="4"/>
      <c r="L193" s="4"/>
      <c r="M193" s="4"/>
      <c r="N193" s="4"/>
      <c r="O193" s="4"/>
      <c r="P193" s="4"/>
      <c r="Q193" s="4"/>
      <c r="R193" s="4"/>
      <c r="S193" s="4"/>
      <c r="T193" s="4" t="s">
        <v>2822</v>
      </c>
      <c r="U193" s="4"/>
      <c r="V193" s="4"/>
      <c r="W193" s="4"/>
      <c r="X193" s="4"/>
      <c r="Y193" s="4" t="s">
        <v>2823</v>
      </c>
      <c r="Z193" s="4"/>
      <c r="AA193" s="4"/>
      <c r="AB193" s="4"/>
      <c r="AC193" s="4"/>
      <c r="AD193" s="4"/>
      <c r="AE193" s="4"/>
      <c r="AF193" s="4"/>
      <c r="AG193" s="4"/>
      <c r="AH193" s="4"/>
      <c r="AI193" s="4"/>
      <c r="AJ193" s="4"/>
      <c r="AK193" s="4"/>
      <c r="AL193" s="4"/>
      <c r="AM193" s="4" t="s">
        <v>197</v>
      </c>
      <c r="AN193" s="4" t="s">
        <v>198</v>
      </c>
      <c r="AO193" s="4"/>
      <c r="AP193" s="4"/>
      <c r="AQ193" s="4"/>
      <c r="AR193" s="4"/>
      <c r="AS193" s="4">
        <v>2017</v>
      </c>
      <c r="AT193" s="4">
        <v>69</v>
      </c>
      <c r="AU193" s="4">
        <v>3</v>
      </c>
      <c r="AV193" s="4"/>
      <c r="AW193" s="4"/>
      <c r="AX193" s="4"/>
      <c r="AY193" s="4"/>
      <c r="AZ193" s="4">
        <v>337</v>
      </c>
      <c r="BA193" s="4">
        <v>347</v>
      </c>
      <c r="BB193" s="4"/>
      <c r="BC193" s="4" t="s">
        <v>2824</v>
      </c>
      <c r="BD193" s="5" t="str">
        <f>HYPERLINK("http://dx.doi.org/10.1080/00330124.2016.1252271","http://dx.doi.org/10.1080/00330124.2016.1252271")</f>
        <v>http://dx.doi.org/10.1080/00330124.2016.1252271</v>
      </c>
      <c r="BE193" s="4"/>
      <c r="BF193" s="4"/>
      <c r="BG193" s="4"/>
      <c r="BH193" s="4"/>
      <c r="BI193" s="4"/>
      <c r="BJ193" s="4" t="s">
        <v>2825</v>
      </c>
      <c r="BK193" s="4"/>
      <c r="BL193" s="4"/>
      <c r="BM193" s="4"/>
      <c r="BN193" s="4"/>
      <c r="BO193" s="4"/>
      <c r="BP193" s="4"/>
      <c r="BQ193" s="4"/>
      <c r="BR193" s="4"/>
      <c r="BS193" s="4"/>
      <c r="BT193" s="4"/>
      <c r="BU193" s="12" t="s">
        <v>7302</v>
      </c>
      <c r="BV193" s="12" t="s">
        <v>7188</v>
      </c>
      <c r="BW193" s="12" t="s">
        <v>7189</v>
      </c>
    </row>
    <row r="194" spans="1:75" ht="12.75" customHeight="1">
      <c r="A194" s="3" t="s">
        <v>63</v>
      </c>
      <c r="B194" s="3" t="s">
        <v>4192</v>
      </c>
      <c r="C194" s="3"/>
      <c r="D194" s="3"/>
      <c r="E194" s="3"/>
      <c r="F194" s="3" t="s">
        <v>4193</v>
      </c>
      <c r="G194" s="3"/>
      <c r="H194" s="3"/>
      <c r="I194" s="3" t="s">
        <v>4194</v>
      </c>
      <c r="J194" s="3" t="s">
        <v>4195</v>
      </c>
      <c r="K194" s="3"/>
      <c r="L194" s="3"/>
      <c r="M194" s="3"/>
      <c r="N194" s="3"/>
      <c r="O194" s="3"/>
      <c r="P194" s="3"/>
      <c r="Q194" s="3"/>
      <c r="R194" s="3"/>
      <c r="S194" s="3"/>
      <c r="T194" s="3" t="s">
        <v>4196</v>
      </c>
      <c r="U194" s="3"/>
      <c r="V194" s="3"/>
      <c r="W194" s="3"/>
      <c r="X194" s="3"/>
      <c r="Y194" s="3"/>
      <c r="Z194" s="3" t="s">
        <v>4197</v>
      </c>
      <c r="AA194" s="3"/>
      <c r="AB194" s="3"/>
      <c r="AC194" s="3"/>
      <c r="AD194" s="3"/>
      <c r="AE194" s="3"/>
      <c r="AF194" s="3"/>
      <c r="AG194" s="3"/>
      <c r="AH194" s="3"/>
      <c r="AI194" s="3"/>
      <c r="AJ194" s="3"/>
      <c r="AK194" s="3"/>
      <c r="AL194" s="3"/>
      <c r="AM194" s="3" t="s">
        <v>4198</v>
      </c>
      <c r="AN194" s="3" t="s">
        <v>4199</v>
      </c>
      <c r="AO194" s="3"/>
      <c r="AP194" s="3"/>
      <c r="AQ194" s="3"/>
      <c r="AR194" s="3" t="s">
        <v>92</v>
      </c>
      <c r="AS194" s="3">
        <v>2020</v>
      </c>
      <c r="AT194" s="3">
        <v>29</v>
      </c>
      <c r="AU194" s="3">
        <v>4</v>
      </c>
      <c r="AV194" s="3"/>
      <c r="AW194" s="3"/>
      <c r="AX194" s="3" t="s">
        <v>569</v>
      </c>
      <c r="AY194" s="3"/>
      <c r="AZ194" s="3">
        <v>367</v>
      </c>
      <c r="BA194" s="3">
        <v>377</v>
      </c>
      <c r="BB194" s="3"/>
      <c r="BC194" s="3" t="s">
        <v>4200</v>
      </c>
      <c r="BD194" s="15" t="str">
        <f>HYPERLINK("http://dx.doi.org/10.1111/ijsw.12429","http://dx.doi.org/10.1111/ijsw.12429")</f>
        <v>http://dx.doi.org/10.1111/ijsw.12429</v>
      </c>
      <c r="BE194" s="3"/>
      <c r="BF194" s="3" t="s">
        <v>4201</v>
      </c>
      <c r="BG194" s="3"/>
      <c r="BH194" s="3"/>
      <c r="BI194" s="3"/>
      <c r="BJ194" s="3" t="s">
        <v>4202</v>
      </c>
      <c r="BK194" s="3"/>
      <c r="BL194" s="3"/>
      <c r="BM194" s="3"/>
      <c r="BN194" s="3"/>
      <c r="BO194" s="3"/>
      <c r="BP194" s="3"/>
      <c r="BQ194" s="3"/>
      <c r="BR194" s="3"/>
      <c r="BS194" s="3"/>
      <c r="BT194" s="3"/>
      <c r="BU194" s="2" t="s">
        <v>7193</v>
      </c>
      <c r="BV194" s="2" t="s">
        <v>7188</v>
      </c>
      <c r="BW194" s="2" t="s">
        <v>7189</v>
      </c>
    </row>
    <row r="195" spans="1:75" ht="12.75" customHeight="1">
      <c r="A195" s="6" t="s">
        <v>63</v>
      </c>
      <c r="B195" s="6" t="s">
        <v>156</v>
      </c>
      <c r="C195" s="6"/>
      <c r="D195" s="6"/>
      <c r="E195" s="6"/>
      <c r="F195" s="6" t="s">
        <v>156</v>
      </c>
      <c r="G195" s="6"/>
      <c r="H195" s="6"/>
      <c r="I195" s="6" t="s">
        <v>157</v>
      </c>
      <c r="J195" s="6" t="s">
        <v>158</v>
      </c>
      <c r="K195" s="6"/>
      <c r="L195" s="6"/>
      <c r="M195" s="6"/>
      <c r="N195" s="6"/>
      <c r="O195" s="6"/>
      <c r="P195" s="6"/>
      <c r="Q195" s="6"/>
      <c r="R195" s="6"/>
      <c r="S195" s="6"/>
      <c r="T195" s="6" t="s">
        <v>159</v>
      </c>
      <c r="U195" s="6"/>
      <c r="V195" s="6"/>
      <c r="W195" s="6"/>
      <c r="X195" s="6"/>
      <c r="Y195" s="6"/>
      <c r="Z195" s="6"/>
      <c r="AA195" s="6"/>
      <c r="AB195" s="6"/>
      <c r="AC195" s="6"/>
      <c r="AD195" s="6"/>
      <c r="AE195" s="6"/>
      <c r="AF195" s="6"/>
      <c r="AG195" s="6"/>
      <c r="AH195" s="6"/>
      <c r="AI195" s="6"/>
      <c r="AJ195" s="6"/>
      <c r="AK195" s="6"/>
      <c r="AL195" s="6"/>
      <c r="AM195" s="6" t="s">
        <v>160</v>
      </c>
      <c r="AN195" s="6" t="s">
        <v>161</v>
      </c>
      <c r="AO195" s="6"/>
      <c r="AP195" s="6"/>
      <c r="AQ195" s="6"/>
      <c r="AR195" s="6" t="s">
        <v>82</v>
      </c>
      <c r="AS195" s="6">
        <v>2005</v>
      </c>
      <c r="AT195" s="6">
        <v>70</v>
      </c>
      <c r="AU195" s="6">
        <v>1</v>
      </c>
      <c r="AV195" s="6"/>
      <c r="AW195" s="6"/>
      <c r="AX195" s="6"/>
      <c r="AY195" s="6"/>
      <c r="AZ195" s="6">
        <v>94</v>
      </c>
      <c r="BA195" s="6">
        <v>112</v>
      </c>
      <c r="BB195" s="6"/>
      <c r="BC195" s="6" t="s">
        <v>162</v>
      </c>
      <c r="BD195" s="9" t="str">
        <f>HYPERLINK("http://dx.doi.org/10.1526/0036011053294628","http://dx.doi.org/10.1526/0036011053294628")</f>
        <v>http://dx.doi.org/10.1526/0036011053294628</v>
      </c>
      <c r="BE195" s="6"/>
      <c r="BF195" s="6"/>
      <c r="BG195" s="6"/>
      <c r="BH195" s="6"/>
      <c r="BI195" s="6"/>
      <c r="BJ195" s="6" t="s">
        <v>163</v>
      </c>
      <c r="BK195" s="6"/>
      <c r="BL195" s="6"/>
      <c r="BM195" s="6"/>
      <c r="BN195" s="6"/>
      <c r="BO195" s="6"/>
      <c r="BP195" s="6"/>
      <c r="BQ195" s="6"/>
      <c r="BR195" s="6"/>
      <c r="BS195" s="6"/>
      <c r="BT195" s="6"/>
      <c r="BU195" s="8" t="s">
        <v>7303</v>
      </c>
      <c r="BV195" s="8" t="s">
        <v>7188</v>
      </c>
      <c r="BW195" s="8" t="s">
        <v>7189</v>
      </c>
    </row>
    <row r="196" spans="1:75" ht="12.75" customHeight="1">
      <c r="A196" s="6" t="s">
        <v>63</v>
      </c>
      <c r="B196" s="6" t="s">
        <v>3305</v>
      </c>
      <c r="C196" s="6"/>
      <c r="D196" s="6"/>
      <c r="E196" s="6"/>
      <c r="F196" s="6" t="s">
        <v>3306</v>
      </c>
      <c r="G196" s="6"/>
      <c r="H196" s="6"/>
      <c r="I196" s="6" t="s">
        <v>3307</v>
      </c>
      <c r="J196" s="6" t="s">
        <v>264</v>
      </c>
      <c r="K196" s="6"/>
      <c r="L196" s="6"/>
      <c r="M196" s="6"/>
      <c r="N196" s="6"/>
      <c r="O196" s="6"/>
      <c r="P196" s="6"/>
      <c r="Q196" s="6"/>
      <c r="R196" s="6"/>
      <c r="S196" s="6"/>
      <c r="T196" s="6" t="s">
        <v>3308</v>
      </c>
      <c r="U196" s="6"/>
      <c r="V196" s="6"/>
      <c r="W196" s="6"/>
      <c r="X196" s="6"/>
      <c r="Y196" s="6" t="s">
        <v>1354</v>
      </c>
      <c r="Z196" s="6" t="s">
        <v>653</v>
      </c>
      <c r="AA196" s="6"/>
      <c r="AB196" s="6"/>
      <c r="AC196" s="6"/>
      <c r="AD196" s="6"/>
      <c r="AE196" s="6"/>
      <c r="AF196" s="6"/>
      <c r="AG196" s="6"/>
      <c r="AH196" s="6"/>
      <c r="AI196" s="6"/>
      <c r="AJ196" s="6"/>
      <c r="AK196" s="6"/>
      <c r="AL196" s="6"/>
      <c r="AM196" s="6" t="s">
        <v>265</v>
      </c>
      <c r="AN196" s="6"/>
      <c r="AO196" s="6"/>
      <c r="AP196" s="6"/>
      <c r="AQ196" s="6"/>
      <c r="AR196" s="6" t="s">
        <v>3309</v>
      </c>
      <c r="AS196" s="6">
        <v>2018</v>
      </c>
      <c r="AT196" s="6">
        <v>193</v>
      </c>
      <c r="AU196" s="6"/>
      <c r="AV196" s="6" t="s">
        <v>3310</v>
      </c>
      <c r="AW196" s="6"/>
      <c r="AX196" s="6" t="s">
        <v>569</v>
      </c>
      <c r="AY196" s="6"/>
      <c r="AZ196" s="6">
        <v>257</v>
      </c>
      <c r="BA196" s="6">
        <v>260</v>
      </c>
      <c r="BB196" s="6"/>
      <c r="BC196" s="6" t="s">
        <v>3311</v>
      </c>
      <c r="BD196" s="9" t="str">
        <f>HYPERLINK("http://dx.doi.org/10.1016/j.physbeh.2018.02.032","http://dx.doi.org/10.1016/j.physbeh.2018.02.032")</f>
        <v>http://dx.doi.org/10.1016/j.physbeh.2018.02.032</v>
      </c>
      <c r="BE196" s="6"/>
      <c r="BF196" s="6"/>
      <c r="BG196" s="6"/>
      <c r="BH196" s="6"/>
      <c r="BI196" s="6">
        <v>29454842</v>
      </c>
      <c r="BJ196" s="6" t="s">
        <v>3312</v>
      </c>
      <c r="BK196" s="6"/>
      <c r="BL196" s="6"/>
      <c r="BM196" s="6"/>
      <c r="BN196" s="6"/>
      <c r="BO196" s="6"/>
      <c r="BP196" s="6"/>
      <c r="BQ196" s="6"/>
      <c r="BR196" s="6"/>
      <c r="BS196" s="6"/>
      <c r="BT196" s="6"/>
      <c r="BU196" s="8" t="s">
        <v>7209</v>
      </c>
      <c r="BV196" s="8" t="s">
        <v>7209</v>
      </c>
      <c r="BW196" s="12" t="s">
        <v>7209</v>
      </c>
    </row>
    <row r="197" spans="1:75" ht="12.75" customHeight="1">
      <c r="A197" s="3" t="s">
        <v>63</v>
      </c>
      <c r="B197" s="3" t="s">
        <v>1756</v>
      </c>
      <c r="C197" s="3"/>
      <c r="D197" s="3"/>
      <c r="E197" s="3"/>
      <c r="F197" s="3" t="s">
        <v>1757</v>
      </c>
      <c r="G197" s="3"/>
      <c r="H197" s="3"/>
      <c r="I197" s="3" t="s">
        <v>1758</v>
      </c>
      <c r="J197" s="3" t="s">
        <v>1759</v>
      </c>
      <c r="K197" s="3"/>
      <c r="L197" s="3"/>
      <c r="M197" s="3"/>
      <c r="N197" s="3"/>
      <c r="O197" s="3"/>
      <c r="P197" s="3"/>
      <c r="Q197" s="3"/>
      <c r="R197" s="3"/>
      <c r="S197" s="3"/>
      <c r="T197" s="3" t="s">
        <v>1760</v>
      </c>
      <c r="U197" s="3"/>
      <c r="V197" s="3"/>
      <c r="W197" s="3"/>
      <c r="X197" s="3"/>
      <c r="Y197" s="3" t="s">
        <v>1761</v>
      </c>
      <c r="Z197" s="3"/>
      <c r="AA197" s="3"/>
      <c r="AB197" s="3"/>
      <c r="AC197" s="3"/>
      <c r="AD197" s="3"/>
      <c r="AE197" s="3"/>
      <c r="AF197" s="3"/>
      <c r="AG197" s="3"/>
      <c r="AH197" s="3"/>
      <c r="AI197" s="3"/>
      <c r="AJ197" s="3"/>
      <c r="AK197" s="3"/>
      <c r="AL197" s="3"/>
      <c r="AM197" s="3" t="s">
        <v>1762</v>
      </c>
      <c r="AN197" s="3" t="s">
        <v>1763</v>
      </c>
      <c r="AO197" s="3"/>
      <c r="AP197" s="3"/>
      <c r="AQ197" s="3"/>
      <c r="AR197" s="3" t="s">
        <v>68</v>
      </c>
      <c r="AS197" s="3">
        <v>2015</v>
      </c>
      <c r="AT197" s="3">
        <v>42</v>
      </c>
      <c r="AU197" s="3"/>
      <c r="AV197" s="3"/>
      <c r="AW197" s="3">
        <v>1</v>
      </c>
      <c r="AX197" s="3"/>
      <c r="AY197" s="3"/>
      <c r="AZ197" s="3" t="s">
        <v>1764</v>
      </c>
      <c r="BA197" s="3" t="s">
        <v>1765</v>
      </c>
      <c r="BB197" s="3"/>
      <c r="BC197" s="3" t="s">
        <v>1766</v>
      </c>
      <c r="BD197" s="15" t="str">
        <f>HYPERLINK("http://dx.doi.org/10.1177/1090198115570048","http://dx.doi.org/10.1177/1090198115570048")</f>
        <v>http://dx.doi.org/10.1177/1090198115570048</v>
      </c>
      <c r="BE197" s="3"/>
      <c r="BF197" s="3"/>
      <c r="BG197" s="3"/>
      <c r="BH197" s="3"/>
      <c r="BI197" s="3">
        <v>25829122</v>
      </c>
      <c r="BJ197" s="3" t="s">
        <v>1767</v>
      </c>
      <c r="BK197" s="3"/>
      <c r="BL197" s="3"/>
      <c r="BM197" s="3"/>
      <c r="BN197" s="3"/>
      <c r="BO197" s="3"/>
      <c r="BP197" s="3"/>
      <c r="BQ197" s="3"/>
      <c r="BR197" s="3"/>
      <c r="BS197" s="3"/>
      <c r="BT197" s="3"/>
      <c r="BU197" s="1" t="s">
        <v>7304</v>
      </c>
      <c r="BV197" s="2" t="s">
        <v>7188</v>
      </c>
      <c r="BW197" s="2" t="s">
        <v>7189</v>
      </c>
    </row>
    <row r="198" spans="1:75" ht="12.75" customHeight="1">
      <c r="A198" s="3" t="s">
        <v>63</v>
      </c>
      <c r="B198" s="3" t="s">
        <v>4203</v>
      </c>
      <c r="C198" s="3"/>
      <c r="D198" s="3"/>
      <c r="E198" s="3"/>
      <c r="F198" s="3" t="s">
        <v>4204</v>
      </c>
      <c r="G198" s="3"/>
      <c r="H198" s="3"/>
      <c r="I198" s="3" t="s">
        <v>4205</v>
      </c>
      <c r="J198" s="3" t="s">
        <v>3374</v>
      </c>
      <c r="K198" s="3"/>
      <c r="L198" s="3"/>
      <c r="M198" s="3"/>
      <c r="N198" s="3"/>
      <c r="O198" s="3"/>
      <c r="P198" s="3"/>
      <c r="Q198" s="3"/>
      <c r="R198" s="3"/>
      <c r="S198" s="3"/>
      <c r="T198" s="3" t="s">
        <v>4206</v>
      </c>
      <c r="U198" s="3"/>
      <c r="V198" s="3"/>
      <c r="W198" s="3"/>
      <c r="X198" s="3"/>
      <c r="Y198" s="3" t="s">
        <v>4207</v>
      </c>
      <c r="Z198" s="3" t="s">
        <v>4208</v>
      </c>
      <c r="AA198" s="3"/>
      <c r="AB198" s="3"/>
      <c r="AC198" s="3"/>
      <c r="AD198" s="3"/>
      <c r="AE198" s="3"/>
      <c r="AF198" s="3"/>
      <c r="AG198" s="3"/>
      <c r="AH198" s="3"/>
      <c r="AI198" s="3"/>
      <c r="AJ198" s="3"/>
      <c r="AK198" s="3"/>
      <c r="AL198" s="3"/>
      <c r="AM198" s="3"/>
      <c r="AN198" s="3" t="s">
        <v>3377</v>
      </c>
      <c r="AO198" s="3"/>
      <c r="AP198" s="3"/>
      <c r="AQ198" s="3"/>
      <c r="AR198" s="3" t="s">
        <v>445</v>
      </c>
      <c r="AS198" s="3">
        <v>2020</v>
      </c>
      <c r="AT198" s="3">
        <v>12</v>
      </c>
      <c r="AU198" s="3">
        <v>18</v>
      </c>
      <c r="AV198" s="3"/>
      <c r="AW198" s="3"/>
      <c r="AX198" s="3"/>
      <c r="AY198" s="3"/>
      <c r="AZ198" s="3"/>
      <c r="BA198" s="3"/>
      <c r="BB198" s="3">
        <v>7565</v>
      </c>
      <c r="BC198" s="3" t="s">
        <v>4209</v>
      </c>
      <c r="BD198" s="15" t="str">
        <f>HYPERLINK("http://dx.doi.org/10.3390/su12187565","http://dx.doi.org/10.3390/su12187565")</f>
        <v>http://dx.doi.org/10.3390/su12187565</v>
      </c>
      <c r="BE198" s="3"/>
      <c r="BF198" s="3"/>
      <c r="BG198" s="3"/>
      <c r="BH198" s="3"/>
      <c r="BI198" s="3"/>
      <c r="BJ198" s="3" t="s">
        <v>4210</v>
      </c>
      <c r="BK198" s="3"/>
      <c r="BL198" s="3"/>
      <c r="BM198" s="3"/>
      <c r="BN198" s="3"/>
      <c r="BO198" s="3"/>
      <c r="BP198" s="3"/>
      <c r="BQ198" s="3"/>
      <c r="BR198" s="3"/>
      <c r="BS198" s="3"/>
      <c r="BT198" s="3"/>
      <c r="BU198" s="8" t="s">
        <v>7209</v>
      </c>
      <c r="BV198" s="8" t="s">
        <v>7209</v>
      </c>
      <c r="BW198" s="12" t="s">
        <v>7209</v>
      </c>
    </row>
    <row r="199" spans="1:75" ht="12.75" customHeight="1">
      <c r="A199" s="6" t="s">
        <v>63</v>
      </c>
      <c r="B199" s="6" t="s">
        <v>4211</v>
      </c>
      <c r="C199" s="6"/>
      <c r="D199" s="6"/>
      <c r="E199" s="6"/>
      <c r="F199" s="6" t="s">
        <v>4212</v>
      </c>
      <c r="G199" s="6"/>
      <c r="H199" s="6"/>
      <c r="I199" s="6" t="s">
        <v>4213</v>
      </c>
      <c r="J199" s="6" t="s">
        <v>434</v>
      </c>
      <c r="K199" s="6"/>
      <c r="L199" s="6"/>
      <c r="M199" s="6"/>
      <c r="N199" s="6"/>
      <c r="O199" s="6"/>
      <c r="P199" s="6"/>
      <c r="Q199" s="6"/>
      <c r="R199" s="6"/>
      <c r="S199" s="6"/>
      <c r="T199" s="6" t="s">
        <v>4214</v>
      </c>
      <c r="U199" s="6"/>
      <c r="V199" s="6"/>
      <c r="W199" s="6"/>
      <c r="X199" s="6"/>
      <c r="Y199" s="6" t="s">
        <v>2823</v>
      </c>
      <c r="Z199" s="6"/>
      <c r="AA199" s="6"/>
      <c r="AB199" s="6"/>
      <c r="AC199" s="6"/>
      <c r="AD199" s="6"/>
      <c r="AE199" s="6"/>
      <c r="AF199" s="6"/>
      <c r="AG199" s="6"/>
      <c r="AH199" s="6"/>
      <c r="AI199" s="6"/>
      <c r="AJ199" s="6"/>
      <c r="AK199" s="6"/>
      <c r="AL199" s="6"/>
      <c r="AM199" s="6" t="s">
        <v>436</v>
      </c>
      <c r="AN199" s="6" t="s">
        <v>568</v>
      </c>
      <c r="AO199" s="6"/>
      <c r="AP199" s="6"/>
      <c r="AQ199" s="6"/>
      <c r="AR199" s="6" t="s">
        <v>65</v>
      </c>
      <c r="AS199" s="6">
        <v>2020</v>
      </c>
      <c r="AT199" s="6">
        <v>125</v>
      </c>
      <c r="AU199" s="6"/>
      <c r="AV199" s="6"/>
      <c r="AW199" s="6"/>
      <c r="AX199" s="6"/>
      <c r="AY199" s="6"/>
      <c r="AZ199" s="6"/>
      <c r="BA199" s="6"/>
      <c r="BB199" s="6">
        <v>102275</v>
      </c>
      <c r="BC199" s="6" t="s">
        <v>4215</v>
      </c>
      <c r="BD199" s="9" t="str">
        <f>HYPERLINK("http://dx.doi.org/10.1016/j.apgeog.2020.102275","http://dx.doi.org/10.1016/j.apgeog.2020.102275")</f>
        <v>http://dx.doi.org/10.1016/j.apgeog.2020.102275</v>
      </c>
      <c r="BE199" s="6"/>
      <c r="BF199" s="6"/>
      <c r="BG199" s="6"/>
      <c r="BH199" s="6"/>
      <c r="BI199" s="6"/>
      <c r="BJ199" s="6" t="s">
        <v>4216</v>
      </c>
      <c r="BK199" s="6"/>
      <c r="BL199" s="6"/>
      <c r="BM199" s="6"/>
      <c r="BN199" s="6"/>
      <c r="BO199" s="6"/>
      <c r="BP199" s="6"/>
      <c r="BQ199" s="6"/>
      <c r="BR199" s="6"/>
      <c r="BS199" s="6"/>
      <c r="BT199" s="6"/>
      <c r="BU199" s="8" t="s">
        <v>7302</v>
      </c>
      <c r="BV199" s="8" t="s">
        <v>7188</v>
      </c>
      <c r="BW199" s="8" t="s">
        <v>7189</v>
      </c>
    </row>
    <row r="200" spans="1:75" ht="12.75" customHeight="1">
      <c r="A200" s="6" t="s">
        <v>63</v>
      </c>
      <c r="B200" s="6" t="s">
        <v>1033</v>
      </c>
      <c r="C200" s="6"/>
      <c r="D200" s="6"/>
      <c r="E200" s="6"/>
      <c r="F200" s="6" t="s">
        <v>1034</v>
      </c>
      <c r="G200" s="6"/>
      <c r="H200" s="6"/>
      <c r="I200" s="6" t="s">
        <v>1035</v>
      </c>
      <c r="J200" s="6" t="s">
        <v>1036</v>
      </c>
      <c r="K200" s="6"/>
      <c r="L200" s="6"/>
      <c r="M200" s="6"/>
      <c r="N200" s="6"/>
      <c r="O200" s="6"/>
      <c r="P200" s="6"/>
      <c r="Q200" s="6"/>
      <c r="R200" s="6"/>
      <c r="S200" s="6"/>
      <c r="T200" s="6" t="s">
        <v>1037</v>
      </c>
      <c r="U200" s="6"/>
      <c r="V200" s="6"/>
      <c r="W200" s="6"/>
      <c r="X200" s="6"/>
      <c r="Y200" s="6"/>
      <c r="Z200" s="6"/>
      <c r="AA200" s="6"/>
      <c r="AB200" s="6"/>
      <c r="AC200" s="6"/>
      <c r="AD200" s="6"/>
      <c r="AE200" s="6"/>
      <c r="AF200" s="6"/>
      <c r="AG200" s="6"/>
      <c r="AH200" s="6"/>
      <c r="AI200" s="6"/>
      <c r="AJ200" s="6"/>
      <c r="AK200" s="6"/>
      <c r="AL200" s="6"/>
      <c r="AM200" s="6" t="s">
        <v>1038</v>
      </c>
      <c r="AN200" s="6" t="s">
        <v>1039</v>
      </c>
      <c r="AO200" s="6"/>
      <c r="AP200" s="6"/>
      <c r="AQ200" s="6"/>
      <c r="AR200" s="6" t="s">
        <v>82</v>
      </c>
      <c r="AS200" s="6">
        <v>2013</v>
      </c>
      <c r="AT200" s="6">
        <v>13</v>
      </c>
      <c r="AU200" s="6">
        <v>2</v>
      </c>
      <c r="AV200" s="6"/>
      <c r="AW200" s="6"/>
      <c r="AX200" s="6" t="s">
        <v>569</v>
      </c>
      <c r="AY200" s="6"/>
      <c r="AZ200" s="6">
        <v>231</v>
      </c>
      <c r="BA200" s="6">
        <v>237</v>
      </c>
      <c r="BB200" s="6"/>
      <c r="BC200" s="6" t="s">
        <v>1040</v>
      </c>
      <c r="BD200" s="9" t="str">
        <f>HYPERLINK("http://dx.doi.org/10.1093/jeg/lbs064","http://dx.doi.org/10.1093/jeg/lbs064")</f>
        <v>http://dx.doi.org/10.1093/jeg/lbs064</v>
      </c>
      <c r="BE200" s="6"/>
      <c r="BF200" s="6"/>
      <c r="BG200" s="6"/>
      <c r="BH200" s="6"/>
      <c r="BI200" s="6"/>
      <c r="BJ200" s="6" t="s">
        <v>1041</v>
      </c>
      <c r="BK200" s="6"/>
      <c r="BL200" s="6"/>
      <c r="BM200" s="6"/>
      <c r="BN200" s="6"/>
      <c r="BO200" s="6"/>
      <c r="BP200" s="6"/>
      <c r="BQ200" s="6"/>
      <c r="BR200" s="6"/>
      <c r="BS200" s="6"/>
      <c r="BT200" s="6"/>
      <c r="BU200" s="8" t="s">
        <v>7305</v>
      </c>
      <c r="BV200" s="8" t="s">
        <v>7188</v>
      </c>
      <c r="BW200" s="8" t="s">
        <v>7189</v>
      </c>
    </row>
    <row r="201" spans="1:75" ht="12.75" customHeight="1">
      <c r="A201" s="3" t="s">
        <v>63</v>
      </c>
      <c r="B201" s="3" t="s">
        <v>5496</v>
      </c>
      <c r="C201" s="3"/>
      <c r="D201" s="3"/>
      <c r="E201" s="3"/>
      <c r="F201" s="3" t="s">
        <v>5497</v>
      </c>
      <c r="G201" s="3"/>
      <c r="H201" s="3"/>
      <c r="I201" s="3" t="s">
        <v>5498</v>
      </c>
      <c r="J201" s="3" t="s">
        <v>3721</v>
      </c>
      <c r="K201" s="3"/>
      <c r="L201" s="3"/>
      <c r="M201" s="3"/>
      <c r="N201" s="3"/>
      <c r="O201" s="3"/>
      <c r="P201" s="3"/>
      <c r="Q201" s="3"/>
      <c r="R201" s="3"/>
      <c r="S201" s="3"/>
      <c r="T201" s="3" t="s">
        <v>5499</v>
      </c>
      <c r="U201" s="3"/>
      <c r="V201" s="3"/>
      <c r="W201" s="3"/>
      <c r="X201" s="3"/>
      <c r="Y201" s="3"/>
      <c r="Z201" s="3" t="s">
        <v>5500</v>
      </c>
      <c r="AA201" s="3"/>
      <c r="AB201" s="3"/>
      <c r="AC201" s="3"/>
      <c r="AD201" s="3"/>
      <c r="AE201" s="3"/>
      <c r="AF201" s="3"/>
      <c r="AG201" s="3"/>
      <c r="AH201" s="3"/>
      <c r="AI201" s="3"/>
      <c r="AJ201" s="3"/>
      <c r="AK201" s="3"/>
      <c r="AL201" s="3"/>
      <c r="AM201" s="3"/>
      <c r="AN201" s="3" t="s">
        <v>3723</v>
      </c>
      <c r="AO201" s="3"/>
      <c r="AP201" s="3"/>
      <c r="AQ201" s="3"/>
      <c r="AR201" s="3" t="s">
        <v>65</v>
      </c>
      <c r="AS201" s="3">
        <v>2022</v>
      </c>
      <c r="AT201" s="3">
        <v>14</v>
      </c>
      <c r="AU201" s="3">
        <v>24</v>
      </c>
      <c r="AV201" s="3"/>
      <c r="AW201" s="3"/>
      <c r="AX201" s="3"/>
      <c r="AY201" s="3"/>
      <c r="AZ201" s="3"/>
      <c r="BA201" s="3"/>
      <c r="BB201" s="3">
        <v>5215</v>
      </c>
      <c r="BC201" s="3" t="s">
        <v>5501</v>
      </c>
      <c r="BD201" s="15" t="str">
        <f>HYPERLINK("http://dx.doi.org/10.3390/nu14245215","http://dx.doi.org/10.3390/nu14245215")</f>
        <v>http://dx.doi.org/10.3390/nu14245215</v>
      </c>
      <c r="BE201" s="3"/>
      <c r="BF201" s="3"/>
      <c r="BG201" s="3"/>
      <c r="BH201" s="3"/>
      <c r="BI201" s="3">
        <v>36558374</v>
      </c>
      <c r="BJ201" s="3" t="s">
        <v>5502</v>
      </c>
      <c r="BK201" s="3"/>
      <c r="BL201" s="3"/>
      <c r="BM201" s="3"/>
      <c r="BN201" s="3"/>
      <c r="BO201" s="3"/>
      <c r="BP201" s="3"/>
      <c r="BQ201" s="3"/>
      <c r="BR201" s="3"/>
      <c r="BS201" s="3"/>
      <c r="BT201" s="3"/>
      <c r="BU201" s="1" t="s">
        <v>7203</v>
      </c>
      <c r="BV201" s="2" t="s">
        <v>7188</v>
      </c>
      <c r="BW201" s="2" t="s">
        <v>7189</v>
      </c>
    </row>
    <row r="202" spans="1:75" ht="12.75" customHeight="1">
      <c r="A202" s="4" t="s">
        <v>63</v>
      </c>
      <c r="B202" s="4" t="s">
        <v>6172</v>
      </c>
      <c r="C202" s="4"/>
      <c r="D202" s="4"/>
      <c r="E202" s="4"/>
      <c r="F202" s="4" t="s">
        <v>6173</v>
      </c>
      <c r="G202" s="4"/>
      <c r="H202" s="4"/>
      <c r="I202" s="4" t="s">
        <v>6174</v>
      </c>
      <c r="J202" s="4" t="s">
        <v>423</v>
      </c>
      <c r="K202" s="4"/>
      <c r="L202" s="4"/>
      <c r="M202" s="4"/>
      <c r="N202" s="4"/>
      <c r="O202" s="4"/>
      <c r="P202" s="4"/>
      <c r="Q202" s="4"/>
      <c r="R202" s="4"/>
      <c r="S202" s="4"/>
      <c r="T202" s="4" t="s">
        <v>6175</v>
      </c>
      <c r="U202" s="4"/>
      <c r="V202" s="4"/>
      <c r="W202" s="4"/>
      <c r="X202" s="4"/>
      <c r="Y202" s="4"/>
      <c r="Z202" s="4"/>
      <c r="AA202" s="4"/>
      <c r="AB202" s="4"/>
      <c r="AC202" s="4"/>
      <c r="AD202" s="4"/>
      <c r="AE202" s="4"/>
      <c r="AF202" s="4"/>
      <c r="AG202" s="4"/>
      <c r="AH202" s="4"/>
      <c r="AI202" s="4"/>
      <c r="AJ202" s="4"/>
      <c r="AK202" s="4"/>
      <c r="AL202" s="4"/>
      <c r="AM202" s="4" t="s">
        <v>427</v>
      </c>
      <c r="AN202" s="4" t="s">
        <v>428</v>
      </c>
      <c r="AO202" s="4"/>
      <c r="AP202" s="4"/>
      <c r="AQ202" s="4"/>
      <c r="AR202" s="4" t="s">
        <v>1991</v>
      </c>
      <c r="AS202" s="4">
        <v>2023</v>
      </c>
      <c r="AT202" s="4">
        <v>18</v>
      </c>
      <c r="AU202" s="4">
        <v>6</v>
      </c>
      <c r="AV202" s="4"/>
      <c r="AW202" s="4"/>
      <c r="AX202" s="4"/>
      <c r="AY202" s="4"/>
      <c r="AZ202" s="4">
        <v>928</v>
      </c>
      <c r="BA202" s="4">
        <v>940</v>
      </c>
      <c r="BB202" s="4"/>
      <c r="BC202" s="4" t="s">
        <v>6176</v>
      </c>
      <c r="BD202" s="5" t="str">
        <f>HYPERLINK("http://dx.doi.org/10.1080/19320248.2022.2060718","http://dx.doi.org/10.1080/19320248.2022.2060718")</f>
        <v>http://dx.doi.org/10.1080/19320248.2022.2060718</v>
      </c>
      <c r="BE202" s="4"/>
      <c r="BF202" s="4" t="s">
        <v>6177</v>
      </c>
      <c r="BG202" s="4"/>
      <c r="BH202" s="4"/>
      <c r="BI202" s="4"/>
      <c r="BJ202" s="4" t="s">
        <v>6178</v>
      </c>
      <c r="BK202" s="4"/>
      <c r="BL202" s="4"/>
      <c r="BM202" s="4"/>
      <c r="BN202" s="4"/>
      <c r="BO202" s="4"/>
      <c r="BP202" s="4"/>
      <c r="BQ202" s="4"/>
      <c r="BR202" s="4"/>
      <c r="BS202" s="4"/>
      <c r="BT202" s="4"/>
      <c r="BU202" s="12" t="s">
        <v>7306</v>
      </c>
      <c r="BV202" s="12" t="s">
        <v>7188</v>
      </c>
      <c r="BW202" s="12" t="s">
        <v>7189</v>
      </c>
    </row>
    <row r="203" spans="1:75" ht="12.75" customHeight="1">
      <c r="A203" s="4" t="s">
        <v>63</v>
      </c>
      <c r="B203" s="4" t="s">
        <v>4217</v>
      </c>
      <c r="C203" s="4"/>
      <c r="D203" s="4"/>
      <c r="E203" s="4"/>
      <c r="F203" s="4" t="s">
        <v>4218</v>
      </c>
      <c r="G203" s="4"/>
      <c r="H203" s="4"/>
      <c r="I203" s="4" t="s">
        <v>4219</v>
      </c>
      <c r="J203" s="4" t="s">
        <v>1004</v>
      </c>
      <c r="K203" s="4"/>
      <c r="L203" s="4"/>
      <c r="M203" s="4"/>
      <c r="N203" s="4"/>
      <c r="O203" s="4"/>
      <c r="P203" s="4"/>
      <c r="Q203" s="4"/>
      <c r="R203" s="4"/>
      <c r="S203" s="4"/>
      <c r="T203" s="4" t="s">
        <v>4220</v>
      </c>
      <c r="U203" s="4"/>
      <c r="V203" s="4"/>
      <c r="W203" s="4"/>
      <c r="X203" s="4"/>
      <c r="Y203" s="4" t="s">
        <v>860</v>
      </c>
      <c r="Z203" s="4" t="s">
        <v>4221</v>
      </c>
      <c r="AA203" s="4"/>
      <c r="AB203" s="4"/>
      <c r="AC203" s="4"/>
      <c r="AD203" s="4"/>
      <c r="AE203" s="4"/>
      <c r="AF203" s="4"/>
      <c r="AG203" s="4"/>
      <c r="AH203" s="4"/>
      <c r="AI203" s="4"/>
      <c r="AJ203" s="4"/>
      <c r="AK203" s="4"/>
      <c r="AL203" s="4"/>
      <c r="AM203" s="4" t="s">
        <v>1006</v>
      </c>
      <c r="AN203" s="4" t="s">
        <v>1007</v>
      </c>
      <c r="AO203" s="4"/>
      <c r="AP203" s="4"/>
      <c r="AQ203" s="4"/>
      <c r="AR203" s="4" t="s">
        <v>66</v>
      </c>
      <c r="AS203" s="4">
        <v>2020</v>
      </c>
      <c r="AT203" s="4">
        <v>23</v>
      </c>
      <c r="AU203" s="4">
        <v>8</v>
      </c>
      <c r="AV203" s="4"/>
      <c r="AW203" s="4"/>
      <c r="AX203" s="4"/>
      <c r="AY203" s="4"/>
      <c r="AZ203" s="4">
        <v>1428</v>
      </c>
      <c r="BA203" s="4">
        <v>1439</v>
      </c>
      <c r="BB203" s="4" t="s">
        <v>4222</v>
      </c>
      <c r="BC203" s="4" t="s">
        <v>4223</v>
      </c>
      <c r="BD203" s="5" t="str">
        <f>HYPERLINK("http://dx.doi.org/10.1017/S1368980019004427","http://dx.doi.org/10.1017/S1368980019004427")</f>
        <v>http://dx.doi.org/10.1017/S1368980019004427</v>
      </c>
      <c r="BE203" s="4"/>
      <c r="BF203" s="4"/>
      <c r="BG203" s="4"/>
      <c r="BH203" s="4"/>
      <c r="BI203" s="4">
        <v>32223780</v>
      </c>
      <c r="BJ203" s="4" t="s">
        <v>4224</v>
      </c>
      <c r="BK203" s="4"/>
      <c r="BL203" s="4"/>
      <c r="BM203" s="4"/>
      <c r="BN203" s="4"/>
      <c r="BO203" s="4"/>
      <c r="BP203" s="4"/>
      <c r="BQ203" s="4"/>
      <c r="BR203" s="4"/>
      <c r="BS203" s="4"/>
      <c r="BT203" s="4"/>
      <c r="BU203" s="12" t="s">
        <v>7307</v>
      </c>
      <c r="BV203" s="12" t="s">
        <v>7188</v>
      </c>
      <c r="BW203" s="12" t="s">
        <v>7189</v>
      </c>
    </row>
    <row r="204" spans="1:75" ht="12.75" customHeight="1">
      <c r="A204" s="6" t="s">
        <v>63</v>
      </c>
      <c r="B204" s="6" t="s">
        <v>1042</v>
      </c>
      <c r="C204" s="6"/>
      <c r="D204" s="6"/>
      <c r="E204" s="6"/>
      <c r="F204" s="6" t="s">
        <v>1043</v>
      </c>
      <c r="G204" s="6"/>
      <c r="H204" s="6"/>
      <c r="I204" s="6" t="s">
        <v>1044</v>
      </c>
      <c r="J204" s="6" t="s">
        <v>373</v>
      </c>
      <c r="K204" s="6"/>
      <c r="L204" s="6"/>
      <c r="M204" s="6"/>
      <c r="N204" s="6"/>
      <c r="O204" s="6"/>
      <c r="P204" s="6"/>
      <c r="Q204" s="6"/>
      <c r="R204" s="6"/>
      <c r="S204" s="6"/>
      <c r="T204" s="6" t="s">
        <v>1045</v>
      </c>
      <c r="U204" s="6"/>
      <c r="V204" s="6"/>
      <c r="W204" s="6"/>
      <c r="X204" s="6"/>
      <c r="Y204" s="6"/>
      <c r="Z204" s="6"/>
      <c r="AA204" s="6"/>
      <c r="AB204" s="6"/>
      <c r="AC204" s="6"/>
      <c r="AD204" s="6"/>
      <c r="AE204" s="6"/>
      <c r="AF204" s="6"/>
      <c r="AG204" s="6"/>
      <c r="AH204" s="6"/>
      <c r="AI204" s="6"/>
      <c r="AJ204" s="6"/>
      <c r="AK204" s="6"/>
      <c r="AL204" s="6"/>
      <c r="AM204" s="6" t="s">
        <v>376</v>
      </c>
      <c r="AN204" s="6"/>
      <c r="AO204" s="6"/>
      <c r="AP204" s="6"/>
      <c r="AQ204" s="6"/>
      <c r="AR204" s="6" t="s">
        <v>173</v>
      </c>
      <c r="AS204" s="6">
        <v>2013</v>
      </c>
      <c r="AT204" s="6">
        <v>10</v>
      </c>
      <c r="AU204" s="6"/>
      <c r="AV204" s="6"/>
      <c r="AW204" s="6"/>
      <c r="AX204" s="6"/>
      <c r="AY204" s="6"/>
      <c r="AZ204" s="6"/>
      <c r="BA204" s="6"/>
      <c r="BB204" s="6">
        <v>130008</v>
      </c>
      <c r="BC204" s="6" t="s">
        <v>1046</v>
      </c>
      <c r="BD204" s="9" t="str">
        <f>HYPERLINK("http://dx.doi.org/10.5888/pcd10.130008","http://dx.doi.org/10.5888/pcd10.130008")</f>
        <v>http://dx.doi.org/10.5888/pcd10.130008</v>
      </c>
      <c r="BE204" s="6"/>
      <c r="BF204" s="6"/>
      <c r="BG204" s="6"/>
      <c r="BH204" s="6"/>
      <c r="BI204" s="6">
        <v>23886044</v>
      </c>
      <c r="BJ204" s="6" t="s">
        <v>1047</v>
      </c>
      <c r="BK204" s="6"/>
      <c r="BL204" s="6"/>
      <c r="BM204" s="6"/>
      <c r="BN204" s="6"/>
      <c r="BO204" s="6"/>
      <c r="BP204" s="6"/>
      <c r="BQ204" s="6"/>
      <c r="BR204" s="6"/>
      <c r="BS204" s="6"/>
      <c r="BT204" s="6"/>
      <c r="BU204" s="8" t="s">
        <v>7308</v>
      </c>
      <c r="BV204" s="8" t="s">
        <v>7188</v>
      </c>
      <c r="BW204" s="8" t="s">
        <v>7189</v>
      </c>
    </row>
    <row r="205" spans="1:75" ht="12.75" customHeight="1">
      <c r="A205" s="6" t="s">
        <v>63</v>
      </c>
      <c r="B205" s="6" t="s">
        <v>797</v>
      </c>
      <c r="C205" s="6"/>
      <c r="D205" s="6"/>
      <c r="E205" s="6"/>
      <c r="F205" s="6" t="s">
        <v>798</v>
      </c>
      <c r="G205" s="6"/>
      <c r="H205" s="6"/>
      <c r="I205" s="6" t="s">
        <v>799</v>
      </c>
      <c r="J205" s="6" t="s">
        <v>800</v>
      </c>
      <c r="K205" s="6"/>
      <c r="L205" s="6"/>
      <c r="M205" s="6"/>
      <c r="N205" s="6"/>
      <c r="O205" s="6"/>
      <c r="P205" s="6"/>
      <c r="Q205" s="6"/>
      <c r="R205" s="6"/>
      <c r="S205" s="6"/>
      <c r="T205" s="6" t="s">
        <v>801</v>
      </c>
      <c r="U205" s="6"/>
      <c r="V205" s="6"/>
      <c r="W205" s="6"/>
      <c r="X205" s="6"/>
      <c r="Y205" s="6" t="s">
        <v>802</v>
      </c>
      <c r="Z205" s="6" t="s">
        <v>803</v>
      </c>
      <c r="AA205" s="6"/>
      <c r="AB205" s="6"/>
      <c r="AC205" s="6"/>
      <c r="AD205" s="6"/>
      <c r="AE205" s="6"/>
      <c r="AF205" s="6"/>
      <c r="AG205" s="6"/>
      <c r="AH205" s="6"/>
      <c r="AI205" s="6"/>
      <c r="AJ205" s="6"/>
      <c r="AK205" s="6"/>
      <c r="AL205" s="6"/>
      <c r="AM205" s="6" t="s">
        <v>804</v>
      </c>
      <c r="AN205" s="6" t="s">
        <v>805</v>
      </c>
      <c r="AO205" s="6"/>
      <c r="AP205" s="6"/>
      <c r="AQ205" s="6"/>
      <c r="AR205" s="6" t="s">
        <v>92</v>
      </c>
      <c r="AS205" s="6">
        <v>2012</v>
      </c>
      <c r="AT205" s="6">
        <v>102</v>
      </c>
      <c r="AU205" s="6">
        <v>10</v>
      </c>
      <c r="AV205" s="6"/>
      <c r="AW205" s="6"/>
      <c r="AX205" s="6"/>
      <c r="AY205" s="6"/>
      <c r="AZ205" s="6" t="s">
        <v>806</v>
      </c>
      <c r="BA205" s="6" t="s">
        <v>807</v>
      </c>
      <c r="BB205" s="6"/>
      <c r="BC205" s="6" t="s">
        <v>808</v>
      </c>
      <c r="BD205" s="9" t="str">
        <f>HYPERLINK("http://dx.doi.org/10.2105/AJPH.2012.300675","http://dx.doi.org/10.2105/AJPH.2012.300675")</f>
        <v>http://dx.doi.org/10.2105/AJPH.2012.300675</v>
      </c>
      <c r="BE205" s="6"/>
      <c r="BF205" s="6"/>
      <c r="BG205" s="6"/>
      <c r="BH205" s="6"/>
      <c r="BI205" s="6">
        <v>22897554</v>
      </c>
      <c r="BJ205" s="6" t="s">
        <v>809</v>
      </c>
      <c r="BK205" s="6"/>
      <c r="BL205" s="6"/>
      <c r="BM205" s="6"/>
      <c r="BN205" s="6"/>
      <c r="BO205" s="6"/>
      <c r="BP205" s="6"/>
      <c r="BQ205" s="6"/>
      <c r="BR205" s="6"/>
      <c r="BS205" s="6"/>
      <c r="BT205" s="6"/>
      <c r="BU205" s="8" t="s">
        <v>7309</v>
      </c>
      <c r="BV205" s="8" t="s">
        <v>7188</v>
      </c>
      <c r="BW205" s="8" t="s">
        <v>7189</v>
      </c>
    </row>
    <row r="206" spans="1:75" ht="12.75" customHeight="1">
      <c r="A206" s="3" t="s">
        <v>63</v>
      </c>
      <c r="B206" s="3" t="s">
        <v>6692</v>
      </c>
      <c r="C206" s="3"/>
      <c r="D206" s="3"/>
      <c r="E206" s="3"/>
      <c r="F206" s="3" t="s">
        <v>6693</v>
      </c>
      <c r="G206" s="3"/>
      <c r="H206" s="3"/>
      <c r="I206" s="3" t="s">
        <v>6694</v>
      </c>
      <c r="J206" s="3" t="s">
        <v>6147</v>
      </c>
      <c r="K206" s="3"/>
      <c r="L206" s="3"/>
      <c r="M206" s="3"/>
      <c r="N206" s="3"/>
      <c r="O206" s="3"/>
      <c r="P206" s="3"/>
      <c r="Q206" s="3"/>
      <c r="R206" s="3"/>
      <c r="S206" s="3"/>
      <c r="T206" s="3" t="s">
        <v>6695</v>
      </c>
      <c r="U206" s="3"/>
      <c r="V206" s="3"/>
      <c r="W206" s="3"/>
      <c r="X206" s="3"/>
      <c r="Y206" s="3" t="s">
        <v>6696</v>
      </c>
      <c r="Z206" s="3"/>
      <c r="AA206" s="3"/>
      <c r="AB206" s="3"/>
      <c r="AC206" s="3"/>
      <c r="AD206" s="3"/>
      <c r="AE206" s="3"/>
      <c r="AF206" s="3"/>
      <c r="AG206" s="3"/>
      <c r="AH206" s="3"/>
      <c r="AI206" s="3"/>
      <c r="AJ206" s="3"/>
      <c r="AK206" s="3"/>
      <c r="AL206" s="3"/>
      <c r="AM206" s="3" t="s">
        <v>6151</v>
      </c>
      <c r="AN206" s="3" t="s">
        <v>6152</v>
      </c>
      <c r="AO206" s="3"/>
      <c r="AP206" s="3"/>
      <c r="AQ206" s="3"/>
      <c r="AR206" s="3" t="s">
        <v>68</v>
      </c>
      <c r="AS206" s="3">
        <v>2024</v>
      </c>
      <c r="AT206" s="3">
        <v>28</v>
      </c>
      <c r="AU206" s="3">
        <v>4</v>
      </c>
      <c r="AV206" s="3"/>
      <c r="AW206" s="3"/>
      <c r="AX206" s="3"/>
      <c r="AY206" s="3"/>
      <c r="AZ206" s="3">
        <v>494</v>
      </c>
      <c r="BA206" s="3">
        <v>500</v>
      </c>
      <c r="BB206" s="3"/>
      <c r="BC206" s="3" t="s">
        <v>6697</v>
      </c>
      <c r="BD206" s="15" t="str">
        <f>HYPERLINK("http://dx.doi.org/10.1016/j.gassur.2024.01.012","http://dx.doi.org/10.1016/j.gassur.2024.01.012")</f>
        <v>http://dx.doi.org/10.1016/j.gassur.2024.01.012</v>
      </c>
      <c r="BE206" s="3"/>
      <c r="BF206" s="3" t="s">
        <v>6605</v>
      </c>
      <c r="BG206" s="3"/>
      <c r="BH206" s="3"/>
      <c r="BI206" s="3">
        <v>38583901</v>
      </c>
      <c r="BJ206" s="3" t="s">
        <v>6698</v>
      </c>
      <c r="BK206" s="3"/>
      <c r="BL206" s="3"/>
      <c r="BM206" s="3"/>
      <c r="BN206" s="3"/>
      <c r="BO206" s="3"/>
      <c r="BP206" s="3"/>
      <c r="BQ206" s="3"/>
      <c r="BR206" s="3"/>
      <c r="BS206" s="3"/>
      <c r="BT206" s="3"/>
      <c r="BU206" s="2" t="s">
        <v>7201</v>
      </c>
      <c r="BV206" s="2" t="s">
        <v>7188</v>
      </c>
      <c r="BW206" s="2" t="s">
        <v>7189</v>
      </c>
    </row>
    <row r="207" spans="1:75" ht="12.75" customHeight="1">
      <c r="A207" s="6" t="s">
        <v>63</v>
      </c>
      <c r="B207" s="6" t="s">
        <v>3683</v>
      </c>
      <c r="C207" s="6"/>
      <c r="D207" s="6"/>
      <c r="E207" s="6"/>
      <c r="F207" s="6" t="s">
        <v>3684</v>
      </c>
      <c r="G207" s="6"/>
      <c r="H207" s="6"/>
      <c r="I207" s="6" t="s">
        <v>3685</v>
      </c>
      <c r="J207" s="6" t="s">
        <v>3686</v>
      </c>
      <c r="K207" s="6"/>
      <c r="L207" s="6"/>
      <c r="M207" s="6"/>
      <c r="N207" s="6"/>
      <c r="O207" s="6"/>
      <c r="P207" s="6"/>
      <c r="Q207" s="6"/>
      <c r="R207" s="6"/>
      <c r="S207" s="6"/>
      <c r="T207" s="6" t="s">
        <v>3687</v>
      </c>
      <c r="U207" s="6"/>
      <c r="V207" s="6"/>
      <c r="W207" s="6"/>
      <c r="X207" s="6"/>
      <c r="Y207" s="6"/>
      <c r="Z207" s="6"/>
      <c r="AA207" s="6"/>
      <c r="AB207" s="6"/>
      <c r="AC207" s="6"/>
      <c r="AD207" s="6"/>
      <c r="AE207" s="6"/>
      <c r="AF207" s="6"/>
      <c r="AG207" s="6"/>
      <c r="AH207" s="6"/>
      <c r="AI207" s="6"/>
      <c r="AJ207" s="6"/>
      <c r="AK207" s="6"/>
      <c r="AL207" s="6"/>
      <c r="AM207" s="6" t="s">
        <v>3688</v>
      </c>
      <c r="AN207" s="6"/>
      <c r="AO207" s="6"/>
      <c r="AP207" s="6"/>
      <c r="AQ207" s="6"/>
      <c r="AR207" s="6" t="s">
        <v>279</v>
      </c>
      <c r="AS207" s="6">
        <v>2019</v>
      </c>
      <c r="AT207" s="6">
        <v>43</v>
      </c>
      <c r="AU207" s="6">
        <v>2</v>
      </c>
      <c r="AV207" s="6"/>
      <c r="AW207" s="6"/>
      <c r="AX207" s="6"/>
      <c r="AY207" s="6"/>
      <c r="AZ207" s="6">
        <v>24</v>
      </c>
      <c r="BA207" s="6">
        <v>32</v>
      </c>
      <c r="BB207" s="6"/>
      <c r="BC207" s="6"/>
      <c r="BD207" s="6"/>
      <c r="BE207" s="6"/>
      <c r="BF207" s="6"/>
      <c r="BG207" s="6"/>
      <c r="BH207" s="6"/>
      <c r="BI207" s="6"/>
      <c r="BJ207" s="6" t="s">
        <v>3689</v>
      </c>
      <c r="BK207" s="6"/>
      <c r="BL207" s="6"/>
      <c r="BM207" s="6"/>
      <c r="BN207" s="6"/>
      <c r="BO207" s="6"/>
      <c r="BP207" s="6"/>
      <c r="BQ207" s="6"/>
      <c r="BR207" s="6"/>
      <c r="BS207" s="6"/>
      <c r="BT207" s="6"/>
      <c r="BU207" s="8" t="s">
        <v>7193</v>
      </c>
      <c r="BV207" s="8" t="s">
        <v>7188</v>
      </c>
      <c r="BW207" s="8" t="s">
        <v>7189</v>
      </c>
    </row>
    <row r="208" spans="1:75" ht="12.75" customHeight="1">
      <c r="A208" s="6" t="s">
        <v>63</v>
      </c>
      <c r="B208" s="6" t="s">
        <v>1420</v>
      </c>
      <c r="C208" s="6"/>
      <c r="D208" s="6"/>
      <c r="E208" s="6"/>
      <c r="F208" s="6" t="s">
        <v>1421</v>
      </c>
      <c r="G208" s="6"/>
      <c r="H208" s="6"/>
      <c r="I208" s="6" t="s">
        <v>1422</v>
      </c>
      <c r="J208" s="6" t="s">
        <v>434</v>
      </c>
      <c r="K208" s="6"/>
      <c r="L208" s="6"/>
      <c r="M208" s="6"/>
      <c r="N208" s="6"/>
      <c r="O208" s="6"/>
      <c r="P208" s="6"/>
      <c r="Q208" s="6"/>
      <c r="R208" s="6"/>
      <c r="S208" s="6"/>
      <c r="T208" s="6" t="s">
        <v>1423</v>
      </c>
      <c r="U208" s="6"/>
      <c r="V208" s="6"/>
      <c r="W208" s="6"/>
      <c r="X208" s="6"/>
      <c r="Y208" s="6" t="s">
        <v>1424</v>
      </c>
      <c r="Z208" s="6" t="s">
        <v>1425</v>
      </c>
      <c r="AA208" s="6"/>
      <c r="AB208" s="6"/>
      <c r="AC208" s="6"/>
      <c r="AD208" s="6"/>
      <c r="AE208" s="6"/>
      <c r="AF208" s="6"/>
      <c r="AG208" s="6"/>
      <c r="AH208" s="6"/>
      <c r="AI208" s="6"/>
      <c r="AJ208" s="6"/>
      <c r="AK208" s="6"/>
      <c r="AL208" s="6"/>
      <c r="AM208" s="6" t="s">
        <v>436</v>
      </c>
      <c r="AN208" s="6" t="s">
        <v>568</v>
      </c>
      <c r="AO208" s="6"/>
      <c r="AP208" s="6"/>
      <c r="AQ208" s="6"/>
      <c r="AR208" s="6" t="s">
        <v>445</v>
      </c>
      <c r="AS208" s="6">
        <v>2014</v>
      </c>
      <c r="AT208" s="6">
        <v>53</v>
      </c>
      <c r="AU208" s="6"/>
      <c r="AV208" s="6"/>
      <c r="AW208" s="6"/>
      <c r="AX208" s="6"/>
      <c r="AY208" s="6"/>
      <c r="AZ208" s="6">
        <v>149</v>
      </c>
      <c r="BA208" s="6">
        <v>159</v>
      </c>
      <c r="BB208" s="6"/>
      <c r="BC208" s="6" t="s">
        <v>1426</v>
      </c>
      <c r="BD208" s="9" t="str">
        <f>HYPERLINK("http://dx.doi.org/10.1016/j.apgeog.2014.06.012","http://dx.doi.org/10.1016/j.apgeog.2014.06.012")</f>
        <v>http://dx.doi.org/10.1016/j.apgeog.2014.06.012</v>
      </c>
      <c r="BE208" s="6"/>
      <c r="BF208" s="6"/>
      <c r="BG208" s="6"/>
      <c r="BH208" s="6"/>
      <c r="BI208" s="6"/>
      <c r="BJ208" s="6" t="s">
        <v>1427</v>
      </c>
      <c r="BK208" s="6"/>
      <c r="BL208" s="6"/>
      <c r="BM208" s="6"/>
      <c r="BN208" s="6"/>
      <c r="BO208" s="6"/>
      <c r="BP208" s="6"/>
      <c r="BQ208" s="6"/>
      <c r="BR208" s="6"/>
      <c r="BS208" s="6"/>
      <c r="BT208" s="6"/>
      <c r="BU208" s="8" t="s">
        <v>7310</v>
      </c>
      <c r="BV208" s="8" t="s">
        <v>7188</v>
      </c>
      <c r="BW208" s="8" t="s">
        <v>7189</v>
      </c>
    </row>
    <row r="209" spans="1:75" ht="12.75" customHeight="1">
      <c r="A209" s="3" t="s">
        <v>63</v>
      </c>
      <c r="B209" s="3" t="s">
        <v>6699</v>
      </c>
      <c r="C209" s="3"/>
      <c r="D209" s="3"/>
      <c r="E209" s="3"/>
      <c r="F209" s="3" t="s">
        <v>6700</v>
      </c>
      <c r="G209" s="3"/>
      <c r="H209" s="3"/>
      <c r="I209" s="3" t="s">
        <v>6701</v>
      </c>
      <c r="J209" s="3" t="s">
        <v>6702</v>
      </c>
      <c r="K209" s="3"/>
      <c r="L209" s="3"/>
      <c r="M209" s="3"/>
      <c r="N209" s="3"/>
      <c r="O209" s="3"/>
      <c r="P209" s="3"/>
      <c r="Q209" s="3"/>
      <c r="R209" s="3"/>
      <c r="S209" s="3"/>
      <c r="T209" s="3" t="s">
        <v>6703</v>
      </c>
      <c r="U209" s="3"/>
      <c r="V209" s="3"/>
      <c r="W209" s="3"/>
      <c r="X209" s="3"/>
      <c r="Y209" s="3"/>
      <c r="Z209" s="3" t="s">
        <v>6704</v>
      </c>
      <c r="AA209" s="3"/>
      <c r="AB209" s="3"/>
      <c r="AC209" s="3"/>
      <c r="AD209" s="3"/>
      <c r="AE209" s="3"/>
      <c r="AF209" s="3"/>
      <c r="AG209" s="3"/>
      <c r="AH209" s="3"/>
      <c r="AI209" s="3"/>
      <c r="AJ209" s="3"/>
      <c r="AK209" s="3"/>
      <c r="AL209" s="3"/>
      <c r="AM209" s="3" t="s">
        <v>6705</v>
      </c>
      <c r="AN209" s="3" t="s">
        <v>6706</v>
      </c>
      <c r="AO209" s="3"/>
      <c r="AP209" s="3"/>
      <c r="AQ209" s="3"/>
      <c r="AR209" s="3" t="s">
        <v>121</v>
      </c>
      <c r="AS209" s="3">
        <v>2024</v>
      </c>
      <c r="AT209" s="3">
        <v>300</v>
      </c>
      <c r="AU209" s="3"/>
      <c r="AV209" s="3"/>
      <c r="AW209" s="3"/>
      <c r="AX209" s="3"/>
      <c r="AY209" s="3"/>
      <c r="AZ209" s="3">
        <v>345</v>
      </c>
      <c r="BA209" s="3">
        <v>351</v>
      </c>
      <c r="BB209" s="3"/>
      <c r="BC209" s="3" t="s">
        <v>6707</v>
      </c>
      <c r="BD209" s="15" t="str">
        <f>HYPERLINK("http://dx.doi.org/10.1016/j.jss.2024.05.017","http://dx.doi.org/10.1016/j.jss.2024.05.017")</f>
        <v>http://dx.doi.org/10.1016/j.jss.2024.05.017</v>
      </c>
      <c r="BE209" s="3"/>
      <c r="BF209" s="3" t="s">
        <v>122</v>
      </c>
      <c r="BG209" s="3"/>
      <c r="BH209" s="3"/>
      <c r="BI209" s="3">
        <v>38843721</v>
      </c>
      <c r="BJ209" s="3" t="s">
        <v>6708</v>
      </c>
      <c r="BK209" s="3"/>
      <c r="BL209" s="3"/>
      <c r="BM209" s="3"/>
      <c r="BN209" s="3"/>
      <c r="BO209" s="3"/>
      <c r="BP209" s="3"/>
      <c r="BQ209" s="3"/>
      <c r="BR209" s="3"/>
      <c r="BS209" s="3"/>
      <c r="BT209" s="3"/>
      <c r="BU209" s="2" t="s">
        <v>7201</v>
      </c>
      <c r="BV209" s="2" t="s">
        <v>7188</v>
      </c>
      <c r="BW209" s="2" t="s">
        <v>7189</v>
      </c>
    </row>
    <row r="210" spans="1:75" ht="12.75" customHeight="1">
      <c r="A210" s="3" t="s">
        <v>63</v>
      </c>
      <c r="B210" s="3" t="s">
        <v>1048</v>
      </c>
      <c r="C210" s="3"/>
      <c r="D210" s="3"/>
      <c r="E210" s="3"/>
      <c r="F210" s="3" t="s">
        <v>1049</v>
      </c>
      <c r="G210" s="3"/>
      <c r="H210" s="3"/>
      <c r="I210" s="3" t="s">
        <v>1050</v>
      </c>
      <c r="J210" s="3" t="s">
        <v>959</v>
      </c>
      <c r="K210" s="3"/>
      <c r="L210" s="3"/>
      <c r="M210" s="3"/>
      <c r="N210" s="3"/>
      <c r="O210" s="3"/>
      <c r="P210" s="3"/>
      <c r="Q210" s="3"/>
      <c r="R210" s="3"/>
      <c r="S210" s="3"/>
      <c r="T210" s="3" t="s">
        <v>1051</v>
      </c>
      <c r="U210" s="3"/>
      <c r="V210" s="3"/>
      <c r="W210" s="3"/>
      <c r="X210" s="3"/>
      <c r="Y210" s="3"/>
      <c r="Z210" s="3" t="s">
        <v>1052</v>
      </c>
      <c r="AA210" s="3"/>
      <c r="AB210" s="3"/>
      <c r="AC210" s="3"/>
      <c r="AD210" s="3"/>
      <c r="AE210" s="3"/>
      <c r="AF210" s="3"/>
      <c r="AG210" s="3"/>
      <c r="AH210" s="3"/>
      <c r="AI210" s="3"/>
      <c r="AJ210" s="3"/>
      <c r="AK210" s="3"/>
      <c r="AL210" s="3"/>
      <c r="AM210" s="3" t="s">
        <v>962</v>
      </c>
      <c r="AN210" s="3" t="s">
        <v>963</v>
      </c>
      <c r="AO210" s="3"/>
      <c r="AP210" s="3"/>
      <c r="AQ210" s="3"/>
      <c r="AR210" s="3" t="s">
        <v>82</v>
      </c>
      <c r="AS210" s="3">
        <v>2013</v>
      </c>
      <c r="AT210" s="3">
        <v>35</v>
      </c>
      <c r="AU210" s="3">
        <v>1</v>
      </c>
      <c r="AV210" s="3"/>
      <c r="AW210" s="3"/>
      <c r="AX210" s="3" t="s">
        <v>569</v>
      </c>
      <c r="AY210" s="3"/>
      <c r="AZ210" s="3">
        <v>150</v>
      </c>
      <c r="BA210" s="3">
        <v>170</v>
      </c>
      <c r="BB210" s="3"/>
      <c r="BC210" s="3" t="s">
        <v>1053</v>
      </c>
      <c r="BD210" s="15" t="str">
        <f>HYPERLINK("http://dx.doi.org/10.1093/aepp/pps042","http://dx.doi.org/10.1093/aepp/pps042")</f>
        <v>http://dx.doi.org/10.1093/aepp/pps042</v>
      </c>
      <c r="BE210" s="3"/>
      <c r="BF210" s="3"/>
      <c r="BG210" s="3"/>
      <c r="BH210" s="3"/>
      <c r="BI210" s="3"/>
      <c r="BJ210" s="3" t="s">
        <v>1054</v>
      </c>
      <c r="BK210" s="3"/>
      <c r="BL210" s="3"/>
      <c r="BM210" s="3"/>
      <c r="BN210" s="3"/>
      <c r="BO210" s="3"/>
      <c r="BP210" s="3"/>
      <c r="BQ210" s="3"/>
      <c r="BR210" s="3"/>
      <c r="BS210" s="3"/>
      <c r="BT210" s="3"/>
      <c r="BU210" s="2" t="s">
        <v>7201</v>
      </c>
      <c r="BV210" s="2" t="s">
        <v>7188</v>
      </c>
      <c r="BW210" s="2" t="s">
        <v>7189</v>
      </c>
    </row>
    <row r="211" spans="1:75" ht="12.75" customHeight="1">
      <c r="A211" s="6" t="s">
        <v>63</v>
      </c>
      <c r="B211" s="6" t="s">
        <v>3313</v>
      </c>
      <c r="C211" s="6"/>
      <c r="D211" s="6"/>
      <c r="E211" s="6"/>
      <c r="F211" s="6" t="s">
        <v>3314</v>
      </c>
      <c r="G211" s="6"/>
      <c r="H211" s="6"/>
      <c r="I211" s="6" t="s">
        <v>3315</v>
      </c>
      <c r="J211" s="6" t="s">
        <v>3316</v>
      </c>
      <c r="K211" s="6"/>
      <c r="L211" s="6"/>
      <c r="M211" s="6"/>
      <c r="N211" s="6"/>
      <c r="O211" s="6"/>
      <c r="P211" s="6"/>
      <c r="Q211" s="6"/>
      <c r="R211" s="6"/>
      <c r="S211" s="6"/>
      <c r="T211" s="6" t="s">
        <v>3317</v>
      </c>
      <c r="U211" s="6"/>
      <c r="V211" s="6"/>
      <c r="W211" s="6"/>
      <c r="X211" s="6"/>
      <c r="Y211" s="6" t="s">
        <v>3318</v>
      </c>
      <c r="Z211" s="6" t="s">
        <v>3319</v>
      </c>
      <c r="AA211" s="6"/>
      <c r="AB211" s="6"/>
      <c r="AC211" s="6"/>
      <c r="AD211" s="6"/>
      <c r="AE211" s="6"/>
      <c r="AF211" s="6"/>
      <c r="AG211" s="6"/>
      <c r="AH211" s="6"/>
      <c r="AI211" s="6"/>
      <c r="AJ211" s="6"/>
      <c r="AK211" s="6"/>
      <c r="AL211" s="6"/>
      <c r="AM211" s="6" t="s">
        <v>3320</v>
      </c>
      <c r="AN211" s="6" t="s">
        <v>3321</v>
      </c>
      <c r="AO211" s="6"/>
      <c r="AP211" s="6"/>
      <c r="AQ211" s="6"/>
      <c r="AR211" s="6" t="s">
        <v>1475</v>
      </c>
      <c r="AS211" s="6">
        <v>2018</v>
      </c>
      <c r="AT211" s="6">
        <v>268</v>
      </c>
      <c r="AU211" s="6">
        <v>3</v>
      </c>
      <c r="AV211" s="6"/>
      <c r="AW211" s="6"/>
      <c r="AX211" s="6" t="s">
        <v>569</v>
      </c>
      <c r="AY211" s="6"/>
      <c r="AZ211" s="6">
        <v>1021</v>
      </c>
      <c r="BA211" s="6">
        <v>1039</v>
      </c>
      <c r="BB211" s="6"/>
      <c r="BC211" s="6" t="s">
        <v>3322</v>
      </c>
      <c r="BD211" s="9" t="str">
        <f>HYPERLINK("http://dx.doi.org/10.1016/j.ejor.2017.11.065","http://dx.doi.org/10.1016/j.ejor.2017.11.065")</f>
        <v>http://dx.doi.org/10.1016/j.ejor.2017.11.065</v>
      </c>
      <c r="BE211" s="6"/>
      <c r="BF211" s="6"/>
      <c r="BG211" s="6"/>
      <c r="BH211" s="6"/>
      <c r="BI211" s="6"/>
      <c r="BJ211" s="6" t="s">
        <v>3323</v>
      </c>
      <c r="BK211" s="6"/>
      <c r="BL211" s="6"/>
      <c r="BM211" s="6"/>
      <c r="BN211" s="6"/>
      <c r="BO211" s="6"/>
      <c r="BP211" s="6"/>
      <c r="BQ211" s="6"/>
      <c r="BR211" s="6"/>
      <c r="BS211" s="6"/>
      <c r="BT211" s="6"/>
      <c r="BU211" s="8" t="s">
        <v>7311</v>
      </c>
      <c r="BV211" s="8" t="s">
        <v>7214</v>
      </c>
      <c r="BW211" s="8" t="s">
        <v>7205</v>
      </c>
    </row>
    <row r="212" spans="1:75" ht="12.75" customHeight="1">
      <c r="A212" s="4" t="s">
        <v>63</v>
      </c>
      <c r="B212" s="4" t="s">
        <v>4876</v>
      </c>
      <c r="C212" s="4"/>
      <c r="D212" s="4"/>
      <c r="E212" s="4"/>
      <c r="F212" s="4" t="s">
        <v>4877</v>
      </c>
      <c r="G212" s="4"/>
      <c r="H212" s="4"/>
      <c r="I212" s="4" t="s">
        <v>4878</v>
      </c>
      <c r="J212" s="4" t="s">
        <v>532</v>
      </c>
      <c r="K212" s="4"/>
      <c r="L212" s="4"/>
      <c r="M212" s="4"/>
      <c r="N212" s="4"/>
      <c r="O212" s="4"/>
      <c r="P212" s="4"/>
      <c r="Q212" s="4"/>
      <c r="R212" s="4"/>
      <c r="S212" s="4"/>
      <c r="T212" s="4" t="s">
        <v>4879</v>
      </c>
      <c r="U212" s="4"/>
      <c r="V212" s="4"/>
      <c r="W212" s="4"/>
      <c r="X212" s="4"/>
      <c r="Y212" s="4" t="s">
        <v>4880</v>
      </c>
      <c r="Z212" s="4"/>
      <c r="AA212" s="4"/>
      <c r="AB212" s="4"/>
      <c r="AC212" s="4"/>
      <c r="AD212" s="4"/>
      <c r="AE212" s="4"/>
      <c r="AF212" s="4"/>
      <c r="AG212" s="4"/>
      <c r="AH212" s="4"/>
      <c r="AI212" s="4"/>
      <c r="AJ212" s="4"/>
      <c r="AK212" s="4"/>
      <c r="AL212" s="4"/>
      <c r="AM212" s="4" t="s">
        <v>534</v>
      </c>
      <c r="AN212" s="4" t="s">
        <v>535</v>
      </c>
      <c r="AO212" s="4"/>
      <c r="AP212" s="4"/>
      <c r="AQ212" s="4"/>
      <c r="AR212" s="4" t="s">
        <v>254</v>
      </c>
      <c r="AS212" s="4">
        <v>2021</v>
      </c>
      <c r="AT212" s="4">
        <v>10</v>
      </c>
      <c r="AU212" s="4">
        <v>3</v>
      </c>
      <c r="AV212" s="4"/>
      <c r="AW212" s="4"/>
      <c r="AX212" s="4"/>
      <c r="AY212" s="4"/>
      <c r="AZ212" s="4">
        <v>145</v>
      </c>
      <c r="BA212" s="4">
        <v>159</v>
      </c>
      <c r="BB212" s="4"/>
      <c r="BC212" s="4" t="s">
        <v>4881</v>
      </c>
      <c r="BD212" s="5" t="str">
        <f>HYPERLINK("http://dx.doi.org/10.5304/jafscd.2021.103.008","http://dx.doi.org/10.5304/jafscd.2021.103.008")</f>
        <v>http://dx.doi.org/10.5304/jafscd.2021.103.008</v>
      </c>
      <c r="BE212" s="4"/>
      <c r="BF212" s="4"/>
      <c r="BG212" s="4"/>
      <c r="BH212" s="4"/>
      <c r="BI212" s="4"/>
      <c r="BJ212" s="4" t="s">
        <v>4882</v>
      </c>
      <c r="BK212" s="4"/>
      <c r="BL212" s="4"/>
      <c r="BM212" s="4"/>
      <c r="BN212" s="4"/>
      <c r="BO212" s="4"/>
      <c r="BP212" s="4"/>
      <c r="BQ212" s="4"/>
      <c r="BR212" s="4"/>
      <c r="BS212" s="4"/>
      <c r="BT212" s="4"/>
      <c r="BU212" s="12" t="s">
        <v>7191</v>
      </c>
      <c r="BV212" s="12" t="s">
        <v>7188</v>
      </c>
      <c r="BW212" s="12" t="s">
        <v>7189</v>
      </c>
    </row>
    <row r="213" spans="1:75" ht="12.75" customHeight="1">
      <c r="A213" s="3" t="s">
        <v>63</v>
      </c>
      <c r="B213" s="3" t="s">
        <v>3690</v>
      </c>
      <c r="C213" s="3"/>
      <c r="D213" s="3"/>
      <c r="E213" s="3"/>
      <c r="F213" s="3" t="s">
        <v>3691</v>
      </c>
      <c r="G213" s="3"/>
      <c r="H213" s="3"/>
      <c r="I213" s="3" t="s">
        <v>3692</v>
      </c>
      <c r="J213" s="3" t="s">
        <v>3693</v>
      </c>
      <c r="K213" s="3"/>
      <c r="L213" s="3"/>
      <c r="M213" s="3"/>
      <c r="N213" s="3"/>
      <c r="O213" s="3"/>
      <c r="P213" s="3"/>
      <c r="Q213" s="3"/>
      <c r="R213" s="3"/>
      <c r="S213" s="3"/>
      <c r="T213" s="3" t="s">
        <v>3694</v>
      </c>
      <c r="U213" s="3"/>
      <c r="V213" s="3"/>
      <c r="W213" s="3"/>
      <c r="X213" s="3"/>
      <c r="Y213" s="3"/>
      <c r="Z213" s="3"/>
      <c r="AA213" s="3"/>
      <c r="AB213" s="3"/>
      <c r="AC213" s="3"/>
      <c r="AD213" s="3"/>
      <c r="AE213" s="3"/>
      <c r="AF213" s="3"/>
      <c r="AG213" s="3"/>
      <c r="AH213" s="3"/>
      <c r="AI213" s="3"/>
      <c r="AJ213" s="3"/>
      <c r="AK213" s="3"/>
      <c r="AL213" s="3"/>
      <c r="AM213" s="3" t="s">
        <v>3695</v>
      </c>
      <c r="AN213" s="3" t="s">
        <v>3696</v>
      </c>
      <c r="AO213" s="3"/>
      <c r="AP213" s="3"/>
      <c r="AQ213" s="3"/>
      <c r="AR213" s="3" t="s">
        <v>121</v>
      </c>
      <c r="AS213" s="3">
        <v>2019</v>
      </c>
      <c r="AT213" s="3">
        <v>19</v>
      </c>
      <c r="AU213" s="3">
        <v>3</v>
      </c>
      <c r="AV213" s="3"/>
      <c r="AW213" s="3"/>
      <c r="AX213" s="3" t="s">
        <v>569</v>
      </c>
      <c r="AY213" s="3"/>
      <c r="AZ213" s="3"/>
      <c r="BA213" s="3"/>
      <c r="BB213" s="3" t="s">
        <v>3697</v>
      </c>
      <c r="BC213" s="3" t="s">
        <v>3698</v>
      </c>
      <c r="BD213" s="15" t="str">
        <f>HYPERLINK("http://dx.doi.org/10.1002/pa.1875","http://dx.doi.org/10.1002/pa.1875")</f>
        <v>http://dx.doi.org/10.1002/pa.1875</v>
      </c>
      <c r="BE213" s="3"/>
      <c r="BF213" s="3"/>
      <c r="BG213" s="3"/>
      <c r="BH213" s="3"/>
      <c r="BI213" s="3"/>
      <c r="BJ213" s="3" t="s">
        <v>3699</v>
      </c>
      <c r="BK213" s="3"/>
      <c r="BL213" s="3"/>
      <c r="BM213" s="3"/>
      <c r="BN213" s="3"/>
      <c r="BO213" s="3"/>
      <c r="BP213" s="3"/>
      <c r="BQ213" s="3"/>
      <c r="BR213" s="3"/>
      <c r="BS213" s="3"/>
      <c r="BT213" s="3"/>
      <c r="BU213" s="2" t="s">
        <v>7201</v>
      </c>
      <c r="BV213" s="2" t="s">
        <v>7188</v>
      </c>
      <c r="BW213" s="2" t="s">
        <v>7189</v>
      </c>
    </row>
    <row r="214" spans="1:75" ht="12.75" customHeight="1">
      <c r="A214" s="3" t="s">
        <v>63</v>
      </c>
      <c r="B214" s="3" t="s">
        <v>3700</v>
      </c>
      <c r="C214" s="3"/>
      <c r="D214" s="3"/>
      <c r="E214" s="3"/>
      <c r="F214" s="3" t="s">
        <v>3701</v>
      </c>
      <c r="G214" s="3"/>
      <c r="H214" s="3"/>
      <c r="I214" s="3" t="s">
        <v>3702</v>
      </c>
      <c r="J214" s="3" t="s">
        <v>905</v>
      </c>
      <c r="K214" s="3"/>
      <c r="L214" s="3"/>
      <c r="M214" s="3"/>
      <c r="N214" s="3"/>
      <c r="O214" s="3"/>
      <c r="P214" s="3"/>
      <c r="Q214" s="3"/>
      <c r="R214" s="3"/>
      <c r="S214" s="3"/>
      <c r="T214" s="3" t="s">
        <v>3703</v>
      </c>
      <c r="U214" s="3"/>
      <c r="V214" s="3"/>
      <c r="W214" s="3"/>
      <c r="X214" s="3"/>
      <c r="Y214" s="3" t="s">
        <v>3704</v>
      </c>
      <c r="Z214" s="3" t="s">
        <v>3705</v>
      </c>
      <c r="AA214" s="3"/>
      <c r="AB214" s="3"/>
      <c r="AC214" s="3"/>
      <c r="AD214" s="3"/>
      <c r="AE214" s="3"/>
      <c r="AF214" s="3"/>
      <c r="AG214" s="3"/>
      <c r="AH214" s="3"/>
      <c r="AI214" s="3"/>
      <c r="AJ214" s="3"/>
      <c r="AK214" s="3"/>
      <c r="AL214" s="3"/>
      <c r="AM214" s="3" t="s">
        <v>908</v>
      </c>
      <c r="AN214" s="3" t="s">
        <v>909</v>
      </c>
      <c r="AO214" s="3"/>
      <c r="AP214" s="3"/>
      <c r="AQ214" s="3"/>
      <c r="AR214" s="3" t="s">
        <v>173</v>
      </c>
      <c r="AS214" s="3">
        <v>2019</v>
      </c>
      <c r="AT214" s="3">
        <v>119</v>
      </c>
      <c r="AU214" s="3">
        <v>7</v>
      </c>
      <c r="AV214" s="3"/>
      <c r="AW214" s="3"/>
      <c r="AX214" s="3"/>
      <c r="AY214" s="3"/>
      <c r="AZ214" s="3">
        <v>1150</v>
      </c>
      <c r="BA214" s="3">
        <v>1159</v>
      </c>
      <c r="BB214" s="3"/>
      <c r="BC214" s="3" t="s">
        <v>3706</v>
      </c>
      <c r="BD214" s="15" t="str">
        <f>HYPERLINK("http://dx.doi.org/10.1016/j.jand.2019.02.012","http://dx.doi.org/10.1016/j.jand.2019.02.012")</f>
        <v>http://dx.doi.org/10.1016/j.jand.2019.02.012</v>
      </c>
      <c r="BE214" s="3"/>
      <c r="BF214" s="3"/>
      <c r="BG214" s="3"/>
      <c r="BH214" s="3"/>
      <c r="BI214" s="3">
        <v>31031105</v>
      </c>
      <c r="BJ214" s="3" t="s">
        <v>3707</v>
      </c>
      <c r="BK214" s="3"/>
      <c r="BL214" s="3"/>
      <c r="BM214" s="3"/>
      <c r="BN214" s="3"/>
      <c r="BO214" s="3"/>
      <c r="BP214" s="3"/>
      <c r="BQ214" s="3"/>
      <c r="BR214" s="3"/>
      <c r="BS214" s="3"/>
      <c r="BT214" s="3"/>
      <c r="BU214" s="1" t="s">
        <v>7221</v>
      </c>
      <c r="BV214" s="2" t="s">
        <v>7188</v>
      </c>
      <c r="BW214" s="2" t="s">
        <v>7189</v>
      </c>
    </row>
    <row r="215" spans="1:75" ht="12.75" customHeight="1">
      <c r="A215" s="6" t="s">
        <v>63</v>
      </c>
      <c r="B215" s="6" t="s">
        <v>6709</v>
      </c>
      <c r="C215" s="6"/>
      <c r="D215" s="6"/>
      <c r="E215" s="6"/>
      <c r="F215" s="6" t="s">
        <v>6710</v>
      </c>
      <c r="G215" s="6"/>
      <c r="H215" s="6"/>
      <c r="I215" s="6" t="s">
        <v>6711</v>
      </c>
      <c r="J215" s="6" t="s">
        <v>6712</v>
      </c>
      <c r="K215" s="6"/>
      <c r="L215" s="6"/>
      <c r="M215" s="6"/>
      <c r="N215" s="6"/>
      <c r="O215" s="6"/>
      <c r="P215" s="6"/>
      <c r="Q215" s="6"/>
      <c r="R215" s="6"/>
      <c r="S215" s="6"/>
      <c r="T215" s="6" t="s">
        <v>6713</v>
      </c>
      <c r="U215" s="6"/>
      <c r="V215" s="6"/>
      <c r="W215" s="6"/>
      <c r="X215" s="6"/>
      <c r="Y215" s="6"/>
      <c r="Z215" s="6"/>
      <c r="AA215" s="6"/>
      <c r="AB215" s="6"/>
      <c r="AC215" s="6"/>
      <c r="AD215" s="6"/>
      <c r="AE215" s="6"/>
      <c r="AF215" s="6"/>
      <c r="AG215" s="6"/>
      <c r="AH215" s="6"/>
      <c r="AI215" s="6"/>
      <c r="AJ215" s="6"/>
      <c r="AK215" s="6"/>
      <c r="AL215" s="6"/>
      <c r="AM215" s="6"/>
      <c r="AN215" s="6" t="s">
        <v>6714</v>
      </c>
      <c r="AO215" s="6"/>
      <c r="AP215" s="6"/>
      <c r="AQ215" s="6"/>
      <c r="AR215" s="6" t="s">
        <v>445</v>
      </c>
      <c r="AS215" s="6">
        <v>2024</v>
      </c>
      <c r="AT215" s="6">
        <v>14</v>
      </c>
      <c r="AU215" s="6">
        <v>17</v>
      </c>
      <c r="AV215" s="6"/>
      <c r="AW215" s="6"/>
      <c r="AX215" s="6"/>
      <c r="AY215" s="6"/>
      <c r="AZ215" s="6"/>
      <c r="BA215" s="6"/>
      <c r="BB215" s="6">
        <v>7575</v>
      </c>
      <c r="BC215" s="6" t="s">
        <v>6715</v>
      </c>
      <c r="BD215" s="9" t="str">
        <f>HYPERLINK("http://dx.doi.org/10.3390/app14177575","http://dx.doi.org/10.3390/app14177575")</f>
        <v>http://dx.doi.org/10.3390/app14177575</v>
      </c>
      <c r="BE215" s="6"/>
      <c r="BF215" s="6"/>
      <c r="BG215" s="6"/>
      <c r="BH215" s="6"/>
      <c r="BI215" s="6"/>
      <c r="BJ215" s="6" t="s">
        <v>6716</v>
      </c>
      <c r="BK215" s="6"/>
      <c r="BL215" s="6"/>
      <c r="BM215" s="6"/>
      <c r="BN215" s="6"/>
      <c r="BO215" s="6"/>
      <c r="BP215" s="6"/>
      <c r="BQ215" s="6"/>
      <c r="BR215" s="6"/>
      <c r="BS215" s="6"/>
      <c r="BT215" s="6"/>
      <c r="BU215" s="8" t="s">
        <v>7312</v>
      </c>
      <c r="BV215" s="8" t="s">
        <v>6423</v>
      </c>
      <c r="BW215" s="8" t="s">
        <v>7196</v>
      </c>
    </row>
    <row r="216" spans="1:75" ht="12.75" customHeight="1">
      <c r="A216" s="6" t="s">
        <v>63</v>
      </c>
      <c r="B216" s="6" t="s">
        <v>4225</v>
      </c>
      <c r="C216" s="6"/>
      <c r="D216" s="6"/>
      <c r="E216" s="6"/>
      <c r="F216" s="6" t="s">
        <v>4226</v>
      </c>
      <c r="G216" s="6"/>
      <c r="H216" s="6"/>
      <c r="I216" s="6" t="s">
        <v>4227</v>
      </c>
      <c r="J216" s="6" t="s">
        <v>696</v>
      </c>
      <c r="K216" s="6"/>
      <c r="L216" s="6"/>
      <c r="M216" s="6"/>
      <c r="N216" s="6"/>
      <c r="O216" s="6"/>
      <c r="P216" s="6"/>
      <c r="Q216" s="6"/>
      <c r="R216" s="6"/>
      <c r="S216" s="6"/>
      <c r="T216" s="6" t="s">
        <v>4228</v>
      </c>
      <c r="U216" s="6"/>
      <c r="V216" s="6"/>
      <c r="W216" s="6"/>
      <c r="X216" s="6"/>
      <c r="Y216" s="6"/>
      <c r="Z216" s="6"/>
      <c r="AA216" s="6"/>
      <c r="AB216" s="6"/>
      <c r="AC216" s="6"/>
      <c r="AD216" s="6"/>
      <c r="AE216" s="6"/>
      <c r="AF216" s="6"/>
      <c r="AG216" s="6"/>
      <c r="AH216" s="6"/>
      <c r="AI216" s="6"/>
      <c r="AJ216" s="6"/>
      <c r="AK216" s="6"/>
      <c r="AL216" s="6"/>
      <c r="AM216" s="6" t="s">
        <v>698</v>
      </c>
      <c r="AN216" s="6"/>
      <c r="AO216" s="6"/>
      <c r="AP216" s="6"/>
      <c r="AQ216" s="6"/>
      <c r="AR216" s="6" t="s">
        <v>121</v>
      </c>
      <c r="AS216" s="6">
        <v>2020</v>
      </c>
      <c r="AT216" s="6">
        <v>39</v>
      </c>
      <c r="AU216" s="6">
        <v>8</v>
      </c>
      <c r="AV216" s="6"/>
      <c r="AW216" s="6"/>
      <c r="AX216" s="6"/>
      <c r="AY216" s="6"/>
      <c r="AZ216" s="6">
        <v>1386</v>
      </c>
      <c r="BA216" s="6">
        <v>1394</v>
      </c>
      <c r="BB216" s="6"/>
      <c r="BC216" s="6" t="s">
        <v>4229</v>
      </c>
      <c r="BD216" s="9" t="str">
        <f>HYPERLINK("http://dx.doi.org/10.1377/hlthaff.2019.01309","http://dx.doi.org/10.1377/hlthaff.2019.01309")</f>
        <v>http://dx.doi.org/10.1377/hlthaff.2019.01309</v>
      </c>
      <c r="BE216" s="6"/>
      <c r="BF216" s="6"/>
      <c r="BG216" s="6"/>
      <c r="BH216" s="6"/>
      <c r="BI216" s="6">
        <v>32744934</v>
      </c>
      <c r="BJ216" s="6" t="s">
        <v>4230</v>
      </c>
      <c r="BK216" s="6"/>
      <c r="BL216" s="6"/>
      <c r="BM216" s="6"/>
      <c r="BN216" s="6"/>
      <c r="BO216" s="6"/>
      <c r="BP216" s="6"/>
      <c r="BQ216" s="6"/>
      <c r="BR216" s="6"/>
      <c r="BS216" s="6"/>
      <c r="BT216" s="6"/>
      <c r="BU216" s="8" t="s">
        <v>7313</v>
      </c>
      <c r="BV216" s="8" t="s">
        <v>7188</v>
      </c>
      <c r="BW216" s="8" t="s">
        <v>7189</v>
      </c>
    </row>
    <row r="217" spans="1:75" ht="12.75" customHeight="1">
      <c r="A217" s="6" t="s">
        <v>63</v>
      </c>
      <c r="B217" s="6" t="s">
        <v>274</v>
      </c>
      <c r="C217" s="6"/>
      <c r="D217" s="6"/>
      <c r="E217" s="6"/>
      <c r="F217" s="6" t="s">
        <v>275</v>
      </c>
      <c r="G217" s="6"/>
      <c r="H217" s="6"/>
      <c r="I217" s="6" t="s">
        <v>276</v>
      </c>
      <c r="J217" s="6" t="s">
        <v>250</v>
      </c>
      <c r="K217" s="6"/>
      <c r="L217" s="6"/>
      <c r="M217" s="6"/>
      <c r="N217" s="6"/>
      <c r="O217" s="6"/>
      <c r="P217" s="6"/>
      <c r="Q217" s="6"/>
      <c r="R217" s="6"/>
      <c r="S217" s="6"/>
      <c r="T217" s="6" t="s">
        <v>277</v>
      </c>
      <c r="U217" s="6"/>
      <c r="V217" s="6"/>
      <c r="W217" s="6"/>
      <c r="X217" s="6"/>
      <c r="Y217" s="6"/>
      <c r="Z217" s="6" t="s">
        <v>278</v>
      </c>
      <c r="AA217" s="6"/>
      <c r="AB217" s="6"/>
      <c r="AC217" s="6"/>
      <c r="AD217" s="6"/>
      <c r="AE217" s="6"/>
      <c r="AF217" s="6"/>
      <c r="AG217" s="6"/>
      <c r="AH217" s="6"/>
      <c r="AI217" s="6"/>
      <c r="AJ217" s="6"/>
      <c r="AK217" s="6"/>
      <c r="AL217" s="6"/>
      <c r="AM217" s="6" t="s">
        <v>253</v>
      </c>
      <c r="AN217" s="6"/>
      <c r="AO217" s="6"/>
      <c r="AP217" s="6"/>
      <c r="AQ217" s="6"/>
      <c r="AR217" s="6" t="s">
        <v>279</v>
      </c>
      <c r="AS217" s="6">
        <v>2008</v>
      </c>
      <c r="AT217" s="6">
        <v>27</v>
      </c>
      <c r="AU217" s="6">
        <v>4</v>
      </c>
      <c r="AV217" s="6"/>
      <c r="AW217" s="6"/>
      <c r="AX217" s="6"/>
      <c r="AY217" s="6"/>
      <c r="AZ217" s="6">
        <v>469</v>
      </c>
      <c r="BA217" s="6">
        <v>482</v>
      </c>
      <c r="BB217" s="6"/>
      <c r="BC217" s="6" t="s">
        <v>280</v>
      </c>
      <c r="BD217" s="9" t="str">
        <f>HYPERLINK("http://dx.doi.org/10.1177/0739456X08317461","http://dx.doi.org/10.1177/0739456X08317461")</f>
        <v>http://dx.doi.org/10.1177/0739456X08317461</v>
      </c>
      <c r="BE217" s="6"/>
      <c r="BF217" s="6"/>
      <c r="BG217" s="6"/>
      <c r="BH217" s="6"/>
      <c r="BI217" s="6"/>
      <c r="BJ217" s="6" t="s">
        <v>281</v>
      </c>
      <c r="BK217" s="6"/>
      <c r="BL217" s="6"/>
      <c r="BM217" s="6"/>
      <c r="BN217" s="6"/>
      <c r="BO217" s="6"/>
      <c r="BP217" s="6"/>
      <c r="BQ217" s="6"/>
      <c r="BR217" s="6"/>
      <c r="BS217" s="6"/>
      <c r="BT217" s="6"/>
      <c r="BU217" s="8" t="s">
        <v>7314</v>
      </c>
      <c r="BV217" s="8" t="s">
        <v>7188</v>
      </c>
      <c r="BW217" s="8" t="s">
        <v>7189</v>
      </c>
    </row>
    <row r="218" spans="1:75" ht="12.75" customHeight="1">
      <c r="A218" s="4" t="s">
        <v>63</v>
      </c>
      <c r="B218" s="4" t="s">
        <v>1768</v>
      </c>
      <c r="C218" s="4"/>
      <c r="D218" s="4"/>
      <c r="E218" s="4"/>
      <c r="F218" s="4" t="s">
        <v>1769</v>
      </c>
      <c r="G218" s="4"/>
      <c r="H218" s="4"/>
      <c r="I218" s="4" t="s">
        <v>1770</v>
      </c>
      <c r="J218" s="4" t="s">
        <v>650</v>
      </c>
      <c r="K218" s="4"/>
      <c r="L218" s="4"/>
      <c r="M218" s="4"/>
      <c r="N218" s="4"/>
      <c r="O218" s="4"/>
      <c r="P218" s="4"/>
      <c r="Q218" s="4"/>
      <c r="R218" s="4"/>
      <c r="S218" s="4"/>
      <c r="T218" s="4" t="s">
        <v>1771</v>
      </c>
      <c r="U218" s="4"/>
      <c r="V218" s="4"/>
      <c r="W218" s="4"/>
      <c r="X218" s="4"/>
      <c r="Y218" s="4"/>
      <c r="Z218" s="4" t="s">
        <v>1772</v>
      </c>
      <c r="AA218" s="4"/>
      <c r="AB218" s="4"/>
      <c r="AC218" s="4"/>
      <c r="AD218" s="4"/>
      <c r="AE218" s="4"/>
      <c r="AF218" s="4"/>
      <c r="AG218" s="4"/>
      <c r="AH218" s="4"/>
      <c r="AI218" s="4"/>
      <c r="AJ218" s="4"/>
      <c r="AK218" s="4"/>
      <c r="AL218" s="4"/>
      <c r="AM218" s="4" t="s">
        <v>654</v>
      </c>
      <c r="AN218" s="4" t="s">
        <v>655</v>
      </c>
      <c r="AO218" s="4"/>
      <c r="AP218" s="4"/>
      <c r="AQ218" s="4"/>
      <c r="AR218" s="4" t="s">
        <v>65</v>
      </c>
      <c r="AS218" s="4">
        <v>2015</v>
      </c>
      <c r="AT218" s="4">
        <v>49</v>
      </c>
      <c r="AU218" s="4">
        <v>6</v>
      </c>
      <c r="AV218" s="4"/>
      <c r="AW218" s="4"/>
      <c r="AX218" s="4"/>
      <c r="AY218" s="4"/>
      <c r="AZ218" s="4">
        <v>912</v>
      </c>
      <c r="BA218" s="4">
        <v>920</v>
      </c>
      <c r="BB218" s="4"/>
      <c r="BC218" s="4" t="s">
        <v>1773</v>
      </c>
      <c r="BD218" s="5" t="str">
        <f>HYPERLINK("http://dx.doi.org/10.1016/j.amepre.2015.07.017","http://dx.doi.org/10.1016/j.amepre.2015.07.017")</f>
        <v>http://dx.doi.org/10.1016/j.amepre.2015.07.017</v>
      </c>
      <c r="BE218" s="4"/>
      <c r="BF218" s="4"/>
      <c r="BG218" s="4"/>
      <c r="BH218" s="4"/>
      <c r="BI218" s="4">
        <v>26590940</v>
      </c>
      <c r="BJ218" s="4" t="s">
        <v>1774</v>
      </c>
      <c r="BK218" s="4"/>
      <c r="BL218" s="4"/>
      <c r="BM218" s="4"/>
      <c r="BN218" s="4"/>
      <c r="BO218" s="4"/>
      <c r="BP218" s="4"/>
      <c r="BQ218" s="4"/>
      <c r="BR218" s="4"/>
      <c r="BS218" s="4"/>
      <c r="BT218" s="4"/>
      <c r="BU218" s="12" t="s">
        <v>7201</v>
      </c>
      <c r="BV218" s="12" t="s">
        <v>7188</v>
      </c>
      <c r="BW218" s="12" t="s">
        <v>7189</v>
      </c>
    </row>
    <row r="219" spans="1:75" ht="13.5" customHeight="1">
      <c r="A219" s="6" t="s">
        <v>63</v>
      </c>
      <c r="B219" s="6" t="s">
        <v>282</v>
      </c>
      <c r="C219" s="6"/>
      <c r="D219" s="6"/>
      <c r="E219" s="6"/>
      <c r="F219" s="6" t="s">
        <v>283</v>
      </c>
      <c r="G219" s="6"/>
      <c r="H219" s="6"/>
      <c r="I219" s="6" t="s">
        <v>284</v>
      </c>
      <c r="J219" s="6" t="s">
        <v>239</v>
      </c>
      <c r="K219" s="6"/>
      <c r="L219" s="6"/>
      <c r="M219" s="6"/>
      <c r="N219" s="6"/>
      <c r="O219" s="6"/>
      <c r="P219" s="6"/>
      <c r="Q219" s="6"/>
      <c r="R219" s="6"/>
      <c r="S219" s="6"/>
      <c r="T219" s="6" t="s">
        <v>285</v>
      </c>
      <c r="U219" s="6"/>
      <c r="V219" s="6"/>
      <c r="W219" s="6"/>
      <c r="X219" s="6"/>
      <c r="Y219" s="6" t="s">
        <v>286</v>
      </c>
      <c r="Z219" s="6" t="s">
        <v>287</v>
      </c>
      <c r="AA219" s="6"/>
      <c r="AB219" s="6"/>
      <c r="AC219" s="6"/>
      <c r="AD219" s="6"/>
      <c r="AE219" s="6"/>
      <c r="AF219" s="6"/>
      <c r="AG219" s="6"/>
      <c r="AH219" s="6"/>
      <c r="AI219" s="6"/>
      <c r="AJ219" s="6"/>
      <c r="AK219" s="6"/>
      <c r="AL219" s="6"/>
      <c r="AM219" s="6" t="s">
        <v>243</v>
      </c>
      <c r="AN219" s="6"/>
      <c r="AO219" s="6"/>
      <c r="AP219" s="6"/>
      <c r="AQ219" s="6"/>
      <c r="AR219" s="6" t="s">
        <v>288</v>
      </c>
      <c r="AS219" s="6">
        <v>2008</v>
      </c>
      <c r="AT219" s="6">
        <v>7</v>
      </c>
      <c r="AU219" s="6"/>
      <c r="AV219" s="6"/>
      <c r="AW219" s="6"/>
      <c r="AX219" s="6"/>
      <c r="AY219" s="6"/>
      <c r="AZ219" s="6"/>
      <c r="BA219" s="6"/>
      <c r="BB219" s="6">
        <v>16</v>
      </c>
      <c r="BC219" s="6" t="s">
        <v>289</v>
      </c>
      <c r="BD219" s="9" t="str">
        <f>HYPERLINK("http://dx.doi.org/10.1186/1476-072X-7-16","http://dx.doi.org/10.1186/1476-072X-7-16")</f>
        <v>http://dx.doi.org/10.1186/1476-072X-7-16</v>
      </c>
      <c r="BE219" s="6"/>
      <c r="BF219" s="6"/>
      <c r="BG219" s="6"/>
      <c r="BH219" s="6"/>
      <c r="BI219" s="6">
        <v>18423005</v>
      </c>
      <c r="BJ219" s="6" t="s">
        <v>290</v>
      </c>
      <c r="BK219" s="6"/>
      <c r="BL219" s="6"/>
      <c r="BM219" s="6"/>
      <c r="BN219" s="6"/>
      <c r="BO219" s="6"/>
      <c r="BP219" s="6"/>
      <c r="BQ219" s="6"/>
      <c r="BR219" s="6"/>
      <c r="BS219" s="6"/>
      <c r="BT219" s="6"/>
      <c r="BU219" s="8" t="s">
        <v>7249</v>
      </c>
      <c r="BV219" s="8" t="s">
        <v>2039</v>
      </c>
      <c r="BW219" s="8" t="s">
        <v>7189</v>
      </c>
    </row>
    <row r="220" spans="1:75" ht="12.75" customHeight="1">
      <c r="A220" s="6" t="s">
        <v>63</v>
      </c>
      <c r="B220" s="6" t="s">
        <v>5503</v>
      </c>
      <c r="C220" s="6"/>
      <c r="D220" s="6"/>
      <c r="E220" s="6"/>
      <c r="F220" s="6" t="s">
        <v>5504</v>
      </c>
      <c r="G220" s="6"/>
      <c r="H220" s="6"/>
      <c r="I220" s="6" t="s">
        <v>5505</v>
      </c>
      <c r="J220" s="6" t="s">
        <v>5506</v>
      </c>
      <c r="K220" s="6"/>
      <c r="L220" s="6"/>
      <c r="M220" s="6"/>
      <c r="N220" s="6"/>
      <c r="O220" s="6"/>
      <c r="P220" s="6"/>
      <c r="Q220" s="6"/>
      <c r="R220" s="6"/>
      <c r="S220" s="6"/>
      <c r="T220" s="6" t="s">
        <v>5507</v>
      </c>
      <c r="U220" s="6"/>
      <c r="V220" s="6"/>
      <c r="W220" s="6"/>
      <c r="X220" s="6"/>
      <c r="Y220" s="6"/>
      <c r="Z220" s="6" t="s">
        <v>5508</v>
      </c>
      <c r="AA220" s="6"/>
      <c r="AB220" s="6"/>
      <c r="AC220" s="6"/>
      <c r="AD220" s="6"/>
      <c r="AE220" s="6"/>
      <c r="AF220" s="6"/>
      <c r="AG220" s="6"/>
      <c r="AH220" s="6"/>
      <c r="AI220" s="6"/>
      <c r="AJ220" s="6"/>
      <c r="AK220" s="6"/>
      <c r="AL220" s="6"/>
      <c r="AM220" s="6" t="s">
        <v>5509</v>
      </c>
      <c r="AN220" s="6" t="s">
        <v>5510</v>
      </c>
      <c r="AO220" s="6"/>
      <c r="AP220" s="6"/>
      <c r="AQ220" s="6"/>
      <c r="AR220" s="6" t="s">
        <v>1701</v>
      </c>
      <c r="AS220" s="6">
        <v>2022</v>
      </c>
      <c r="AT220" s="6">
        <v>32</v>
      </c>
      <c r="AU220" s="6">
        <v>1</v>
      </c>
      <c r="AV220" s="6"/>
      <c r="AW220" s="6"/>
      <c r="AX220" s="6"/>
      <c r="AY220" s="6"/>
      <c r="AZ220" s="6">
        <v>80</v>
      </c>
      <c r="BA220" s="6">
        <v>99</v>
      </c>
      <c r="BB220" s="6"/>
      <c r="BC220" s="6" t="s">
        <v>5511</v>
      </c>
      <c r="BD220" s="9" t="str">
        <f>HYPERLINK("http://dx.doi.org/10.1080/09593969.2021.2017321","http://dx.doi.org/10.1080/09593969.2021.2017321")</f>
        <v>http://dx.doi.org/10.1080/09593969.2021.2017321</v>
      </c>
      <c r="BE220" s="6"/>
      <c r="BF220" s="6" t="s">
        <v>5467</v>
      </c>
      <c r="BG220" s="6"/>
      <c r="BH220" s="6"/>
      <c r="BI220" s="6"/>
      <c r="BJ220" s="6" t="s">
        <v>5512</v>
      </c>
      <c r="BK220" s="6"/>
      <c r="BL220" s="6"/>
      <c r="BM220" s="6"/>
      <c r="BN220" s="6"/>
      <c r="BO220" s="6"/>
      <c r="BP220" s="6"/>
      <c r="BQ220" s="6"/>
      <c r="BR220" s="6"/>
      <c r="BS220" s="6"/>
      <c r="BT220" s="6"/>
      <c r="BU220" s="8" t="s">
        <v>7193</v>
      </c>
      <c r="BV220" s="8" t="s">
        <v>7214</v>
      </c>
      <c r="BW220" s="8" t="s">
        <v>7205</v>
      </c>
    </row>
    <row r="221" spans="1:75" ht="12.75" customHeight="1">
      <c r="A221" s="6" t="s">
        <v>63</v>
      </c>
      <c r="B221" s="6" t="s">
        <v>5513</v>
      </c>
      <c r="C221" s="6"/>
      <c r="D221" s="6"/>
      <c r="E221" s="6"/>
      <c r="F221" s="6" t="s">
        <v>5514</v>
      </c>
      <c r="G221" s="6"/>
      <c r="H221" s="6"/>
      <c r="I221" s="6" t="s">
        <v>5515</v>
      </c>
      <c r="J221" s="6" t="s">
        <v>1004</v>
      </c>
      <c r="K221" s="6"/>
      <c r="L221" s="6"/>
      <c r="M221" s="6"/>
      <c r="N221" s="6"/>
      <c r="O221" s="6"/>
      <c r="P221" s="6"/>
      <c r="Q221" s="6"/>
      <c r="R221" s="6"/>
      <c r="S221" s="6"/>
      <c r="T221" s="6" t="s">
        <v>5516</v>
      </c>
      <c r="U221" s="6"/>
      <c r="V221" s="6"/>
      <c r="W221" s="6"/>
      <c r="X221" s="6"/>
      <c r="Y221" s="6" t="s">
        <v>5517</v>
      </c>
      <c r="Z221" s="6" t="s">
        <v>5518</v>
      </c>
      <c r="AA221" s="6"/>
      <c r="AB221" s="6"/>
      <c r="AC221" s="6"/>
      <c r="AD221" s="6"/>
      <c r="AE221" s="6"/>
      <c r="AF221" s="6"/>
      <c r="AG221" s="6"/>
      <c r="AH221" s="6"/>
      <c r="AI221" s="6"/>
      <c r="AJ221" s="6"/>
      <c r="AK221" s="6"/>
      <c r="AL221" s="6"/>
      <c r="AM221" s="6" t="s">
        <v>1006</v>
      </c>
      <c r="AN221" s="6" t="s">
        <v>1007</v>
      </c>
      <c r="AO221" s="6"/>
      <c r="AP221" s="6"/>
      <c r="AQ221" s="6"/>
      <c r="AR221" s="6" t="s">
        <v>78</v>
      </c>
      <c r="AS221" s="6">
        <v>2022</v>
      </c>
      <c r="AT221" s="6">
        <v>25</v>
      </c>
      <c r="AU221" s="6">
        <v>5</v>
      </c>
      <c r="AV221" s="6"/>
      <c r="AW221" s="6"/>
      <c r="AX221" s="6"/>
      <c r="AY221" s="6"/>
      <c r="AZ221" s="6">
        <v>1140</v>
      </c>
      <c r="BA221" s="6">
        <v>1152</v>
      </c>
      <c r="BB221" s="6" t="s">
        <v>5519</v>
      </c>
      <c r="BC221" s="6" t="s">
        <v>5520</v>
      </c>
      <c r="BD221" s="9" t="str">
        <f>HYPERLINK("http://dx.doi.org/10.1017/S136898002200009X","http://dx.doi.org/10.1017/S136898002200009X")</f>
        <v>http://dx.doi.org/10.1017/S136898002200009X</v>
      </c>
      <c r="BE221" s="6"/>
      <c r="BF221" s="6" t="s">
        <v>5521</v>
      </c>
      <c r="BG221" s="6"/>
      <c r="BH221" s="6"/>
      <c r="BI221" s="6">
        <v>35022093</v>
      </c>
      <c r="BJ221" s="6" t="s">
        <v>5522</v>
      </c>
      <c r="BK221" s="6"/>
      <c r="BL221" s="6"/>
      <c r="BM221" s="6"/>
      <c r="BN221" s="6"/>
      <c r="BO221" s="6"/>
      <c r="BP221" s="6"/>
      <c r="BQ221" s="6"/>
      <c r="BR221" s="6"/>
      <c r="BS221" s="6"/>
      <c r="BT221" s="6"/>
      <c r="BU221" s="8" t="s">
        <v>7315</v>
      </c>
      <c r="BV221" s="8" t="s">
        <v>403</v>
      </c>
      <c r="BW221" s="8" t="s">
        <v>7301</v>
      </c>
    </row>
    <row r="222" spans="1:75" ht="12.75" customHeight="1">
      <c r="A222" s="6" t="s">
        <v>63</v>
      </c>
      <c r="B222" s="6" t="s">
        <v>1775</v>
      </c>
      <c r="C222" s="6"/>
      <c r="D222" s="6"/>
      <c r="E222" s="6"/>
      <c r="F222" s="6" t="s">
        <v>1776</v>
      </c>
      <c r="G222" s="6"/>
      <c r="H222" s="6"/>
      <c r="I222" s="8" t="s">
        <v>62</v>
      </c>
      <c r="J222" s="6" t="s">
        <v>867</v>
      </c>
      <c r="K222" s="6"/>
      <c r="L222" s="6"/>
      <c r="M222" s="6"/>
      <c r="N222" s="6"/>
      <c r="O222" s="6"/>
      <c r="P222" s="6"/>
      <c r="Q222" s="6"/>
      <c r="R222" s="6"/>
      <c r="S222" s="6"/>
      <c r="T222" s="6" t="s">
        <v>1777</v>
      </c>
      <c r="U222" s="6"/>
      <c r="V222" s="6"/>
      <c r="W222" s="6"/>
      <c r="X222" s="6"/>
      <c r="Y222" s="6"/>
      <c r="Z222" s="6"/>
      <c r="AA222" s="6"/>
      <c r="AB222" s="6"/>
      <c r="AC222" s="6"/>
      <c r="AD222" s="6"/>
      <c r="AE222" s="6"/>
      <c r="AF222" s="6"/>
      <c r="AG222" s="6"/>
      <c r="AH222" s="6"/>
      <c r="AI222" s="6"/>
      <c r="AJ222" s="6"/>
      <c r="AK222" s="6"/>
      <c r="AL222" s="6"/>
      <c r="AM222" s="6" t="s">
        <v>871</v>
      </c>
      <c r="AN222" s="6" t="s">
        <v>1621</v>
      </c>
      <c r="AO222" s="6"/>
      <c r="AP222" s="6"/>
      <c r="AQ222" s="6"/>
      <c r="AR222" s="6" t="s">
        <v>92</v>
      </c>
      <c r="AS222" s="6">
        <v>2015</v>
      </c>
      <c r="AT222" s="6">
        <v>142</v>
      </c>
      <c r="AU222" s="6"/>
      <c r="AV222" s="6"/>
      <c r="AW222" s="6"/>
      <c r="AX222" s="6"/>
      <c r="AY222" s="6"/>
      <c r="AZ222" s="6">
        <v>202</v>
      </c>
      <c r="BA222" s="6">
        <v>213</v>
      </c>
      <c r="BB222" s="6"/>
      <c r="BC222" s="6" t="s">
        <v>1778</v>
      </c>
      <c r="BD222" s="9" t="str">
        <f>HYPERLINK("http://dx.doi.org/10.1016/j.socscimed.2015.08.010","http://dx.doi.org/10.1016/j.socscimed.2015.08.010")</f>
        <v>http://dx.doi.org/10.1016/j.socscimed.2015.08.010</v>
      </c>
      <c r="BE222" s="6"/>
      <c r="BF222" s="6"/>
      <c r="BG222" s="6"/>
      <c r="BH222" s="6"/>
      <c r="BI222" s="6">
        <v>26318209</v>
      </c>
      <c r="BJ222" s="6" t="s">
        <v>1779</v>
      </c>
      <c r="BK222" s="6"/>
      <c r="BL222" s="6"/>
      <c r="BM222" s="6"/>
      <c r="BN222" s="6"/>
      <c r="BO222" s="6"/>
      <c r="BP222" s="6"/>
      <c r="BQ222" s="6"/>
      <c r="BR222" s="6"/>
      <c r="BS222" s="6"/>
      <c r="BT222" s="6"/>
      <c r="BU222" s="8" t="s">
        <v>7193</v>
      </c>
      <c r="BV222" s="8" t="s">
        <v>7316</v>
      </c>
      <c r="BW222" s="8" t="s">
        <v>7189</v>
      </c>
    </row>
    <row r="223" spans="1:75" ht="12.75" customHeight="1">
      <c r="A223" s="6" t="s">
        <v>63</v>
      </c>
      <c r="B223" s="6" t="s">
        <v>95</v>
      </c>
      <c r="C223" s="6"/>
      <c r="D223" s="6"/>
      <c r="E223" s="6"/>
      <c r="F223" s="6" t="s">
        <v>95</v>
      </c>
      <c r="G223" s="6"/>
      <c r="H223" s="6"/>
      <c r="I223" s="6" t="s">
        <v>96</v>
      </c>
      <c r="J223" s="6" t="s">
        <v>87</v>
      </c>
      <c r="K223" s="6"/>
      <c r="L223" s="6"/>
      <c r="M223" s="6"/>
      <c r="N223" s="6"/>
      <c r="O223" s="6"/>
      <c r="P223" s="6"/>
      <c r="Q223" s="6"/>
      <c r="R223" s="6"/>
      <c r="S223" s="6"/>
      <c r="T223" s="6" t="s">
        <v>97</v>
      </c>
      <c r="U223" s="6"/>
      <c r="V223" s="6"/>
      <c r="W223" s="6"/>
      <c r="X223" s="6"/>
      <c r="Y223" s="6" t="s">
        <v>89</v>
      </c>
      <c r="Z223" s="6" t="s">
        <v>90</v>
      </c>
      <c r="AA223" s="6"/>
      <c r="AB223" s="6"/>
      <c r="AC223" s="6"/>
      <c r="AD223" s="6"/>
      <c r="AE223" s="6"/>
      <c r="AF223" s="6"/>
      <c r="AG223" s="6"/>
      <c r="AH223" s="6"/>
      <c r="AI223" s="6"/>
      <c r="AJ223" s="6"/>
      <c r="AK223" s="6"/>
      <c r="AL223" s="6"/>
      <c r="AM223" s="6" t="s">
        <v>91</v>
      </c>
      <c r="AN223" s="6"/>
      <c r="AO223" s="6"/>
      <c r="AP223" s="6"/>
      <c r="AQ223" s="6"/>
      <c r="AR223" s="6" t="s">
        <v>92</v>
      </c>
      <c r="AS223" s="6">
        <v>2002</v>
      </c>
      <c r="AT223" s="6">
        <v>39</v>
      </c>
      <c r="AU223" s="6">
        <v>11</v>
      </c>
      <c r="AV223" s="6"/>
      <c r="AW223" s="6"/>
      <c r="AX223" s="6"/>
      <c r="AY223" s="6"/>
      <c r="AZ223" s="6">
        <v>2061</v>
      </c>
      <c r="BA223" s="6">
        <v>2082</v>
      </c>
      <c r="BB223" s="6"/>
      <c r="BC223" s="6" t="s">
        <v>98</v>
      </c>
      <c r="BD223" s="9" t="str">
        <f>HYPERLINK("http://dx.doi.org/10.1080/0042098022000011362","http://dx.doi.org/10.1080/0042098022000011362")</f>
        <v>http://dx.doi.org/10.1080/0042098022000011362</v>
      </c>
      <c r="BE223" s="6"/>
      <c r="BF223" s="6"/>
      <c r="BG223" s="6"/>
      <c r="BH223" s="6"/>
      <c r="BI223" s="6"/>
      <c r="BJ223" s="6" t="s">
        <v>99</v>
      </c>
      <c r="BK223" s="6"/>
      <c r="BL223" s="6"/>
      <c r="BM223" s="6"/>
      <c r="BN223" s="6"/>
      <c r="BO223" s="6"/>
      <c r="BP223" s="6"/>
      <c r="BQ223" s="6"/>
      <c r="BR223" s="6"/>
      <c r="BS223" s="6"/>
      <c r="BT223" s="6"/>
      <c r="BU223" s="8" t="s">
        <v>7183</v>
      </c>
      <c r="BV223" s="8" t="s">
        <v>7214</v>
      </c>
      <c r="BW223" s="8" t="s">
        <v>7205</v>
      </c>
    </row>
    <row r="224" spans="1:75" ht="12.75" customHeight="1">
      <c r="A224" s="4" t="s">
        <v>63</v>
      </c>
      <c r="B224" s="4" t="s">
        <v>6179</v>
      </c>
      <c r="C224" s="4"/>
      <c r="D224" s="4"/>
      <c r="E224" s="4"/>
      <c r="F224" s="4" t="s">
        <v>6180</v>
      </c>
      <c r="G224" s="4"/>
      <c r="H224" s="4"/>
      <c r="I224" s="4" t="s">
        <v>6181</v>
      </c>
      <c r="J224" s="4" t="s">
        <v>6182</v>
      </c>
      <c r="K224" s="4"/>
      <c r="L224" s="4"/>
      <c r="M224" s="4"/>
      <c r="N224" s="4"/>
      <c r="O224" s="4"/>
      <c r="P224" s="4"/>
      <c r="Q224" s="4"/>
      <c r="R224" s="4"/>
      <c r="S224" s="4"/>
      <c r="T224" s="4" t="s">
        <v>6183</v>
      </c>
      <c r="U224" s="4"/>
      <c r="V224" s="4"/>
      <c r="W224" s="4"/>
      <c r="X224" s="4"/>
      <c r="Y224" s="4"/>
      <c r="Z224" s="4"/>
      <c r="AA224" s="4"/>
      <c r="AB224" s="4"/>
      <c r="AC224" s="4"/>
      <c r="AD224" s="4"/>
      <c r="AE224" s="4"/>
      <c r="AF224" s="4"/>
      <c r="AG224" s="4"/>
      <c r="AH224" s="4"/>
      <c r="AI224" s="4"/>
      <c r="AJ224" s="4"/>
      <c r="AK224" s="4"/>
      <c r="AL224" s="4"/>
      <c r="AM224" s="4" t="s">
        <v>6184</v>
      </c>
      <c r="AN224" s="4"/>
      <c r="AO224" s="4"/>
      <c r="AP224" s="4"/>
      <c r="AQ224" s="4"/>
      <c r="AR224" s="4"/>
      <c r="AS224" s="4">
        <v>2023</v>
      </c>
      <c r="AT224" s="4">
        <v>59</v>
      </c>
      <c r="AU224" s="4"/>
      <c r="AV224" s="4"/>
      <c r="AW224" s="4"/>
      <c r="AX224" s="4"/>
      <c r="AY224" s="4"/>
      <c r="AZ224" s="4"/>
      <c r="BA224" s="4"/>
      <c r="BB224" s="4">
        <v>52555</v>
      </c>
      <c r="BC224" s="4" t="s">
        <v>6185</v>
      </c>
      <c r="BD224" s="5" t="str">
        <f>HYPERLINK("http://dx.doi.org/10.4000/confins.52555","http://dx.doi.org/10.4000/confins.52555")</f>
        <v>http://dx.doi.org/10.4000/confins.52555</v>
      </c>
      <c r="BE224" s="4"/>
      <c r="BF224" s="4"/>
      <c r="BG224" s="4"/>
      <c r="BH224" s="4"/>
      <c r="BI224" s="4"/>
      <c r="BJ224" s="4" t="s">
        <v>6186</v>
      </c>
      <c r="BK224" s="4"/>
      <c r="BL224" s="4"/>
      <c r="BM224" s="4"/>
      <c r="BN224" s="4"/>
      <c r="BO224" s="4"/>
      <c r="BP224" s="4"/>
      <c r="BQ224" s="4"/>
      <c r="BR224" s="4"/>
      <c r="BS224" s="4"/>
      <c r="BT224" s="4"/>
      <c r="BU224" s="12" t="s">
        <v>7317</v>
      </c>
      <c r="BV224" s="12" t="s">
        <v>3516</v>
      </c>
      <c r="BW224" s="12" t="s">
        <v>7196</v>
      </c>
    </row>
    <row r="225" spans="1:75" ht="12.75" customHeight="1">
      <c r="A225" s="4" t="s">
        <v>63</v>
      </c>
      <c r="B225" s="4" t="s">
        <v>393</v>
      </c>
      <c r="C225" s="4"/>
      <c r="D225" s="4"/>
      <c r="E225" s="4"/>
      <c r="F225" s="4" t="s">
        <v>394</v>
      </c>
      <c r="G225" s="4"/>
      <c r="H225" s="4"/>
      <c r="I225" s="4" t="s">
        <v>395</v>
      </c>
      <c r="J225" s="4" t="s">
        <v>396</v>
      </c>
      <c r="K225" s="4"/>
      <c r="L225" s="4"/>
      <c r="M225" s="4"/>
      <c r="N225" s="4"/>
      <c r="O225" s="4"/>
      <c r="P225" s="4"/>
      <c r="Q225" s="4"/>
      <c r="R225" s="4"/>
      <c r="S225" s="4"/>
      <c r="T225" s="4" t="s">
        <v>397</v>
      </c>
      <c r="U225" s="4"/>
      <c r="V225" s="4"/>
      <c r="W225" s="4"/>
      <c r="X225" s="4"/>
      <c r="Y225" s="4"/>
      <c r="Z225" s="4"/>
      <c r="AA225" s="4"/>
      <c r="AB225" s="4"/>
      <c r="AC225" s="4"/>
      <c r="AD225" s="4"/>
      <c r="AE225" s="4"/>
      <c r="AF225" s="4"/>
      <c r="AG225" s="4"/>
      <c r="AH225" s="4"/>
      <c r="AI225" s="4"/>
      <c r="AJ225" s="4"/>
      <c r="AK225" s="4"/>
      <c r="AL225" s="4"/>
      <c r="AM225" s="4" t="s">
        <v>398</v>
      </c>
      <c r="AN225" s="4" t="s">
        <v>399</v>
      </c>
      <c r="AO225" s="4"/>
      <c r="AP225" s="4"/>
      <c r="AQ225" s="4"/>
      <c r="AR225" s="4" t="s">
        <v>400</v>
      </c>
      <c r="AS225" s="4">
        <v>2009</v>
      </c>
      <c r="AT225" s="4">
        <v>41</v>
      </c>
      <c r="AU225" s="4">
        <v>3</v>
      </c>
      <c r="AV225" s="4"/>
      <c r="AW225" s="4"/>
      <c r="AX225" s="4"/>
      <c r="AY225" s="4"/>
      <c r="AZ225" s="4">
        <v>176</v>
      </c>
      <c r="BA225" s="4">
        <v>187</v>
      </c>
      <c r="BB225" s="4"/>
      <c r="BC225" s="4" t="s">
        <v>401</v>
      </c>
      <c r="BD225" s="5" t="str">
        <f>HYPERLINK("http://dx.doi.org/10.1016/j.jneb.2008.06.008","http://dx.doi.org/10.1016/j.jneb.2008.06.008")</f>
        <v>http://dx.doi.org/10.1016/j.jneb.2008.06.008</v>
      </c>
      <c r="BE225" s="4"/>
      <c r="BF225" s="4"/>
      <c r="BG225" s="4"/>
      <c r="BH225" s="4"/>
      <c r="BI225" s="4">
        <v>19411051</v>
      </c>
      <c r="BJ225" s="4" t="s">
        <v>402</v>
      </c>
      <c r="BK225" s="4"/>
      <c r="BL225" s="4"/>
      <c r="BM225" s="4"/>
      <c r="BN225" s="4"/>
      <c r="BO225" s="4"/>
      <c r="BP225" s="4"/>
      <c r="BQ225" s="4"/>
      <c r="BR225" s="4"/>
      <c r="BS225" s="4"/>
      <c r="BT225" s="4"/>
      <c r="BU225" s="12" t="s">
        <v>7318</v>
      </c>
      <c r="BV225" s="12" t="s">
        <v>7188</v>
      </c>
      <c r="BW225" s="12" t="s">
        <v>7189</v>
      </c>
    </row>
    <row r="226" spans="1:75" ht="12.75" customHeight="1">
      <c r="A226" s="3" t="s">
        <v>63</v>
      </c>
      <c r="B226" s="3" t="s">
        <v>5523</v>
      </c>
      <c r="C226" s="3"/>
      <c r="D226" s="3"/>
      <c r="E226" s="3"/>
      <c r="F226" s="3" t="s">
        <v>5524</v>
      </c>
      <c r="G226" s="3"/>
      <c r="H226" s="3"/>
      <c r="I226" s="3" t="s">
        <v>5525</v>
      </c>
      <c r="J226" s="3" t="s">
        <v>3721</v>
      </c>
      <c r="K226" s="3"/>
      <c r="L226" s="3"/>
      <c r="M226" s="3"/>
      <c r="N226" s="3"/>
      <c r="O226" s="3"/>
      <c r="P226" s="3"/>
      <c r="Q226" s="3"/>
      <c r="R226" s="3"/>
      <c r="S226" s="3"/>
      <c r="T226" s="3" t="s">
        <v>5526</v>
      </c>
      <c r="U226" s="3"/>
      <c r="V226" s="3"/>
      <c r="W226" s="3"/>
      <c r="X226" s="3"/>
      <c r="Y226" s="3" t="s">
        <v>4913</v>
      </c>
      <c r="Z226" s="3" t="s">
        <v>5527</v>
      </c>
      <c r="AA226" s="3"/>
      <c r="AB226" s="3"/>
      <c r="AC226" s="3"/>
      <c r="AD226" s="3"/>
      <c r="AE226" s="3"/>
      <c r="AF226" s="3"/>
      <c r="AG226" s="3"/>
      <c r="AH226" s="3"/>
      <c r="AI226" s="3"/>
      <c r="AJ226" s="3"/>
      <c r="AK226" s="3"/>
      <c r="AL226" s="3"/>
      <c r="AM226" s="3"/>
      <c r="AN226" s="3" t="s">
        <v>3723</v>
      </c>
      <c r="AO226" s="3"/>
      <c r="AP226" s="3"/>
      <c r="AQ226" s="3"/>
      <c r="AR226" s="3" t="s">
        <v>65</v>
      </c>
      <c r="AS226" s="3">
        <v>2022</v>
      </c>
      <c r="AT226" s="3">
        <v>14</v>
      </c>
      <c r="AU226" s="3">
        <v>24</v>
      </c>
      <c r="AV226" s="3"/>
      <c r="AW226" s="3"/>
      <c r="AX226" s="3"/>
      <c r="AY226" s="3"/>
      <c r="AZ226" s="3"/>
      <c r="BA226" s="3"/>
      <c r="BB226" s="3">
        <v>5242</v>
      </c>
      <c r="BC226" s="3" t="s">
        <v>5528</v>
      </c>
      <c r="BD226" s="15" t="str">
        <f>HYPERLINK("http://dx.doi.org/10.3390/nu14245242","http://dx.doi.org/10.3390/nu14245242")</f>
        <v>http://dx.doi.org/10.3390/nu14245242</v>
      </c>
      <c r="BE226" s="3"/>
      <c r="BF226" s="3"/>
      <c r="BG226" s="3"/>
      <c r="BH226" s="3"/>
      <c r="BI226" s="3">
        <v>36558400</v>
      </c>
      <c r="BJ226" s="3" t="s">
        <v>5529</v>
      </c>
      <c r="BK226" s="3"/>
      <c r="BL226" s="3"/>
      <c r="BM226" s="3"/>
      <c r="BN226" s="3"/>
      <c r="BO226" s="3"/>
      <c r="BP226" s="3"/>
      <c r="BQ226" s="3"/>
      <c r="BR226" s="3"/>
      <c r="BS226" s="3"/>
      <c r="BT226" s="3"/>
      <c r="BU226" s="1" t="s">
        <v>7222</v>
      </c>
      <c r="BV226" s="2" t="s">
        <v>7188</v>
      </c>
      <c r="BW226" s="2" t="s">
        <v>7189</v>
      </c>
    </row>
    <row r="227" spans="1:75" ht="12.75" customHeight="1">
      <c r="A227" s="6" t="s">
        <v>63</v>
      </c>
      <c r="B227" s="6" t="s">
        <v>1375</v>
      </c>
      <c r="C227" s="6"/>
      <c r="D227" s="6"/>
      <c r="E227" s="6"/>
      <c r="F227" s="6" t="s">
        <v>1376</v>
      </c>
      <c r="G227" s="6"/>
      <c r="H227" s="6"/>
      <c r="I227" s="6" t="s">
        <v>1780</v>
      </c>
      <c r="J227" s="6" t="s">
        <v>1781</v>
      </c>
      <c r="K227" s="6"/>
      <c r="L227" s="6"/>
      <c r="M227" s="6"/>
      <c r="N227" s="6"/>
      <c r="O227" s="6"/>
      <c r="P227" s="6"/>
      <c r="Q227" s="6"/>
      <c r="R227" s="6"/>
      <c r="S227" s="6"/>
      <c r="T227" s="6" t="s">
        <v>1782</v>
      </c>
      <c r="U227" s="6"/>
      <c r="V227" s="6"/>
      <c r="W227" s="6"/>
      <c r="X227" s="6"/>
      <c r="Y227" s="6"/>
      <c r="Z227" s="6" t="s">
        <v>1380</v>
      </c>
      <c r="AA227" s="6"/>
      <c r="AB227" s="6"/>
      <c r="AC227" s="6"/>
      <c r="AD227" s="6"/>
      <c r="AE227" s="6"/>
      <c r="AF227" s="6"/>
      <c r="AG227" s="6"/>
      <c r="AH227" s="6"/>
      <c r="AI227" s="6"/>
      <c r="AJ227" s="6"/>
      <c r="AK227" s="6"/>
      <c r="AL227" s="6"/>
      <c r="AM227" s="6" t="s">
        <v>1783</v>
      </c>
      <c r="AN227" s="6" t="s">
        <v>1784</v>
      </c>
      <c r="AO227" s="6"/>
      <c r="AP227" s="6"/>
      <c r="AQ227" s="6"/>
      <c r="AR227" s="6"/>
      <c r="AS227" s="6">
        <v>2015</v>
      </c>
      <c r="AT227" s="6">
        <v>17</v>
      </c>
      <c r="AU227" s="6">
        <v>1</v>
      </c>
      <c r="AV227" s="6"/>
      <c r="AW227" s="6"/>
      <c r="AX227" s="6"/>
      <c r="AY227" s="6"/>
      <c r="AZ227" s="6">
        <v>85</v>
      </c>
      <c r="BA227" s="6">
        <v>96</v>
      </c>
      <c r="BB227" s="6"/>
      <c r="BC227" s="6"/>
      <c r="BD227" s="6"/>
      <c r="BE227" s="6"/>
      <c r="BF227" s="6"/>
      <c r="BG227" s="6"/>
      <c r="BH227" s="6"/>
      <c r="BI227" s="6"/>
      <c r="BJ227" s="6" t="s">
        <v>1785</v>
      </c>
      <c r="BK227" s="6"/>
      <c r="BL227" s="6"/>
      <c r="BM227" s="6"/>
      <c r="BN227" s="6"/>
      <c r="BO227" s="6"/>
      <c r="BP227" s="6"/>
      <c r="BQ227" s="6"/>
      <c r="BR227" s="6"/>
      <c r="BS227" s="6"/>
      <c r="BT227" s="6"/>
      <c r="BU227" s="8" t="s">
        <v>7193</v>
      </c>
      <c r="BV227" s="8" t="s">
        <v>7188</v>
      </c>
      <c r="BW227" s="8" t="s">
        <v>7189</v>
      </c>
    </row>
    <row r="228" spans="1:75" ht="12.75" customHeight="1">
      <c r="A228" s="6" t="s">
        <v>63</v>
      </c>
      <c r="B228" s="6" t="s">
        <v>2826</v>
      </c>
      <c r="C228" s="6"/>
      <c r="D228" s="6"/>
      <c r="E228" s="6"/>
      <c r="F228" s="6" t="s">
        <v>2827</v>
      </c>
      <c r="G228" s="6"/>
      <c r="H228" s="6"/>
      <c r="I228" s="6" t="s">
        <v>2828</v>
      </c>
      <c r="J228" s="6" t="s">
        <v>2829</v>
      </c>
      <c r="K228" s="6"/>
      <c r="L228" s="6"/>
      <c r="M228" s="6"/>
      <c r="N228" s="6"/>
      <c r="O228" s="6"/>
      <c r="P228" s="6"/>
      <c r="Q228" s="6"/>
      <c r="R228" s="6"/>
      <c r="S228" s="6"/>
      <c r="T228" s="6" t="s">
        <v>2830</v>
      </c>
      <c r="U228" s="6"/>
      <c r="V228" s="6"/>
      <c r="W228" s="6"/>
      <c r="X228" s="6"/>
      <c r="Y228" s="6" t="s">
        <v>2831</v>
      </c>
      <c r="Z228" s="6" t="s">
        <v>2832</v>
      </c>
      <c r="AA228" s="6"/>
      <c r="AB228" s="6"/>
      <c r="AC228" s="6"/>
      <c r="AD228" s="6"/>
      <c r="AE228" s="6"/>
      <c r="AF228" s="6"/>
      <c r="AG228" s="6"/>
      <c r="AH228" s="6"/>
      <c r="AI228" s="6"/>
      <c r="AJ228" s="6"/>
      <c r="AK228" s="6"/>
      <c r="AL228" s="6"/>
      <c r="AM228" s="6" t="s">
        <v>2833</v>
      </c>
      <c r="AN228" s="6" t="s">
        <v>2834</v>
      </c>
      <c r="AO228" s="6"/>
      <c r="AP228" s="6"/>
      <c r="AQ228" s="6"/>
      <c r="AR228" s="6" t="s">
        <v>66</v>
      </c>
      <c r="AS228" s="6">
        <v>2017</v>
      </c>
      <c r="AT228" s="6">
        <v>64</v>
      </c>
      <c r="AU228" s="6"/>
      <c r="AV228" s="6"/>
      <c r="AW228" s="6"/>
      <c r="AX228" s="6"/>
      <c r="AY228" s="6"/>
      <c r="AZ228" s="6">
        <v>22</v>
      </c>
      <c r="BA228" s="6">
        <v>40</v>
      </c>
      <c r="BB228" s="6"/>
      <c r="BC228" s="6" t="s">
        <v>2835</v>
      </c>
      <c r="BD228" s="9" t="str">
        <f>HYPERLINK("http://dx.doi.org/10.1016/j.habitatint.2017.04.007","http://dx.doi.org/10.1016/j.habitatint.2017.04.007")</f>
        <v>http://dx.doi.org/10.1016/j.habitatint.2017.04.007</v>
      </c>
      <c r="BE228" s="6"/>
      <c r="BF228" s="6"/>
      <c r="BG228" s="6"/>
      <c r="BH228" s="6"/>
      <c r="BI228" s="6"/>
      <c r="BJ228" s="6" t="s">
        <v>2836</v>
      </c>
      <c r="BK228" s="6"/>
      <c r="BL228" s="6"/>
      <c r="BM228" s="6"/>
      <c r="BN228" s="6"/>
      <c r="BO228" s="6"/>
      <c r="BP228" s="6"/>
      <c r="BQ228" s="6"/>
      <c r="BR228" s="6"/>
      <c r="BS228" s="6"/>
      <c r="BT228" s="6"/>
      <c r="BU228" s="8" t="s">
        <v>7319</v>
      </c>
      <c r="BV228" s="8" t="s">
        <v>7320</v>
      </c>
      <c r="BW228" s="8" t="s">
        <v>7245</v>
      </c>
    </row>
    <row r="229" spans="1:75" ht="12.75" customHeight="1">
      <c r="A229" s="3" t="s">
        <v>63</v>
      </c>
      <c r="B229" s="3" t="s">
        <v>6187</v>
      </c>
      <c r="C229" s="3"/>
      <c r="D229" s="3"/>
      <c r="E229" s="3"/>
      <c r="F229" s="3" t="s">
        <v>6188</v>
      </c>
      <c r="G229" s="3"/>
      <c r="H229" s="3"/>
      <c r="I229" s="3" t="s">
        <v>6189</v>
      </c>
      <c r="J229" s="3" t="s">
        <v>6190</v>
      </c>
      <c r="K229" s="3"/>
      <c r="L229" s="3"/>
      <c r="M229" s="3"/>
      <c r="N229" s="3"/>
      <c r="O229" s="3"/>
      <c r="P229" s="3"/>
      <c r="Q229" s="3"/>
      <c r="R229" s="3"/>
      <c r="S229" s="3"/>
      <c r="T229" s="3" t="s">
        <v>6191</v>
      </c>
      <c r="U229" s="3"/>
      <c r="V229" s="3"/>
      <c r="W229" s="3"/>
      <c r="X229" s="3"/>
      <c r="Y229" s="3"/>
      <c r="Z229" s="3" t="s">
        <v>6192</v>
      </c>
      <c r="AA229" s="3"/>
      <c r="AB229" s="3"/>
      <c r="AC229" s="3"/>
      <c r="AD229" s="3"/>
      <c r="AE229" s="3"/>
      <c r="AF229" s="3"/>
      <c r="AG229" s="3"/>
      <c r="AH229" s="3"/>
      <c r="AI229" s="3"/>
      <c r="AJ229" s="3"/>
      <c r="AK229" s="3"/>
      <c r="AL229" s="3"/>
      <c r="AM229" s="3"/>
      <c r="AN229" s="3" t="s">
        <v>6193</v>
      </c>
      <c r="AO229" s="3"/>
      <c r="AP229" s="3"/>
      <c r="AQ229" s="3"/>
      <c r="AR229" s="3" t="s">
        <v>173</v>
      </c>
      <c r="AS229" s="3">
        <v>2023</v>
      </c>
      <c r="AT229" s="3">
        <v>12</v>
      </c>
      <c r="AU229" s="3">
        <v>7</v>
      </c>
      <c r="AV229" s="3"/>
      <c r="AW229" s="3"/>
      <c r="AX229" s="3"/>
      <c r="AY229" s="3"/>
      <c r="AZ229" s="3"/>
      <c r="BA229" s="3"/>
      <c r="BB229" s="3">
        <v>965</v>
      </c>
      <c r="BC229" s="3" t="s">
        <v>6194</v>
      </c>
      <c r="BD229" s="15" t="str">
        <f>HYPERLINK("http://dx.doi.org/10.3390/pathogens12070965","http://dx.doi.org/10.3390/pathogens12070965")</f>
        <v>http://dx.doi.org/10.3390/pathogens12070965</v>
      </c>
      <c r="BE229" s="3"/>
      <c r="BF229" s="3"/>
      <c r="BG229" s="3"/>
      <c r="BH229" s="3"/>
      <c r="BI229" s="3">
        <v>37513812</v>
      </c>
      <c r="BJ229" s="3" t="s">
        <v>6195</v>
      </c>
      <c r="BK229" s="3"/>
      <c r="BL229" s="3"/>
      <c r="BM229" s="3"/>
      <c r="BN229" s="3"/>
      <c r="BO229" s="3"/>
      <c r="BP229" s="3"/>
      <c r="BQ229" s="3"/>
      <c r="BR229" s="3"/>
      <c r="BS229" s="3"/>
      <c r="BT229" s="3"/>
      <c r="BU229" s="13" t="s">
        <v>7321</v>
      </c>
      <c r="BV229" s="2" t="s">
        <v>7188</v>
      </c>
      <c r="BW229" s="2" t="s">
        <v>7189</v>
      </c>
    </row>
    <row r="230" spans="1:75" ht="12.75" customHeight="1">
      <c r="A230" s="6" t="s">
        <v>63</v>
      </c>
      <c r="B230" s="6" t="s">
        <v>4231</v>
      </c>
      <c r="C230" s="6"/>
      <c r="D230" s="6"/>
      <c r="E230" s="6"/>
      <c r="F230" s="6" t="s">
        <v>4232</v>
      </c>
      <c r="G230" s="6"/>
      <c r="H230" s="6"/>
      <c r="I230" s="6" t="s">
        <v>4233</v>
      </c>
      <c r="J230" s="6" t="s">
        <v>3563</v>
      </c>
      <c r="K230" s="6"/>
      <c r="L230" s="6"/>
      <c r="M230" s="6"/>
      <c r="N230" s="6"/>
      <c r="O230" s="6"/>
      <c r="P230" s="6"/>
      <c r="Q230" s="6"/>
      <c r="R230" s="6"/>
      <c r="S230" s="6"/>
      <c r="T230" s="6" t="s">
        <v>4234</v>
      </c>
      <c r="U230" s="6"/>
      <c r="V230" s="6"/>
      <c r="W230" s="6"/>
      <c r="X230" s="6"/>
      <c r="Y230" s="6" t="s">
        <v>2229</v>
      </c>
      <c r="Z230" s="6"/>
      <c r="AA230" s="6"/>
      <c r="AB230" s="6"/>
      <c r="AC230" s="6"/>
      <c r="AD230" s="6"/>
      <c r="AE230" s="6"/>
      <c r="AF230" s="6"/>
      <c r="AG230" s="6"/>
      <c r="AH230" s="6"/>
      <c r="AI230" s="6"/>
      <c r="AJ230" s="6"/>
      <c r="AK230" s="6"/>
      <c r="AL230" s="6"/>
      <c r="AM230" s="6"/>
      <c r="AN230" s="6" t="s">
        <v>3567</v>
      </c>
      <c r="AO230" s="6"/>
      <c r="AP230" s="6"/>
      <c r="AQ230" s="6"/>
      <c r="AR230" s="6" t="s">
        <v>4235</v>
      </c>
      <c r="AS230" s="6">
        <v>2020</v>
      </c>
      <c r="AT230" s="6">
        <v>8</v>
      </c>
      <c r="AU230" s="6"/>
      <c r="AV230" s="6"/>
      <c r="AW230" s="6"/>
      <c r="AX230" s="6"/>
      <c r="AY230" s="6"/>
      <c r="AZ230" s="6"/>
      <c r="BA230" s="6"/>
      <c r="BB230" s="6">
        <v>71</v>
      </c>
      <c r="BC230" s="6" t="s">
        <v>4236</v>
      </c>
      <c r="BD230" s="9" t="str">
        <f>HYPERLINK("http://dx.doi.org/10.3389/fpubh.2020.00071","http://dx.doi.org/10.3389/fpubh.2020.00071")</f>
        <v>http://dx.doi.org/10.3389/fpubh.2020.00071</v>
      </c>
      <c r="BE230" s="6"/>
      <c r="BF230" s="6"/>
      <c r="BG230" s="6"/>
      <c r="BH230" s="6"/>
      <c r="BI230" s="6">
        <v>32211370</v>
      </c>
      <c r="BJ230" s="6" t="s">
        <v>4237</v>
      </c>
      <c r="BK230" s="6"/>
      <c r="BL230" s="6"/>
      <c r="BM230" s="6"/>
      <c r="BN230" s="6"/>
      <c r="BO230" s="6"/>
      <c r="BP230" s="6"/>
      <c r="BQ230" s="6"/>
      <c r="BR230" s="6"/>
      <c r="BS230" s="6"/>
      <c r="BT230" s="6"/>
      <c r="BU230" s="8" t="s">
        <v>7322</v>
      </c>
      <c r="BV230" s="8" t="s">
        <v>7188</v>
      </c>
      <c r="BW230" s="8" t="s">
        <v>7189</v>
      </c>
    </row>
    <row r="231" spans="1:75" ht="12.75" customHeight="1">
      <c r="A231" s="3" t="s">
        <v>63</v>
      </c>
      <c r="B231" s="3" t="s">
        <v>2837</v>
      </c>
      <c r="C231" s="3"/>
      <c r="D231" s="3"/>
      <c r="E231" s="3"/>
      <c r="F231" s="3" t="s">
        <v>2838</v>
      </c>
      <c r="G231" s="3"/>
      <c r="H231" s="3"/>
      <c r="I231" s="3" t="s">
        <v>2839</v>
      </c>
      <c r="J231" s="3" t="s">
        <v>2840</v>
      </c>
      <c r="K231" s="3"/>
      <c r="L231" s="3"/>
      <c r="M231" s="3"/>
      <c r="N231" s="3"/>
      <c r="O231" s="3"/>
      <c r="P231" s="3"/>
      <c r="Q231" s="3"/>
      <c r="R231" s="3"/>
      <c r="S231" s="3"/>
      <c r="T231" s="3" t="s">
        <v>2841</v>
      </c>
      <c r="U231" s="3"/>
      <c r="V231" s="3"/>
      <c r="W231" s="3"/>
      <c r="X231" s="3"/>
      <c r="Y231" s="3" t="s">
        <v>2842</v>
      </c>
      <c r="Z231" s="3"/>
      <c r="AA231" s="3"/>
      <c r="AB231" s="3"/>
      <c r="AC231" s="3"/>
      <c r="AD231" s="3"/>
      <c r="AE231" s="3"/>
      <c r="AF231" s="3"/>
      <c r="AG231" s="3"/>
      <c r="AH231" s="3"/>
      <c r="AI231" s="3"/>
      <c r="AJ231" s="3"/>
      <c r="AK231" s="3"/>
      <c r="AL231" s="3"/>
      <c r="AM231" s="3" t="s">
        <v>2843</v>
      </c>
      <c r="AN231" s="3"/>
      <c r="AO231" s="3"/>
      <c r="AP231" s="3"/>
      <c r="AQ231" s="3"/>
      <c r="AR231" s="3" t="s">
        <v>65</v>
      </c>
      <c r="AS231" s="3">
        <v>2017</v>
      </c>
      <c r="AT231" s="3">
        <v>60</v>
      </c>
      <c r="AU231" s="3"/>
      <c r="AV231" s="3"/>
      <c r="AW231" s="3"/>
      <c r="AX231" s="3"/>
      <c r="AY231" s="3"/>
      <c r="AZ231" s="3">
        <v>87</v>
      </c>
      <c r="BA231" s="3">
        <v>98</v>
      </c>
      <c r="BB231" s="3"/>
      <c r="BC231" s="3" t="s">
        <v>2844</v>
      </c>
      <c r="BD231" s="15" t="str">
        <f>HYPERLINK("http://dx.doi.org/10.1016/j.seps.2017.03.003","http://dx.doi.org/10.1016/j.seps.2017.03.003")</f>
        <v>http://dx.doi.org/10.1016/j.seps.2017.03.003</v>
      </c>
      <c r="BE231" s="3"/>
      <c r="BF231" s="3"/>
      <c r="BG231" s="3"/>
      <c r="BH231" s="3"/>
      <c r="BI231" s="3"/>
      <c r="BJ231" s="3" t="s">
        <v>2845</v>
      </c>
      <c r="BK231" s="3"/>
      <c r="BL231" s="3"/>
      <c r="BM231" s="3"/>
      <c r="BN231" s="3"/>
      <c r="BO231" s="3"/>
      <c r="BP231" s="3"/>
      <c r="BQ231" s="3"/>
      <c r="BR231" s="3"/>
      <c r="BS231" s="3"/>
      <c r="BT231" s="3"/>
      <c r="BU231" s="1" t="s">
        <v>7323</v>
      </c>
      <c r="BV231" s="2" t="s">
        <v>7188</v>
      </c>
      <c r="BW231" s="2" t="s">
        <v>7189</v>
      </c>
    </row>
    <row r="232" spans="1:75" ht="12.75" customHeight="1">
      <c r="A232" s="6" t="s">
        <v>63</v>
      </c>
      <c r="B232" s="6" t="s">
        <v>4238</v>
      </c>
      <c r="C232" s="6"/>
      <c r="D232" s="6"/>
      <c r="E232" s="6"/>
      <c r="F232" s="6" t="s">
        <v>4239</v>
      </c>
      <c r="G232" s="6"/>
      <c r="H232" s="6"/>
      <c r="I232" s="6" t="s">
        <v>4240</v>
      </c>
      <c r="J232" s="6" t="s">
        <v>380</v>
      </c>
      <c r="K232" s="6"/>
      <c r="L232" s="6"/>
      <c r="M232" s="6"/>
      <c r="N232" s="6"/>
      <c r="O232" s="6"/>
      <c r="P232" s="6"/>
      <c r="Q232" s="6"/>
      <c r="R232" s="6"/>
      <c r="S232" s="6"/>
      <c r="T232" s="6" t="s">
        <v>4241</v>
      </c>
      <c r="U232" s="6"/>
      <c r="V232" s="6"/>
      <c r="W232" s="6"/>
      <c r="X232" s="6"/>
      <c r="Y232" s="6" t="s">
        <v>2888</v>
      </c>
      <c r="Z232" s="6"/>
      <c r="AA232" s="6"/>
      <c r="AB232" s="6"/>
      <c r="AC232" s="6"/>
      <c r="AD232" s="6"/>
      <c r="AE232" s="6"/>
      <c r="AF232" s="6"/>
      <c r="AG232" s="6"/>
      <c r="AH232" s="6"/>
      <c r="AI232" s="6"/>
      <c r="AJ232" s="6"/>
      <c r="AK232" s="6"/>
      <c r="AL232" s="6"/>
      <c r="AM232" s="6" t="s">
        <v>382</v>
      </c>
      <c r="AN232" s="6" t="s">
        <v>383</v>
      </c>
      <c r="AO232" s="6"/>
      <c r="AP232" s="6"/>
      <c r="AQ232" s="6"/>
      <c r="AR232" s="6" t="s">
        <v>78</v>
      </c>
      <c r="AS232" s="6">
        <v>2020</v>
      </c>
      <c r="AT232" s="6">
        <v>63</v>
      </c>
      <c r="AU232" s="6"/>
      <c r="AV232" s="6"/>
      <c r="AW232" s="6"/>
      <c r="AX232" s="6"/>
      <c r="AY232" s="6"/>
      <c r="AZ232" s="6"/>
      <c r="BA232" s="6"/>
      <c r="BB232" s="6">
        <v>102341</v>
      </c>
      <c r="BC232" s="6" t="s">
        <v>4242</v>
      </c>
      <c r="BD232" s="9" t="str">
        <f>HYPERLINK("http://dx.doi.org/10.1016/j.healthplace.2020.102341","http://dx.doi.org/10.1016/j.healthplace.2020.102341")</f>
        <v>http://dx.doi.org/10.1016/j.healthplace.2020.102341</v>
      </c>
      <c r="BE232" s="6"/>
      <c r="BF232" s="6"/>
      <c r="BG232" s="6"/>
      <c r="BH232" s="6"/>
      <c r="BI232" s="6">
        <v>32543428</v>
      </c>
      <c r="BJ232" s="6" t="s">
        <v>4243</v>
      </c>
      <c r="BK232" s="6"/>
      <c r="BL232" s="6"/>
      <c r="BM232" s="6"/>
      <c r="BN232" s="6"/>
      <c r="BO232" s="6"/>
      <c r="BP232" s="6"/>
      <c r="BQ232" s="6"/>
      <c r="BR232" s="6"/>
      <c r="BS232" s="6"/>
      <c r="BT232" s="6"/>
      <c r="BU232" s="8" t="s">
        <v>7209</v>
      </c>
      <c r="BV232" s="8" t="s">
        <v>7209</v>
      </c>
      <c r="BW232" s="12" t="s">
        <v>7209</v>
      </c>
    </row>
    <row r="233" spans="1:75" ht="12.75" customHeight="1">
      <c r="A233" s="6" t="s">
        <v>63</v>
      </c>
      <c r="B233" s="6" t="s">
        <v>1786</v>
      </c>
      <c r="C233" s="6"/>
      <c r="D233" s="6"/>
      <c r="E233" s="6"/>
      <c r="F233" s="6" t="s">
        <v>1787</v>
      </c>
      <c r="G233" s="6"/>
      <c r="H233" s="6"/>
      <c r="I233" s="6" t="s">
        <v>1788</v>
      </c>
      <c r="J233" s="6" t="s">
        <v>221</v>
      </c>
      <c r="K233" s="6"/>
      <c r="L233" s="6"/>
      <c r="M233" s="6"/>
      <c r="N233" s="6"/>
      <c r="O233" s="6"/>
      <c r="P233" s="6"/>
      <c r="Q233" s="6"/>
      <c r="R233" s="6"/>
      <c r="S233" s="6"/>
      <c r="T233" s="6" t="s">
        <v>1789</v>
      </c>
      <c r="U233" s="6"/>
      <c r="V233" s="6"/>
      <c r="W233" s="6"/>
      <c r="X233" s="6"/>
      <c r="Y233" s="6"/>
      <c r="Z233" s="6"/>
      <c r="AA233" s="6"/>
      <c r="AB233" s="6"/>
      <c r="AC233" s="6"/>
      <c r="AD233" s="6"/>
      <c r="AE233" s="6"/>
      <c r="AF233" s="6"/>
      <c r="AG233" s="6"/>
      <c r="AH233" s="6"/>
      <c r="AI233" s="6"/>
      <c r="AJ233" s="6"/>
      <c r="AK233" s="6"/>
      <c r="AL233" s="6"/>
      <c r="AM233" s="6" t="s">
        <v>223</v>
      </c>
      <c r="AN233" s="6" t="s">
        <v>224</v>
      </c>
      <c r="AO233" s="6"/>
      <c r="AP233" s="6"/>
      <c r="AQ233" s="6"/>
      <c r="AR233" s="6" t="s">
        <v>66</v>
      </c>
      <c r="AS233" s="6">
        <v>2015</v>
      </c>
      <c r="AT233" s="6">
        <v>32</v>
      </c>
      <c r="AU233" s="6">
        <v>2</v>
      </c>
      <c r="AV233" s="6"/>
      <c r="AW233" s="6"/>
      <c r="AX233" s="6"/>
      <c r="AY233" s="6"/>
      <c r="AZ233" s="6">
        <v>215</v>
      </c>
      <c r="BA233" s="6">
        <v>227</v>
      </c>
      <c r="BB233" s="6"/>
      <c r="BC233" s="6" t="s">
        <v>1790</v>
      </c>
      <c r="BD233" s="9" t="str">
        <f>HYPERLINK("http://dx.doi.org/10.1007/s10460-014-9541-3","http://dx.doi.org/10.1007/s10460-014-9541-3")</f>
        <v>http://dx.doi.org/10.1007/s10460-014-9541-3</v>
      </c>
      <c r="BE233" s="6"/>
      <c r="BF233" s="6"/>
      <c r="BG233" s="6"/>
      <c r="BH233" s="6"/>
      <c r="BI233" s="6"/>
      <c r="BJ233" s="6" t="s">
        <v>1791</v>
      </c>
      <c r="BK233" s="6"/>
      <c r="BL233" s="6"/>
      <c r="BM233" s="6"/>
      <c r="BN233" s="6"/>
      <c r="BO233" s="6"/>
      <c r="BP233" s="6"/>
      <c r="BQ233" s="6"/>
      <c r="BR233" s="6"/>
      <c r="BS233" s="6"/>
      <c r="BT233" s="6"/>
      <c r="BU233" s="8" t="s">
        <v>7291</v>
      </c>
      <c r="BV233" s="8" t="s">
        <v>7188</v>
      </c>
      <c r="BW233" s="8" t="s">
        <v>7189</v>
      </c>
    </row>
    <row r="234" spans="1:75" ht="12.75" customHeight="1">
      <c r="A234" s="6" t="s">
        <v>63</v>
      </c>
      <c r="B234" s="6" t="s">
        <v>164</v>
      </c>
      <c r="C234" s="6"/>
      <c r="D234" s="6"/>
      <c r="E234" s="6"/>
      <c r="F234" s="6" t="s">
        <v>164</v>
      </c>
      <c r="G234" s="6"/>
      <c r="H234" s="6"/>
      <c r="I234" s="6" t="s">
        <v>165</v>
      </c>
      <c r="J234" s="6" t="s">
        <v>166</v>
      </c>
      <c r="K234" s="6"/>
      <c r="L234" s="6"/>
      <c r="M234" s="6"/>
      <c r="N234" s="6"/>
      <c r="O234" s="6"/>
      <c r="P234" s="6"/>
      <c r="Q234" s="6"/>
      <c r="R234" s="6"/>
      <c r="S234" s="6"/>
      <c r="T234" s="6" t="s">
        <v>167</v>
      </c>
      <c r="U234" s="6"/>
      <c r="V234" s="6"/>
      <c r="W234" s="6"/>
      <c r="X234" s="6"/>
      <c r="Y234" s="6" t="s">
        <v>168</v>
      </c>
      <c r="Z234" s="6" t="s">
        <v>169</v>
      </c>
      <c r="AA234" s="6"/>
      <c r="AB234" s="6"/>
      <c r="AC234" s="6"/>
      <c r="AD234" s="6"/>
      <c r="AE234" s="6"/>
      <c r="AF234" s="6"/>
      <c r="AG234" s="6"/>
      <c r="AH234" s="6"/>
      <c r="AI234" s="6"/>
      <c r="AJ234" s="6"/>
      <c r="AK234" s="6"/>
      <c r="AL234" s="6"/>
      <c r="AM234" s="6" t="s">
        <v>170</v>
      </c>
      <c r="AN234" s="6"/>
      <c r="AO234" s="6"/>
      <c r="AP234" s="6"/>
      <c r="AQ234" s="6"/>
      <c r="AR234" s="6" t="s">
        <v>92</v>
      </c>
      <c r="AS234" s="6">
        <v>2005</v>
      </c>
      <c r="AT234" s="6">
        <v>45</v>
      </c>
      <c r="AU234" s="6">
        <v>2</v>
      </c>
      <c r="AV234" s="6"/>
      <c r="AW234" s="6"/>
      <c r="AX234" s="6"/>
      <c r="AY234" s="6"/>
      <c r="AZ234" s="6">
        <v>195</v>
      </c>
      <c r="BA234" s="6">
        <v>197</v>
      </c>
      <c r="BB234" s="6"/>
      <c r="BC234" s="6" t="s">
        <v>171</v>
      </c>
      <c r="BD234" s="9" t="str">
        <f>HYPERLINK("http://dx.doi.org/10.1016/j.appet.2005.04.003","http://dx.doi.org/10.1016/j.appet.2005.04.003")</f>
        <v>http://dx.doi.org/10.1016/j.appet.2005.04.003</v>
      </c>
      <c r="BE234" s="6"/>
      <c r="BF234" s="6"/>
      <c r="BG234" s="6"/>
      <c r="BH234" s="6"/>
      <c r="BI234" s="6">
        <v>15927303</v>
      </c>
      <c r="BJ234" s="6" t="s">
        <v>172</v>
      </c>
      <c r="BK234" s="6"/>
      <c r="BL234" s="6"/>
      <c r="BM234" s="6"/>
      <c r="BN234" s="6"/>
      <c r="BO234" s="6"/>
      <c r="BP234" s="6"/>
      <c r="BQ234" s="6"/>
      <c r="BR234" s="6"/>
      <c r="BS234" s="6"/>
      <c r="BT234" s="6"/>
      <c r="BU234" s="8" t="s">
        <v>7324</v>
      </c>
      <c r="BV234" s="8" t="s">
        <v>7214</v>
      </c>
      <c r="BW234" s="8" t="s">
        <v>7205</v>
      </c>
    </row>
    <row r="235" spans="1:75" ht="12.75" customHeight="1">
      <c r="A235" s="6" t="s">
        <v>63</v>
      </c>
      <c r="B235" s="6" t="s">
        <v>6717</v>
      </c>
      <c r="C235" s="6"/>
      <c r="D235" s="6"/>
      <c r="E235" s="6"/>
      <c r="F235" s="6" t="s">
        <v>6718</v>
      </c>
      <c r="G235" s="6"/>
      <c r="H235" s="6"/>
      <c r="I235" s="6" t="s">
        <v>6719</v>
      </c>
      <c r="J235" s="6" t="s">
        <v>6720</v>
      </c>
      <c r="K235" s="6"/>
      <c r="L235" s="6"/>
      <c r="M235" s="6"/>
      <c r="N235" s="6"/>
      <c r="O235" s="6"/>
      <c r="P235" s="6"/>
      <c r="Q235" s="6"/>
      <c r="R235" s="6"/>
      <c r="S235" s="6"/>
      <c r="T235" s="6" t="s">
        <v>6721</v>
      </c>
      <c r="U235" s="6"/>
      <c r="V235" s="6"/>
      <c r="W235" s="6"/>
      <c r="X235" s="6"/>
      <c r="Y235" s="6"/>
      <c r="Z235" s="6"/>
      <c r="AA235" s="6"/>
      <c r="AB235" s="6"/>
      <c r="AC235" s="6"/>
      <c r="AD235" s="6"/>
      <c r="AE235" s="6"/>
      <c r="AF235" s="6"/>
      <c r="AG235" s="6"/>
      <c r="AH235" s="6"/>
      <c r="AI235" s="6"/>
      <c r="AJ235" s="6"/>
      <c r="AK235" s="6"/>
      <c r="AL235" s="6"/>
      <c r="AM235" s="6" t="s">
        <v>6722</v>
      </c>
      <c r="AN235" s="6"/>
      <c r="AO235" s="6"/>
      <c r="AP235" s="6"/>
      <c r="AQ235" s="6"/>
      <c r="AR235" s="6" t="s">
        <v>133</v>
      </c>
      <c r="AS235" s="6">
        <v>2024</v>
      </c>
      <c r="AT235" s="6">
        <v>7</v>
      </c>
      <c r="AU235" s="6">
        <v>1</v>
      </c>
      <c r="AV235" s="6"/>
      <c r="AW235" s="6"/>
      <c r="AX235" s="6"/>
      <c r="AY235" s="6"/>
      <c r="AZ235" s="6"/>
      <c r="BA235" s="6"/>
      <c r="BB235" s="6" t="s">
        <v>6723</v>
      </c>
      <c r="BC235" s="6" t="s">
        <v>6724</v>
      </c>
      <c r="BD235" s="9" t="str">
        <f>HYPERLINK("http://dx.doi.org/10.1002/2475-8876.12439","http://dx.doi.org/10.1002/2475-8876.12439")</f>
        <v>http://dx.doi.org/10.1002/2475-8876.12439</v>
      </c>
      <c r="BE235" s="6"/>
      <c r="BF235" s="6"/>
      <c r="BG235" s="6"/>
      <c r="BH235" s="6"/>
      <c r="BI235" s="6"/>
      <c r="BJ235" s="6" t="s">
        <v>6725</v>
      </c>
      <c r="BK235" s="6"/>
      <c r="BL235" s="6"/>
      <c r="BM235" s="6"/>
      <c r="BN235" s="6"/>
      <c r="BO235" s="6"/>
      <c r="BP235" s="6"/>
      <c r="BQ235" s="6"/>
      <c r="BR235" s="6"/>
      <c r="BS235" s="6"/>
      <c r="BT235" s="6"/>
      <c r="BU235" s="8" t="s">
        <v>5313</v>
      </c>
      <c r="BV235" s="8" t="s">
        <v>5215</v>
      </c>
      <c r="BW235" s="8" t="s">
        <v>7245</v>
      </c>
    </row>
    <row r="236" spans="1:75" ht="12.75" customHeight="1">
      <c r="A236" s="3" t="s">
        <v>63</v>
      </c>
      <c r="B236" s="3" t="s">
        <v>5530</v>
      </c>
      <c r="C236" s="3"/>
      <c r="D236" s="3"/>
      <c r="E236" s="3"/>
      <c r="F236" s="3" t="s">
        <v>5531</v>
      </c>
      <c r="G236" s="3"/>
      <c r="H236" s="3"/>
      <c r="I236" s="3" t="s">
        <v>5532</v>
      </c>
      <c r="J236" s="3" t="s">
        <v>5533</v>
      </c>
      <c r="K236" s="3"/>
      <c r="L236" s="3"/>
      <c r="M236" s="3"/>
      <c r="N236" s="3"/>
      <c r="O236" s="3"/>
      <c r="P236" s="3"/>
      <c r="Q236" s="3"/>
      <c r="R236" s="3"/>
      <c r="S236" s="3"/>
      <c r="T236" s="3" t="s">
        <v>5534</v>
      </c>
      <c r="U236" s="3"/>
      <c r="V236" s="3"/>
      <c r="W236" s="3"/>
      <c r="X236" s="3"/>
      <c r="Y236" s="3"/>
      <c r="Z236" s="3"/>
      <c r="AA236" s="3"/>
      <c r="AB236" s="3"/>
      <c r="AC236" s="3"/>
      <c r="AD236" s="3"/>
      <c r="AE236" s="3"/>
      <c r="AF236" s="3"/>
      <c r="AG236" s="3"/>
      <c r="AH236" s="3"/>
      <c r="AI236" s="3"/>
      <c r="AJ236" s="3"/>
      <c r="AK236" s="3"/>
      <c r="AL236" s="3"/>
      <c r="AM236" s="3" t="s">
        <v>5535</v>
      </c>
      <c r="AN236" s="3" t="s">
        <v>5536</v>
      </c>
      <c r="AO236" s="3"/>
      <c r="AP236" s="3"/>
      <c r="AQ236" s="3"/>
      <c r="AR236" s="3" t="s">
        <v>66</v>
      </c>
      <c r="AS236" s="3">
        <v>2022</v>
      </c>
      <c r="AT236" s="3">
        <v>14</v>
      </c>
      <c r="AU236" s="3">
        <v>6</v>
      </c>
      <c r="AV236" s="3"/>
      <c r="AW236" s="3"/>
      <c r="AX236" s="3"/>
      <c r="AY236" s="3"/>
      <c r="AZ236" s="3">
        <v>1854</v>
      </c>
      <c r="BA236" s="3">
        <v>1868</v>
      </c>
      <c r="BB236" s="3"/>
      <c r="BC236" s="3" t="s">
        <v>5537</v>
      </c>
      <c r="BD236" s="15" t="str">
        <f>HYPERLINK("http://dx.doi.org/10.21037/jtd-21-1637","http://dx.doi.org/10.21037/jtd-21-1637")</f>
        <v>http://dx.doi.org/10.21037/jtd-21-1637</v>
      </c>
      <c r="BE236" s="3"/>
      <c r="BF236" s="3" t="s">
        <v>5408</v>
      </c>
      <c r="BG236" s="3"/>
      <c r="BH236" s="3"/>
      <c r="BI236" s="3">
        <v>35813712</v>
      </c>
      <c r="BJ236" s="3" t="s">
        <v>5538</v>
      </c>
      <c r="BK236" s="3"/>
      <c r="BL236" s="3"/>
      <c r="BM236" s="3"/>
      <c r="BN236" s="3"/>
      <c r="BO236" s="3"/>
      <c r="BP236" s="3"/>
      <c r="BQ236" s="3"/>
      <c r="BR236" s="3"/>
      <c r="BS236" s="3"/>
      <c r="BT236" s="3"/>
      <c r="BU236" s="1" t="s">
        <v>7325</v>
      </c>
      <c r="BV236" s="2" t="s">
        <v>7188</v>
      </c>
      <c r="BW236" s="2" t="s">
        <v>7189</v>
      </c>
    </row>
    <row r="237" spans="1:75" ht="12.75" customHeight="1">
      <c r="A237" s="6" t="s">
        <v>63</v>
      </c>
      <c r="B237" s="6" t="s">
        <v>4244</v>
      </c>
      <c r="C237" s="6"/>
      <c r="D237" s="6"/>
      <c r="E237" s="6"/>
      <c r="F237" s="6" t="s">
        <v>4245</v>
      </c>
      <c r="G237" s="6"/>
      <c r="H237" s="6"/>
      <c r="I237" s="6" t="s">
        <v>4246</v>
      </c>
      <c r="J237" s="6" t="s">
        <v>4247</v>
      </c>
      <c r="K237" s="6"/>
      <c r="L237" s="6"/>
      <c r="M237" s="6"/>
      <c r="N237" s="6"/>
      <c r="O237" s="6"/>
      <c r="P237" s="6"/>
      <c r="Q237" s="6"/>
      <c r="R237" s="6"/>
      <c r="S237" s="6"/>
      <c r="T237" s="6" t="s">
        <v>4248</v>
      </c>
      <c r="U237" s="6"/>
      <c r="V237" s="6"/>
      <c r="W237" s="6"/>
      <c r="X237" s="6"/>
      <c r="Y237" s="6" t="s">
        <v>4249</v>
      </c>
      <c r="Z237" s="6" t="s">
        <v>4250</v>
      </c>
      <c r="AA237" s="6"/>
      <c r="AB237" s="6"/>
      <c r="AC237" s="6"/>
      <c r="AD237" s="6"/>
      <c r="AE237" s="6"/>
      <c r="AF237" s="6"/>
      <c r="AG237" s="6"/>
      <c r="AH237" s="6"/>
      <c r="AI237" s="6"/>
      <c r="AJ237" s="6"/>
      <c r="AK237" s="6"/>
      <c r="AL237" s="6"/>
      <c r="AM237" s="6" t="s">
        <v>4251</v>
      </c>
      <c r="AN237" s="6" t="s">
        <v>4252</v>
      </c>
      <c r="AO237" s="6"/>
      <c r="AP237" s="6"/>
      <c r="AQ237" s="6"/>
      <c r="AR237" s="6" t="s">
        <v>92</v>
      </c>
      <c r="AS237" s="6">
        <v>2020</v>
      </c>
      <c r="AT237" s="6">
        <v>202</v>
      </c>
      <c r="AU237" s="6"/>
      <c r="AV237" s="6"/>
      <c r="AW237" s="6"/>
      <c r="AX237" s="6"/>
      <c r="AY237" s="6"/>
      <c r="AZ237" s="6"/>
      <c r="BA237" s="6"/>
      <c r="BB237" s="6">
        <v>103859</v>
      </c>
      <c r="BC237" s="6" t="s">
        <v>4253</v>
      </c>
      <c r="BD237" s="9" t="str">
        <f>HYPERLINK("http://dx.doi.org/10.1016/j.landurbplan.2020.103859","http://dx.doi.org/10.1016/j.landurbplan.2020.103859")</f>
        <v>http://dx.doi.org/10.1016/j.landurbplan.2020.103859</v>
      </c>
      <c r="BE237" s="6"/>
      <c r="BF237" s="6"/>
      <c r="BG237" s="6"/>
      <c r="BH237" s="6"/>
      <c r="BI237" s="6"/>
      <c r="BJ237" s="6" t="s">
        <v>4254</v>
      </c>
      <c r="BK237" s="6"/>
      <c r="BL237" s="6"/>
      <c r="BM237" s="6"/>
      <c r="BN237" s="6"/>
      <c r="BO237" s="6"/>
      <c r="BP237" s="6"/>
      <c r="BQ237" s="6"/>
      <c r="BR237" s="6"/>
      <c r="BS237" s="6"/>
      <c r="BT237" s="6"/>
      <c r="BU237" s="8" t="s">
        <v>7326</v>
      </c>
      <c r="BV237" s="8" t="s">
        <v>7188</v>
      </c>
      <c r="BW237" s="8" t="s">
        <v>7189</v>
      </c>
    </row>
    <row r="238" spans="1:75" ht="12.75" customHeight="1">
      <c r="A238" s="4" t="s">
        <v>63</v>
      </c>
      <c r="B238" s="4" t="s">
        <v>3708</v>
      </c>
      <c r="C238" s="4"/>
      <c r="D238" s="4"/>
      <c r="E238" s="4"/>
      <c r="F238" s="4" t="s">
        <v>3709</v>
      </c>
      <c r="G238" s="4"/>
      <c r="H238" s="4"/>
      <c r="I238" s="4" t="s">
        <v>3710</v>
      </c>
      <c r="J238" s="4" t="s">
        <v>3711</v>
      </c>
      <c r="K238" s="4"/>
      <c r="L238" s="4"/>
      <c r="M238" s="4"/>
      <c r="N238" s="4"/>
      <c r="O238" s="4"/>
      <c r="P238" s="4"/>
      <c r="Q238" s="4"/>
      <c r="R238" s="4"/>
      <c r="S238" s="4"/>
      <c r="T238" s="4" t="s">
        <v>3712</v>
      </c>
      <c r="U238" s="4"/>
      <c r="V238" s="4"/>
      <c r="W238" s="4"/>
      <c r="X238" s="4"/>
      <c r="Y238" s="4"/>
      <c r="Z238" s="4" t="s">
        <v>3713</v>
      </c>
      <c r="AA238" s="4"/>
      <c r="AB238" s="4"/>
      <c r="AC238" s="4"/>
      <c r="AD238" s="4"/>
      <c r="AE238" s="4"/>
      <c r="AF238" s="4"/>
      <c r="AG238" s="4"/>
      <c r="AH238" s="4"/>
      <c r="AI238" s="4"/>
      <c r="AJ238" s="4"/>
      <c r="AK238" s="4"/>
      <c r="AL238" s="4"/>
      <c r="AM238" s="4" t="s">
        <v>3714</v>
      </c>
      <c r="AN238" s="4" t="s">
        <v>3715</v>
      </c>
      <c r="AO238" s="4"/>
      <c r="AP238" s="4"/>
      <c r="AQ238" s="4"/>
      <c r="AR238" s="4" t="s">
        <v>92</v>
      </c>
      <c r="AS238" s="4">
        <v>2019</v>
      </c>
      <c r="AT238" s="4">
        <v>9</v>
      </c>
      <c r="AU238" s="4">
        <v>5</v>
      </c>
      <c r="AV238" s="4"/>
      <c r="AW238" s="4"/>
      <c r="AX238" s="4" t="s">
        <v>569</v>
      </c>
      <c r="AY238" s="4"/>
      <c r="AZ238" s="4">
        <v>847</v>
      </c>
      <c r="BA238" s="4">
        <v>856</v>
      </c>
      <c r="BB238" s="4"/>
      <c r="BC238" s="4" t="s">
        <v>3716</v>
      </c>
      <c r="BD238" s="5" t="str">
        <f>HYPERLINK("http://dx.doi.org/10.1093/tbm/ibz095","http://dx.doi.org/10.1093/tbm/ibz095")</f>
        <v>http://dx.doi.org/10.1093/tbm/ibz095</v>
      </c>
      <c r="BE238" s="4"/>
      <c r="BF238" s="4"/>
      <c r="BG238" s="4"/>
      <c r="BH238" s="4"/>
      <c r="BI238" s="4">
        <v>31570923</v>
      </c>
      <c r="BJ238" s="4" t="s">
        <v>3717</v>
      </c>
      <c r="BK238" s="4"/>
      <c r="BL238" s="4"/>
      <c r="BM238" s="4"/>
      <c r="BN238" s="4"/>
      <c r="BO238" s="4"/>
      <c r="BP238" s="4"/>
      <c r="BQ238" s="4"/>
      <c r="BR238" s="4"/>
      <c r="BS238" s="4"/>
      <c r="BT238" s="4"/>
      <c r="BU238" s="12" t="s">
        <v>7327</v>
      </c>
      <c r="BV238" s="12" t="s">
        <v>7188</v>
      </c>
      <c r="BW238" s="12" t="s">
        <v>7189</v>
      </c>
    </row>
    <row r="239" spans="1:75" ht="12.75" customHeight="1">
      <c r="A239" s="6" t="s">
        <v>63</v>
      </c>
      <c r="B239" s="6" t="s">
        <v>596</v>
      </c>
      <c r="C239" s="6"/>
      <c r="D239" s="6"/>
      <c r="E239" s="6"/>
      <c r="F239" s="6" t="s">
        <v>597</v>
      </c>
      <c r="G239" s="6"/>
      <c r="H239" s="6"/>
      <c r="I239" s="6" t="s">
        <v>598</v>
      </c>
      <c r="J239" s="6" t="s">
        <v>599</v>
      </c>
      <c r="K239" s="6"/>
      <c r="L239" s="6"/>
      <c r="M239" s="6"/>
      <c r="N239" s="6"/>
      <c r="O239" s="6"/>
      <c r="P239" s="6"/>
      <c r="Q239" s="6"/>
      <c r="R239" s="6"/>
      <c r="S239" s="6"/>
      <c r="T239" s="6" t="s">
        <v>600</v>
      </c>
      <c r="U239" s="6"/>
      <c r="V239" s="6"/>
      <c r="W239" s="6"/>
      <c r="X239" s="6"/>
      <c r="Y239" s="6"/>
      <c r="Z239" s="6"/>
      <c r="AA239" s="6"/>
      <c r="AB239" s="6"/>
      <c r="AC239" s="6"/>
      <c r="AD239" s="6"/>
      <c r="AE239" s="6"/>
      <c r="AF239" s="6"/>
      <c r="AG239" s="6"/>
      <c r="AH239" s="6"/>
      <c r="AI239" s="6"/>
      <c r="AJ239" s="6"/>
      <c r="AK239" s="6"/>
      <c r="AL239" s="6"/>
      <c r="AM239" s="6" t="s">
        <v>601</v>
      </c>
      <c r="AN239" s="6"/>
      <c r="AO239" s="6"/>
      <c r="AP239" s="6"/>
      <c r="AQ239" s="6"/>
      <c r="AR239" s="6" t="s">
        <v>602</v>
      </c>
      <c r="AS239" s="6">
        <v>2011</v>
      </c>
      <c r="AT239" s="6">
        <v>11</v>
      </c>
      <c r="AU239" s="6">
        <v>2</v>
      </c>
      <c r="AV239" s="6"/>
      <c r="AW239" s="6"/>
      <c r="AX239" s="6"/>
      <c r="AY239" s="6"/>
      <c r="AZ239" s="6"/>
      <c r="BA239" s="6"/>
      <c r="BB239" s="6">
        <v>1631</v>
      </c>
      <c r="BC239" s="6"/>
      <c r="BD239" s="6"/>
      <c r="BE239" s="6"/>
      <c r="BF239" s="6"/>
      <c r="BG239" s="6"/>
      <c r="BH239" s="6"/>
      <c r="BI239" s="6">
        <v>21513422</v>
      </c>
      <c r="BJ239" s="6" t="s">
        <v>603</v>
      </c>
      <c r="BK239" s="6"/>
      <c r="BL239" s="6"/>
      <c r="BM239" s="6"/>
      <c r="BN239" s="6"/>
      <c r="BO239" s="6"/>
      <c r="BP239" s="6"/>
      <c r="BQ239" s="6"/>
      <c r="BR239" s="6"/>
      <c r="BS239" s="6"/>
      <c r="BT239" s="6"/>
      <c r="BU239" s="8" t="s">
        <v>7252</v>
      </c>
      <c r="BV239" s="8" t="s">
        <v>7188</v>
      </c>
      <c r="BW239" s="8" t="s">
        <v>7189</v>
      </c>
    </row>
    <row r="240" spans="1:75" ht="12.75" customHeight="1">
      <c r="A240" s="4" t="s">
        <v>63</v>
      </c>
      <c r="B240" s="4" t="s">
        <v>6726</v>
      </c>
      <c r="C240" s="4"/>
      <c r="D240" s="4"/>
      <c r="E240" s="4"/>
      <c r="F240" s="4" t="s">
        <v>6727</v>
      </c>
      <c r="G240" s="4"/>
      <c r="H240" s="4"/>
      <c r="I240" s="4" t="s">
        <v>6728</v>
      </c>
      <c r="J240" s="4" t="s">
        <v>4614</v>
      </c>
      <c r="K240" s="4"/>
      <c r="L240" s="4"/>
      <c r="M240" s="4"/>
      <c r="N240" s="4"/>
      <c r="O240" s="4"/>
      <c r="P240" s="4"/>
      <c r="Q240" s="4"/>
      <c r="R240" s="4"/>
      <c r="S240" s="4"/>
      <c r="T240" s="4" t="s">
        <v>6729</v>
      </c>
      <c r="U240" s="4"/>
      <c r="V240" s="4"/>
      <c r="W240" s="4"/>
      <c r="X240" s="4"/>
      <c r="Y240" s="4"/>
      <c r="Z240" s="4" t="s">
        <v>6730</v>
      </c>
      <c r="AA240" s="4"/>
      <c r="AB240" s="4"/>
      <c r="AC240" s="4"/>
      <c r="AD240" s="4"/>
      <c r="AE240" s="4"/>
      <c r="AF240" s="4"/>
      <c r="AG240" s="4"/>
      <c r="AH240" s="4"/>
      <c r="AI240" s="4"/>
      <c r="AJ240" s="4"/>
      <c r="AK240" s="4"/>
      <c r="AL240" s="4"/>
      <c r="AM240" s="4" t="s">
        <v>4617</v>
      </c>
      <c r="AN240" s="4"/>
      <c r="AO240" s="4"/>
      <c r="AP240" s="4"/>
      <c r="AQ240" s="4"/>
      <c r="AR240" s="4" t="s">
        <v>67</v>
      </c>
      <c r="AS240" s="4">
        <v>2024</v>
      </c>
      <c r="AT240" s="4">
        <v>6</v>
      </c>
      <c r="AU240" s="4">
        <v>2</v>
      </c>
      <c r="AV240" s="4"/>
      <c r="AW240" s="4"/>
      <c r="AX240" s="4"/>
      <c r="AY240" s="4"/>
      <c r="AZ240" s="4"/>
      <c r="BA240" s="4"/>
      <c r="BB240" s="4">
        <v>101249</v>
      </c>
      <c r="BC240" s="4" t="s">
        <v>6731</v>
      </c>
      <c r="BD240" s="5" t="str">
        <f>HYPERLINK("http://dx.doi.org/10.1016/j.ajogmf.2023.101249","http://dx.doi.org/10.1016/j.ajogmf.2023.101249")</f>
        <v>http://dx.doi.org/10.1016/j.ajogmf.2023.101249</v>
      </c>
      <c r="BE240" s="4"/>
      <c r="BF240" s="4" t="s">
        <v>6629</v>
      </c>
      <c r="BG240" s="4"/>
      <c r="BH240" s="4"/>
      <c r="BI240" s="4">
        <v>38070680</v>
      </c>
      <c r="BJ240" s="4" t="s">
        <v>6732</v>
      </c>
      <c r="BK240" s="4"/>
      <c r="BL240" s="4"/>
      <c r="BM240" s="4"/>
      <c r="BN240" s="4"/>
      <c r="BO240" s="4"/>
      <c r="BP240" s="4"/>
      <c r="BQ240" s="4"/>
      <c r="BR240" s="4"/>
      <c r="BS240" s="4"/>
      <c r="BT240" s="4"/>
      <c r="BU240" s="12" t="s">
        <v>7201</v>
      </c>
      <c r="BV240" s="12" t="s">
        <v>7188</v>
      </c>
      <c r="BW240" s="12" t="s">
        <v>7189</v>
      </c>
    </row>
    <row r="241" spans="1:75" ht="12.75" customHeight="1">
      <c r="A241" s="3" t="s">
        <v>63</v>
      </c>
      <c r="B241" s="3" t="s">
        <v>1428</v>
      </c>
      <c r="C241" s="3"/>
      <c r="D241" s="3"/>
      <c r="E241" s="3"/>
      <c r="F241" s="3" t="s">
        <v>1429</v>
      </c>
      <c r="G241" s="3"/>
      <c r="H241" s="3"/>
      <c r="I241" s="3" t="s">
        <v>1430</v>
      </c>
      <c r="J241" s="3" t="s">
        <v>373</v>
      </c>
      <c r="K241" s="3"/>
      <c r="L241" s="3"/>
      <c r="M241" s="3"/>
      <c r="N241" s="3"/>
      <c r="O241" s="3"/>
      <c r="P241" s="3"/>
      <c r="Q241" s="3"/>
      <c r="R241" s="3"/>
      <c r="S241" s="3"/>
      <c r="T241" s="3" t="s">
        <v>1431</v>
      </c>
      <c r="U241" s="3"/>
      <c r="V241" s="3"/>
      <c r="W241" s="3"/>
      <c r="X241" s="3"/>
      <c r="Y241" s="3" t="s">
        <v>1432</v>
      </c>
      <c r="Z241" s="3" t="s">
        <v>1433</v>
      </c>
      <c r="AA241" s="3"/>
      <c r="AB241" s="3"/>
      <c r="AC241" s="3"/>
      <c r="AD241" s="3"/>
      <c r="AE241" s="3"/>
      <c r="AF241" s="3"/>
      <c r="AG241" s="3"/>
      <c r="AH241" s="3"/>
      <c r="AI241" s="3"/>
      <c r="AJ241" s="3"/>
      <c r="AK241" s="3"/>
      <c r="AL241" s="3"/>
      <c r="AM241" s="3" t="s">
        <v>376</v>
      </c>
      <c r="AN241" s="3"/>
      <c r="AO241" s="3"/>
      <c r="AP241" s="3"/>
      <c r="AQ241" s="3"/>
      <c r="AR241" s="3" t="s">
        <v>445</v>
      </c>
      <c r="AS241" s="3">
        <v>2014</v>
      </c>
      <c r="AT241" s="3">
        <v>11</v>
      </c>
      <c r="AU241" s="3"/>
      <c r="AV241" s="3"/>
      <c r="AW241" s="3"/>
      <c r="AX241" s="3"/>
      <c r="AY241" s="3"/>
      <c r="AZ241" s="3"/>
      <c r="BA241" s="3"/>
      <c r="BB241" s="3" t="s">
        <v>1434</v>
      </c>
      <c r="BC241" s="3" t="s">
        <v>1435</v>
      </c>
      <c r="BD241" s="15" t="str">
        <f>HYPERLINK("http://dx.doi.org/10.5888/pcd11.140086","http://dx.doi.org/10.5888/pcd11.140086")</f>
        <v>http://dx.doi.org/10.5888/pcd11.140086</v>
      </c>
      <c r="BE241" s="3"/>
      <c r="BF241" s="3"/>
      <c r="BG241" s="3"/>
      <c r="BH241" s="3"/>
      <c r="BI241" s="3">
        <v>25211506</v>
      </c>
      <c r="BJ241" s="3" t="s">
        <v>1436</v>
      </c>
      <c r="BK241" s="3"/>
      <c r="BL241" s="3"/>
      <c r="BM241" s="3"/>
      <c r="BN241" s="3"/>
      <c r="BO241" s="3"/>
      <c r="BP241" s="3"/>
      <c r="BQ241" s="3"/>
      <c r="BR241" s="3"/>
      <c r="BS241" s="3"/>
      <c r="BT241" s="3"/>
      <c r="BU241" s="2" t="s">
        <v>7251</v>
      </c>
      <c r="BV241" s="2" t="s">
        <v>7188</v>
      </c>
      <c r="BW241" s="2" t="s">
        <v>7189</v>
      </c>
    </row>
    <row r="242" spans="1:75" ht="12.75" customHeight="1">
      <c r="A242" s="6" t="s">
        <v>63</v>
      </c>
      <c r="B242" s="6" t="s">
        <v>3387</v>
      </c>
      <c r="C242" s="6"/>
      <c r="D242" s="6"/>
      <c r="E242" s="6"/>
      <c r="F242" s="6" t="s">
        <v>3389</v>
      </c>
      <c r="G242" s="6"/>
      <c r="H242" s="6"/>
      <c r="I242" s="6" t="s">
        <v>4255</v>
      </c>
      <c r="J242" s="6" t="s">
        <v>4256</v>
      </c>
      <c r="K242" s="6"/>
      <c r="L242" s="6"/>
      <c r="M242" s="6"/>
      <c r="N242" s="6"/>
      <c r="O242" s="6"/>
      <c r="P242" s="6"/>
      <c r="Q242" s="6"/>
      <c r="R242" s="6"/>
      <c r="S242" s="6"/>
      <c r="T242" s="6" t="s">
        <v>4257</v>
      </c>
      <c r="U242" s="6"/>
      <c r="V242" s="6"/>
      <c r="W242" s="6"/>
      <c r="X242" s="6"/>
      <c r="Y242" s="6" t="s">
        <v>3397</v>
      </c>
      <c r="Z242" s="6"/>
      <c r="AA242" s="6"/>
      <c r="AB242" s="6"/>
      <c r="AC242" s="6"/>
      <c r="AD242" s="6"/>
      <c r="AE242" s="6"/>
      <c r="AF242" s="6"/>
      <c r="AG242" s="6"/>
      <c r="AH242" s="6"/>
      <c r="AI242" s="6"/>
      <c r="AJ242" s="6"/>
      <c r="AK242" s="6"/>
      <c r="AL242" s="6"/>
      <c r="AM242" s="6" t="s">
        <v>4258</v>
      </c>
      <c r="AN242" s="6" t="s">
        <v>4259</v>
      </c>
      <c r="AO242" s="6"/>
      <c r="AP242" s="6"/>
      <c r="AQ242" s="6"/>
      <c r="AR242" s="6" t="s">
        <v>133</v>
      </c>
      <c r="AS242" s="6">
        <v>2020</v>
      </c>
      <c r="AT242" s="6">
        <v>52</v>
      </c>
      <c r="AU242" s="6"/>
      <c r="AV242" s="6"/>
      <c r="AW242" s="6"/>
      <c r="AX242" s="6"/>
      <c r="AY242" s="6"/>
      <c r="AZ242" s="6"/>
      <c r="BA242" s="6"/>
      <c r="BB242" s="6">
        <v>101795</v>
      </c>
      <c r="BC242" s="6" t="s">
        <v>4260</v>
      </c>
      <c r="BD242" s="9" t="str">
        <f>HYPERLINK("http://dx.doi.org/10.1016/j.scs.2019.101795","http://dx.doi.org/10.1016/j.scs.2019.101795")</f>
        <v>http://dx.doi.org/10.1016/j.scs.2019.101795</v>
      </c>
      <c r="BE242" s="6"/>
      <c r="BF242" s="6"/>
      <c r="BG242" s="6"/>
      <c r="BH242" s="6"/>
      <c r="BI242" s="6"/>
      <c r="BJ242" s="6" t="s">
        <v>4261</v>
      </c>
      <c r="BK242" s="6"/>
      <c r="BL242" s="6"/>
      <c r="BM242" s="6"/>
      <c r="BN242" s="6"/>
      <c r="BO242" s="6"/>
      <c r="BP242" s="6"/>
      <c r="BQ242" s="6"/>
      <c r="BR242" s="6"/>
      <c r="BS242" s="6"/>
      <c r="BT242" s="6"/>
      <c r="BU242" s="8" t="s">
        <v>7328</v>
      </c>
      <c r="BV242" s="8" t="s">
        <v>7188</v>
      </c>
      <c r="BW242" s="8" t="s">
        <v>7189</v>
      </c>
    </row>
    <row r="243" spans="1:75" ht="12.75" customHeight="1">
      <c r="A243" s="6" t="s">
        <v>63</v>
      </c>
      <c r="B243" s="6" t="s">
        <v>5539</v>
      </c>
      <c r="C243" s="6"/>
      <c r="D243" s="6"/>
      <c r="E243" s="6"/>
      <c r="F243" s="6" t="s">
        <v>5540</v>
      </c>
      <c r="G243" s="6"/>
      <c r="H243" s="6"/>
      <c r="I243" s="6" t="s">
        <v>5541</v>
      </c>
      <c r="J243" s="6" t="s">
        <v>3374</v>
      </c>
      <c r="K243" s="6"/>
      <c r="L243" s="6"/>
      <c r="M243" s="6"/>
      <c r="N243" s="6"/>
      <c r="O243" s="6"/>
      <c r="P243" s="6"/>
      <c r="Q243" s="6"/>
      <c r="R243" s="6"/>
      <c r="S243" s="6"/>
      <c r="T243" s="6" t="s">
        <v>5542</v>
      </c>
      <c r="U243" s="6"/>
      <c r="V243" s="6"/>
      <c r="W243" s="6"/>
      <c r="X243" s="6"/>
      <c r="Y243" s="6" t="s">
        <v>5543</v>
      </c>
      <c r="Z243" s="6" t="s">
        <v>5544</v>
      </c>
      <c r="AA243" s="6"/>
      <c r="AB243" s="6"/>
      <c r="AC243" s="6"/>
      <c r="AD243" s="6"/>
      <c r="AE243" s="6"/>
      <c r="AF243" s="6"/>
      <c r="AG243" s="6"/>
      <c r="AH243" s="6"/>
      <c r="AI243" s="6"/>
      <c r="AJ243" s="6"/>
      <c r="AK243" s="6"/>
      <c r="AL243" s="6"/>
      <c r="AM243" s="6"/>
      <c r="AN243" s="6" t="s">
        <v>3377</v>
      </c>
      <c r="AO243" s="6"/>
      <c r="AP243" s="6"/>
      <c r="AQ243" s="6"/>
      <c r="AR243" s="6" t="s">
        <v>78</v>
      </c>
      <c r="AS243" s="6">
        <v>2022</v>
      </c>
      <c r="AT243" s="6">
        <v>14</v>
      </c>
      <c r="AU243" s="6">
        <v>9</v>
      </c>
      <c r="AV243" s="6"/>
      <c r="AW243" s="6"/>
      <c r="AX243" s="6"/>
      <c r="AY243" s="6"/>
      <c r="AZ243" s="6"/>
      <c r="BA243" s="6"/>
      <c r="BB243" s="6">
        <v>5210</v>
      </c>
      <c r="BC243" s="6" t="s">
        <v>5545</v>
      </c>
      <c r="BD243" s="9" t="str">
        <f>HYPERLINK("http://dx.doi.org/10.3390/su14095210","http://dx.doi.org/10.3390/su14095210")</f>
        <v>http://dx.doi.org/10.3390/su14095210</v>
      </c>
      <c r="BE243" s="6"/>
      <c r="BF243" s="6"/>
      <c r="BG243" s="6"/>
      <c r="BH243" s="6"/>
      <c r="BI243" s="6"/>
      <c r="BJ243" s="6" t="s">
        <v>5546</v>
      </c>
      <c r="BK243" s="6"/>
      <c r="BL243" s="6"/>
      <c r="BM243" s="6"/>
      <c r="BN243" s="6"/>
      <c r="BO243" s="6"/>
      <c r="BP243" s="6"/>
      <c r="BQ243" s="6"/>
      <c r="BR243" s="6"/>
      <c r="BS243" s="6"/>
      <c r="BT243" s="6"/>
      <c r="BU243" s="8" t="s">
        <v>7269</v>
      </c>
      <c r="BV243" s="8" t="s">
        <v>7270</v>
      </c>
      <c r="BW243" s="8" t="s">
        <v>7245</v>
      </c>
    </row>
    <row r="244" spans="1:75" ht="12.75" customHeight="1">
      <c r="A244" s="4" t="s">
        <v>63</v>
      </c>
      <c r="B244" s="4" t="s">
        <v>1055</v>
      </c>
      <c r="C244" s="4"/>
      <c r="D244" s="4"/>
      <c r="E244" s="4"/>
      <c r="F244" s="4" t="s">
        <v>1056</v>
      </c>
      <c r="G244" s="4"/>
      <c r="H244" s="4"/>
      <c r="I244" s="4" t="s">
        <v>1057</v>
      </c>
      <c r="J244" s="4" t="s">
        <v>599</v>
      </c>
      <c r="K244" s="4"/>
      <c r="L244" s="4"/>
      <c r="M244" s="4"/>
      <c r="N244" s="4"/>
      <c r="O244" s="4"/>
      <c r="P244" s="4"/>
      <c r="Q244" s="4"/>
      <c r="R244" s="4"/>
      <c r="S244" s="4"/>
      <c r="T244" s="4" t="s">
        <v>1058</v>
      </c>
      <c r="U244" s="4"/>
      <c r="V244" s="4"/>
      <c r="W244" s="4"/>
      <c r="X244" s="4"/>
      <c r="Y244" s="4" t="s">
        <v>1059</v>
      </c>
      <c r="Z244" s="4" t="s">
        <v>1060</v>
      </c>
      <c r="AA244" s="4"/>
      <c r="AB244" s="4"/>
      <c r="AC244" s="4"/>
      <c r="AD244" s="4"/>
      <c r="AE244" s="4"/>
      <c r="AF244" s="4"/>
      <c r="AG244" s="4"/>
      <c r="AH244" s="4"/>
      <c r="AI244" s="4"/>
      <c r="AJ244" s="4"/>
      <c r="AK244" s="4"/>
      <c r="AL244" s="4"/>
      <c r="AM244" s="4" t="s">
        <v>601</v>
      </c>
      <c r="AN244" s="4"/>
      <c r="AO244" s="4"/>
      <c r="AP244" s="4"/>
      <c r="AQ244" s="4"/>
      <c r="AR244" s="4" t="s">
        <v>527</v>
      </c>
      <c r="AS244" s="4">
        <v>2013</v>
      </c>
      <c r="AT244" s="4">
        <v>13</v>
      </c>
      <c r="AU244" s="4">
        <v>1</v>
      </c>
      <c r="AV244" s="4"/>
      <c r="AW244" s="4"/>
      <c r="AX244" s="4"/>
      <c r="AY244" s="4"/>
      <c r="AZ244" s="4"/>
      <c r="BA244" s="4"/>
      <c r="BB244" s="4">
        <v>2293</v>
      </c>
      <c r="BC244" s="4"/>
      <c r="BD244" s="4"/>
      <c r="BE244" s="4"/>
      <c r="BF244" s="4"/>
      <c r="BG244" s="4"/>
      <c r="BH244" s="4"/>
      <c r="BI244" s="4">
        <v>23331293</v>
      </c>
      <c r="BJ244" s="4" t="s">
        <v>1061</v>
      </c>
      <c r="BK244" s="4"/>
      <c r="BL244" s="4"/>
      <c r="BM244" s="4"/>
      <c r="BN244" s="4"/>
      <c r="BO244" s="4"/>
      <c r="BP244" s="4"/>
      <c r="BQ244" s="4"/>
      <c r="BR244" s="4"/>
      <c r="BS244" s="4"/>
      <c r="BT244" s="4"/>
      <c r="BU244" s="12" t="s">
        <v>7329</v>
      </c>
      <c r="BV244" s="12" t="s">
        <v>7188</v>
      </c>
      <c r="BW244" s="12" t="s">
        <v>7189</v>
      </c>
    </row>
    <row r="245" spans="1:75" ht="12.75" customHeight="1">
      <c r="A245" s="6" t="s">
        <v>63</v>
      </c>
      <c r="B245" s="6" t="s">
        <v>6733</v>
      </c>
      <c r="C245" s="6"/>
      <c r="D245" s="6"/>
      <c r="E245" s="6"/>
      <c r="F245" s="6" t="s">
        <v>6734</v>
      </c>
      <c r="G245" s="6"/>
      <c r="H245" s="6"/>
      <c r="I245" s="6" t="s">
        <v>6735</v>
      </c>
      <c r="J245" s="6" t="s">
        <v>6736</v>
      </c>
      <c r="K245" s="6"/>
      <c r="L245" s="6"/>
      <c r="M245" s="6"/>
      <c r="N245" s="6"/>
      <c r="O245" s="6"/>
      <c r="P245" s="6"/>
      <c r="Q245" s="6"/>
      <c r="R245" s="6"/>
      <c r="S245" s="6"/>
      <c r="T245" s="6" t="s">
        <v>6737</v>
      </c>
      <c r="U245" s="6"/>
      <c r="V245" s="6"/>
      <c r="W245" s="6"/>
      <c r="X245" s="6"/>
      <c r="Y245" s="6" t="s">
        <v>6738</v>
      </c>
      <c r="Z245" s="6" t="s">
        <v>6739</v>
      </c>
      <c r="AA245" s="6"/>
      <c r="AB245" s="6"/>
      <c r="AC245" s="6"/>
      <c r="AD245" s="6"/>
      <c r="AE245" s="6"/>
      <c r="AF245" s="6"/>
      <c r="AG245" s="6"/>
      <c r="AH245" s="6"/>
      <c r="AI245" s="6"/>
      <c r="AJ245" s="6"/>
      <c r="AK245" s="6"/>
      <c r="AL245" s="6"/>
      <c r="AM245" s="6" t="s">
        <v>6740</v>
      </c>
      <c r="AN245" s="6" t="s">
        <v>6741</v>
      </c>
      <c r="AO245" s="6"/>
      <c r="AP245" s="6"/>
      <c r="AQ245" s="6"/>
      <c r="AR245" s="6" t="s">
        <v>6742</v>
      </c>
      <c r="AS245" s="6">
        <v>2024</v>
      </c>
      <c r="AT245" s="6"/>
      <c r="AU245" s="6"/>
      <c r="AV245" s="6"/>
      <c r="AW245" s="6"/>
      <c r="AX245" s="6"/>
      <c r="AY245" s="6"/>
      <c r="AZ245" s="6"/>
      <c r="BA245" s="6"/>
      <c r="BB245" s="6"/>
      <c r="BC245" s="6" t="s">
        <v>6743</v>
      </c>
      <c r="BD245" s="9" t="str">
        <f>HYPERLINK("http://dx.doi.org/10.1080/07448481.2024.2361314","http://dx.doi.org/10.1080/07448481.2024.2361314")</f>
        <v>http://dx.doi.org/10.1080/07448481.2024.2361314</v>
      </c>
      <c r="BE245" s="6"/>
      <c r="BF245" s="6" t="s">
        <v>6661</v>
      </c>
      <c r="BG245" s="6"/>
      <c r="BH245" s="6"/>
      <c r="BI245" s="6">
        <v>38830174</v>
      </c>
      <c r="BJ245" s="6" t="s">
        <v>6744</v>
      </c>
      <c r="BK245" s="6"/>
      <c r="BL245" s="6"/>
      <c r="BM245" s="6"/>
      <c r="BN245" s="6"/>
      <c r="BO245" s="6"/>
      <c r="BP245" s="6"/>
      <c r="BQ245" s="6"/>
      <c r="BR245" s="6"/>
      <c r="BS245" s="6"/>
      <c r="BT245" s="6"/>
      <c r="BU245" s="8" t="s">
        <v>7251</v>
      </c>
      <c r="BV245" s="8" t="s">
        <v>7188</v>
      </c>
      <c r="BW245" s="8" t="s">
        <v>7189</v>
      </c>
    </row>
    <row r="246" spans="1:75" ht="12.75" customHeight="1">
      <c r="A246" s="3" t="s">
        <v>63</v>
      </c>
      <c r="B246" s="3" t="s">
        <v>1792</v>
      </c>
      <c r="C246" s="3"/>
      <c r="D246" s="3"/>
      <c r="E246" s="3"/>
      <c r="F246" s="3" t="s">
        <v>1793</v>
      </c>
      <c r="G246" s="3"/>
      <c r="H246" s="3"/>
      <c r="I246" s="3" t="s">
        <v>1794</v>
      </c>
      <c r="J246" s="3" t="s">
        <v>1004</v>
      </c>
      <c r="K246" s="3"/>
      <c r="L246" s="3"/>
      <c r="M246" s="3"/>
      <c r="N246" s="3"/>
      <c r="O246" s="3"/>
      <c r="P246" s="3"/>
      <c r="Q246" s="3"/>
      <c r="R246" s="3"/>
      <c r="S246" s="3"/>
      <c r="T246" s="3" t="s">
        <v>1795</v>
      </c>
      <c r="U246" s="3"/>
      <c r="V246" s="3"/>
      <c r="W246" s="3"/>
      <c r="X246" s="3"/>
      <c r="Y246" s="3" t="s">
        <v>1796</v>
      </c>
      <c r="Z246" s="3" t="s">
        <v>1797</v>
      </c>
      <c r="AA246" s="3"/>
      <c r="AB246" s="3"/>
      <c r="AC246" s="3"/>
      <c r="AD246" s="3"/>
      <c r="AE246" s="3"/>
      <c r="AF246" s="3"/>
      <c r="AG246" s="3"/>
      <c r="AH246" s="3"/>
      <c r="AI246" s="3"/>
      <c r="AJ246" s="3"/>
      <c r="AK246" s="3"/>
      <c r="AL246" s="3"/>
      <c r="AM246" s="3" t="s">
        <v>1006</v>
      </c>
      <c r="AN246" s="3" t="s">
        <v>1007</v>
      </c>
      <c r="AO246" s="3"/>
      <c r="AP246" s="3"/>
      <c r="AQ246" s="3"/>
      <c r="AR246" s="3" t="s">
        <v>121</v>
      </c>
      <c r="AS246" s="3">
        <v>2015</v>
      </c>
      <c r="AT246" s="3">
        <v>18</v>
      </c>
      <c r="AU246" s="3">
        <v>12</v>
      </c>
      <c r="AV246" s="3"/>
      <c r="AW246" s="3"/>
      <c r="AX246" s="3"/>
      <c r="AY246" s="3"/>
      <c r="AZ246" s="3">
        <v>2220</v>
      </c>
      <c r="BA246" s="3">
        <v>2230</v>
      </c>
      <c r="BB246" s="3"/>
      <c r="BC246" s="3" t="s">
        <v>1798</v>
      </c>
      <c r="BD246" s="15" t="str">
        <f>HYPERLINK("http://dx.doi.org/10.1017/S1368980014002742","http://dx.doi.org/10.1017/S1368980014002742")</f>
        <v>http://dx.doi.org/10.1017/S1368980014002742</v>
      </c>
      <c r="BE246" s="3"/>
      <c r="BF246" s="3"/>
      <c r="BG246" s="3"/>
      <c r="BH246" s="3"/>
      <c r="BI246" s="3">
        <v>25475559</v>
      </c>
      <c r="BJ246" s="3" t="s">
        <v>1799</v>
      </c>
      <c r="BK246" s="3"/>
      <c r="BL246" s="3"/>
      <c r="BM246" s="3"/>
      <c r="BN246" s="3"/>
      <c r="BO246" s="3"/>
      <c r="BP246" s="3"/>
      <c r="BQ246" s="3"/>
      <c r="BR246" s="3"/>
      <c r="BS246" s="3"/>
      <c r="BT246" s="3"/>
      <c r="BU246" s="1" t="s">
        <v>7222</v>
      </c>
      <c r="BV246" s="2" t="s">
        <v>7188</v>
      </c>
      <c r="BW246" s="2" t="s">
        <v>7189</v>
      </c>
    </row>
    <row r="247" spans="1:75" ht="12.75" customHeight="1">
      <c r="A247" s="3" t="s">
        <v>63</v>
      </c>
      <c r="B247" s="3" t="s">
        <v>448</v>
      </c>
      <c r="C247" s="3"/>
      <c r="D247" s="3"/>
      <c r="E247" s="3"/>
      <c r="F247" s="3" t="s">
        <v>449</v>
      </c>
      <c r="G247" s="3"/>
      <c r="H247" s="3"/>
      <c r="I247" s="3" t="s">
        <v>450</v>
      </c>
      <c r="J247" s="3" t="s">
        <v>221</v>
      </c>
      <c r="K247" s="3"/>
      <c r="L247" s="3"/>
      <c r="M247" s="3"/>
      <c r="N247" s="3"/>
      <c r="O247" s="3"/>
      <c r="P247" s="3"/>
      <c r="Q247" s="3"/>
      <c r="R247" s="3"/>
      <c r="S247" s="3"/>
      <c r="T247" s="3" t="s">
        <v>451</v>
      </c>
      <c r="U247" s="3"/>
      <c r="V247" s="3"/>
      <c r="W247" s="3"/>
      <c r="X247" s="3"/>
      <c r="Y247" s="3"/>
      <c r="Z247" s="3"/>
      <c r="AA247" s="3"/>
      <c r="AB247" s="3"/>
      <c r="AC247" s="3"/>
      <c r="AD247" s="3"/>
      <c r="AE247" s="3"/>
      <c r="AF247" s="3"/>
      <c r="AG247" s="3"/>
      <c r="AH247" s="3"/>
      <c r="AI247" s="3"/>
      <c r="AJ247" s="3"/>
      <c r="AK247" s="3"/>
      <c r="AL247" s="3"/>
      <c r="AM247" s="3" t="s">
        <v>223</v>
      </c>
      <c r="AN247" s="3" t="s">
        <v>224</v>
      </c>
      <c r="AO247" s="3"/>
      <c r="AP247" s="3"/>
      <c r="AQ247" s="3"/>
      <c r="AR247" s="3" t="s">
        <v>66</v>
      </c>
      <c r="AS247" s="3">
        <v>2010</v>
      </c>
      <c r="AT247" s="3">
        <v>27</v>
      </c>
      <c r="AU247" s="3">
        <v>2</v>
      </c>
      <c r="AV247" s="3"/>
      <c r="AW247" s="3"/>
      <c r="AX247" s="3"/>
      <c r="AY247" s="3"/>
      <c r="AZ247" s="3">
        <v>141</v>
      </c>
      <c r="BA247" s="3">
        <v>161</v>
      </c>
      <c r="BB247" s="3"/>
      <c r="BC247" s="3" t="s">
        <v>452</v>
      </c>
      <c r="BD247" s="15" t="str">
        <f>HYPERLINK("http://dx.doi.org/10.1007/s10460-009-9191-z","http://dx.doi.org/10.1007/s10460-009-9191-z")</f>
        <v>http://dx.doi.org/10.1007/s10460-009-9191-z</v>
      </c>
      <c r="BE247" s="3"/>
      <c r="BF247" s="3"/>
      <c r="BG247" s="3"/>
      <c r="BH247" s="3"/>
      <c r="BI247" s="3"/>
      <c r="BJ247" s="3" t="s">
        <v>453</v>
      </c>
      <c r="BK247" s="3"/>
      <c r="BL247" s="3"/>
      <c r="BM247" s="3"/>
      <c r="BN247" s="3"/>
      <c r="BO247" s="3"/>
      <c r="BP247" s="3"/>
      <c r="BQ247" s="3"/>
      <c r="BR247" s="3"/>
      <c r="BS247" s="3"/>
      <c r="BT247" s="3"/>
      <c r="BU247" s="13" t="s">
        <v>7278</v>
      </c>
      <c r="BV247" s="2" t="s">
        <v>7188</v>
      </c>
      <c r="BW247" s="2" t="s">
        <v>7189</v>
      </c>
    </row>
    <row r="248" spans="1:75" ht="12.75" customHeight="1">
      <c r="A248" s="4" t="s">
        <v>63</v>
      </c>
      <c r="B248" s="4" t="s">
        <v>510</v>
      </c>
      <c r="C248" s="4"/>
      <c r="D248" s="4"/>
      <c r="E248" s="4"/>
      <c r="F248" s="4" t="s">
        <v>511</v>
      </c>
      <c r="G248" s="4"/>
      <c r="H248" s="4"/>
      <c r="I248" s="4" t="s">
        <v>1437</v>
      </c>
      <c r="J248" s="4" t="s">
        <v>1438</v>
      </c>
      <c r="K248" s="4"/>
      <c r="L248" s="4"/>
      <c r="M248" s="4"/>
      <c r="N248" s="4"/>
      <c r="O248" s="4"/>
      <c r="P248" s="4"/>
      <c r="Q248" s="4"/>
      <c r="R248" s="4"/>
      <c r="S248" s="4"/>
      <c r="T248" s="4" t="s">
        <v>1439</v>
      </c>
      <c r="U248" s="4"/>
      <c r="V248" s="4"/>
      <c r="W248" s="4"/>
      <c r="X248" s="4"/>
      <c r="Y248" s="4"/>
      <c r="Z248" s="4"/>
      <c r="AA248" s="4"/>
      <c r="AB248" s="4"/>
      <c r="AC248" s="4"/>
      <c r="AD248" s="4"/>
      <c r="AE248" s="4"/>
      <c r="AF248" s="4"/>
      <c r="AG248" s="4"/>
      <c r="AH248" s="4"/>
      <c r="AI248" s="4"/>
      <c r="AJ248" s="4"/>
      <c r="AK248" s="4"/>
      <c r="AL248" s="4"/>
      <c r="AM248" s="4" t="s">
        <v>1440</v>
      </c>
      <c r="AN248" s="4"/>
      <c r="AO248" s="4"/>
      <c r="AP248" s="4"/>
      <c r="AQ248" s="4"/>
      <c r="AR248" s="4"/>
      <c r="AS248" s="4">
        <v>2014</v>
      </c>
      <c r="AT248" s="4">
        <v>8</v>
      </c>
      <c r="AU248" s="4">
        <v>2</v>
      </c>
      <c r="AV248" s="4"/>
      <c r="AW248" s="4"/>
      <c r="AX248" s="4"/>
      <c r="AY248" s="4"/>
      <c r="AZ248" s="4">
        <v>207</v>
      </c>
      <c r="BA248" s="4">
        <v>228</v>
      </c>
      <c r="BB248" s="4"/>
      <c r="BC248" s="4" t="s">
        <v>1441</v>
      </c>
      <c r="BD248" s="5" t="str">
        <f>HYPERLINK("http://dx.doi.org/10.26522/ssj.v8i2.1034","http://dx.doi.org/10.26522/ssj.v8i2.1034")</f>
        <v>http://dx.doi.org/10.26522/ssj.v8i2.1034</v>
      </c>
      <c r="BE248" s="4"/>
      <c r="BF248" s="4"/>
      <c r="BG248" s="4"/>
      <c r="BH248" s="4"/>
      <c r="BI248" s="4"/>
      <c r="BJ248" s="4" t="s">
        <v>1442</v>
      </c>
      <c r="BK248" s="4"/>
      <c r="BL248" s="4"/>
      <c r="BM248" s="4"/>
      <c r="BN248" s="4"/>
      <c r="BO248" s="4"/>
      <c r="BP248" s="4"/>
      <c r="BQ248" s="4"/>
      <c r="BR248" s="4"/>
      <c r="BS248" s="4"/>
      <c r="BT248" s="4"/>
      <c r="BU248" s="12" t="s">
        <v>7249</v>
      </c>
      <c r="BV248" s="12" t="s">
        <v>2039</v>
      </c>
      <c r="BW248" s="12" t="s">
        <v>7189</v>
      </c>
    </row>
    <row r="249" spans="1:75" ht="12.75" customHeight="1">
      <c r="A249" s="4" t="s">
        <v>63</v>
      </c>
      <c r="B249" s="4" t="s">
        <v>5547</v>
      </c>
      <c r="C249" s="4"/>
      <c r="D249" s="4"/>
      <c r="E249" s="4"/>
      <c r="F249" s="4" t="s">
        <v>5548</v>
      </c>
      <c r="G249" s="4"/>
      <c r="H249" s="4"/>
      <c r="I249" s="4" t="s">
        <v>5549</v>
      </c>
      <c r="J249" s="4" t="s">
        <v>4265</v>
      </c>
      <c r="K249" s="4"/>
      <c r="L249" s="4"/>
      <c r="M249" s="4"/>
      <c r="N249" s="4"/>
      <c r="O249" s="4"/>
      <c r="P249" s="4"/>
      <c r="Q249" s="4"/>
      <c r="R249" s="4"/>
      <c r="S249" s="4"/>
      <c r="T249" s="4" t="s">
        <v>5550</v>
      </c>
      <c r="U249" s="4"/>
      <c r="V249" s="4"/>
      <c r="W249" s="4"/>
      <c r="X249" s="4"/>
      <c r="Y249" s="4" t="s">
        <v>5551</v>
      </c>
      <c r="Z249" s="4" t="s">
        <v>5552</v>
      </c>
      <c r="AA249" s="4"/>
      <c r="AB249" s="4"/>
      <c r="AC249" s="4"/>
      <c r="AD249" s="4"/>
      <c r="AE249" s="4"/>
      <c r="AF249" s="4"/>
      <c r="AG249" s="4"/>
      <c r="AH249" s="4"/>
      <c r="AI249" s="4"/>
      <c r="AJ249" s="4"/>
      <c r="AK249" s="4"/>
      <c r="AL249" s="4"/>
      <c r="AM249" s="4" t="s">
        <v>4268</v>
      </c>
      <c r="AN249" s="4" t="s">
        <v>4269</v>
      </c>
      <c r="AO249" s="4"/>
      <c r="AP249" s="4"/>
      <c r="AQ249" s="4"/>
      <c r="AR249" s="4" t="s">
        <v>5553</v>
      </c>
      <c r="AS249" s="4">
        <v>2022</v>
      </c>
      <c r="AT249" s="4">
        <v>27</v>
      </c>
      <c r="AU249" s="4">
        <v>2</v>
      </c>
      <c r="AV249" s="4"/>
      <c r="AW249" s="4"/>
      <c r="AX249" s="4"/>
      <c r="AY249" s="4"/>
      <c r="AZ249" s="4">
        <v>483</v>
      </c>
      <c r="BA249" s="4">
        <v>498</v>
      </c>
      <c r="BB249" s="4"/>
      <c r="BC249" s="4" t="s">
        <v>5554</v>
      </c>
      <c r="BD249" s="5" t="str">
        <f>HYPERLINK("http://dx.doi.org/10.1080/13557858.2019.1682525","http://dx.doi.org/10.1080/13557858.2019.1682525")</f>
        <v>http://dx.doi.org/10.1080/13557858.2019.1682525</v>
      </c>
      <c r="BE249" s="4"/>
      <c r="BF249" s="4" t="s">
        <v>4140</v>
      </c>
      <c r="BG249" s="4"/>
      <c r="BH249" s="4"/>
      <c r="BI249" s="4">
        <v>31635482</v>
      </c>
      <c r="BJ249" s="4" t="s">
        <v>5555</v>
      </c>
      <c r="BK249" s="4"/>
      <c r="BL249" s="4"/>
      <c r="BM249" s="4"/>
      <c r="BN249" s="4"/>
      <c r="BO249" s="4"/>
      <c r="BP249" s="4"/>
      <c r="BQ249" s="4"/>
      <c r="BR249" s="4"/>
      <c r="BS249" s="4"/>
      <c r="BT249" s="4"/>
      <c r="BU249" s="12" t="s">
        <v>7193</v>
      </c>
      <c r="BV249" s="12" t="s">
        <v>7188</v>
      </c>
      <c r="BW249" s="12" t="s">
        <v>7189</v>
      </c>
    </row>
    <row r="250" spans="1:75" ht="12.75" customHeight="1">
      <c r="A250" s="4" t="s">
        <v>63</v>
      </c>
      <c r="B250" s="4" t="s">
        <v>1443</v>
      </c>
      <c r="C250" s="4"/>
      <c r="D250" s="4"/>
      <c r="E250" s="4"/>
      <c r="F250" s="4" t="s">
        <v>1444</v>
      </c>
      <c r="G250" s="4"/>
      <c r="H250" s="4"/>
      <c r="I250" s="4" t="s">
        <v>1445</v>
      </c>
      <c r="J250" s="4" t="s">
        <v>1446</v>
      </c>
      <c r="K250" s="4"/>
      <c r="L250" s="4"/>
      <c r="M250" s="4"/>
      <c r="N250" s="4"/>
      <c r="O250" s="4"/>
      <c r="P250" s="4"/>
      <c r="Q250" s="4"/>
      <c r="R250" s="4"/>
      <c r="S250" s="4"/>
      <c r="T250" s="4" t="s">
        <v>1447</v>
      </c>
      <c r="U250" s="4"/>
      <c r="V250" s="4"/>
      <c r="W250" s="4"/>
      <c r="X250" s="4"/>
      <c r="Y250" s="4" t="s">
        <v>1448</v>
      </c>
      <c r="Z250" s="4"/>
      <c r="AA250" s="4"/>
      <c r="AB250" s="4"/>
      <c r="AC250" s="4"/>
      <c r="AD250" s="4"/>
      <c r="AE250" s="4"/>
      <c r="AF250" s="4"/>
      <c r="AG250" s="4"/>
      <c r="AH250" s="4"/>
      <c r="AI250" s="4"/>
      <c r="AJ250" s="4"/>
      <c r="AK250" s="4"/>
      <c r="AL250" s="4"/>
      <c r="AM250" s="4" t="s">
        <v>1449</v>
      </c>
      <c r="AN250" s="4" t="s">
        <v>1450</v>
      </c>
      <c r="AO250" s="4"/>
      <c r="AP250" s="4"/>
      <c r="AQ250" s="4"/>
      <c r="AR250" s="4"/>
      <c r="AS250" s="4">
        <v>2014</v>
      </c>
      <c r="AT250" s="4">
        <v>9</v>
      </c>
      <c r="AU250" s="4">
        <v>6</v>
      </c>
      <c r="AV250" s="4"/>
      <c r="AW250" s="4"/>
      <c r="AX250" s="4"/>
      <c r="AY250" s="4"/>
      <c r="AZ250" s="4">
        <v>605</v>
      </c>
      <c r="BA250" s="4">
        <v>614</v>
      </c>
      <c r="BB250" s="4"/>
      <c r="BC250" s="4" t="s">
        <v>1451</v>
      </c>
      <c r="BD250" s="5" t="str">
        <f>HYPERLINK("http://dx.doi.org/10.1586/17446651.2014.949241","http://dx.doi.org/10.1586/17446651.2014.949241")</f>
        <v>http://dx.doi.org/10.1586/17446651.2014.949241</v>
      </c>
      <c r="BE250" s="4"/>
      <c r="BF250" s="4"/>
      <c r="BG250" s="4"/>
      <c r="BH250" s="4"/>
      <c r="BI250" s="4">
        <v>30736198</v>
      </c>
      <c r="BJ250" s="4" t="s">
        <v>1452</v>
      </c>
      <c r="BK250" s="4"/>
      <c r="BL250" s="4"/>
      <c r="BM250" s="4"/>
      <c r="BN250" s="4"/>
      <c r="BO250" s="4"/>
      <c r="BP250" s="4"/>
      <c r="BQ250" s="4"/>
      <c r="BR250" s="4"/>
      <c r="BS250" s="4"/>
      <c r="BT250" s="4"/>
      <c r="BU250" s="12" t="s">
        <v>7330</v>
      </c>
      <c r="BV250" s="12" t="s">
        <v>7188</v>
      </c>
      <c r="BW250" s="12" t="s">
        <v>7189</v>
      </c>
    </row>
    <row r="251" spans="1:75" ht="12.75" customHeight="1">
      <c r="A251" s="4" t="s">
        <v>63</v>
      </c>
      <c r="B251" s="4" t="s">
        <v>6745</v>
      </c>
      <c r="C251" s="4"/>
      <c r="D251" s="4"/>
      <c r="E251" s="4"/>
      <c r="F251" s="4" t="s">
        <v>6746</v>
      </c>
      <c r="G251" s="4"/>
      <c r="H251" s="4"/>
      <c r="I251" s="4" t="s">
        <v>6747</v>
      </c>
      <c r="J251" s="4" t="s">
        <v>6748</v>
      </c>
      <c r="K251" s="4"/>
      <c r="L251" s="4"/>
      <c r="M251" s="4"/>
      <c r="N251" s="4"/>
      <c r="O251" s="4"/>
      <c r="P251" s="4"/>
      <c r="Q251" s="4"/>
      <c r="R251" s="4"/>
      <c r="S251" s="4"/>
      <c r="T251" s="4" t="s">
        <v>6749</v>
      </c>
      <c r="U251" s="4"/>
      <c r="V251" s="4"/>
      <c r="W251" s="4"/>
      <c r="X251" s="4"/>
      <c r="Y251" s="4" t="s">
        <v>6750</v>
      </c>
      <c r="Z251" s="4" t="s">
        <v>6751</v>
      </c>
      <c r="AA251" s="4"/>
      <c r="AB251" s="4"/>
      <c r="AC251" s="4"/>
      <c r="AD251" s="4"/>
      <c r="AE251" s="4"/>
      <c r="AF251" s="4"/>
      <c r="AG251" s="4"/>
      <c r="AH251" s="4"/>
      <c r="AI251" s="4"/>
      <c r="AJ251" s="4"/>
      <c r="AK251" s="4"/>
      <c r="AL251" s="4"/>
      <c r="AM251" s="4" t="s">
        <v>6752</v>
      </c>
      <c r="AN251" s="4"/>
      <c r="AO251" s="4"/>
      <c r="AP251" s="4"/>
      <c r="AQ251" s="4"/>
      <c r="AR251" s="4" t="s">
        <v>173</v>
      </c>
      <c r="AS251" s="4">
        <v>2024</v>
      </c>
      <c r="AT251" s="4">
        <v>176</v>
      </c>
      <c r="AU251" s="4">
        <v>1</v>
      </c>
      <c r="AV251" s="4"/>
      <c r="AW251" s="4"/>
      <c r="AX251" s="4"/>
      <c r="AY251" s="4"/>
      <c r="AZ251" s="4">
        <v>196</v>
      </c>
      <c r="BA251" s="4">
        <v>204</v>
      </c>
      <c r="BB251" s="4"/>
      <c r="BC251" s="4" t="s">
        <v>6753</v>
      </c>
      <c r="BD251" s="5" t="str">
        <f>HYPERLINK("http://dx.doi.org/10.1016/j.surg.2024.02.034","http://dx.doi.org/10.1016/j.surg.2024.02.034")</f>
        <v>http://dx.doi.org/10.1016/j.surg.2024.02.034</v>
      </c>
      <c r="BE251" s="4"/>
      <c r="BF251" s="4" t="s">
        <v>122</v>
      </c>
      <c r="BG251" s="4"/>
      <c r="BH251" s="4"/>
      <c r="BI251" s="4">
        <v>38609786</v>
      </c>
      <c r="BJ251" s="4" t="s">
        <v>6754</v>
      </c>
      <c r="BK251" s="4"/>
      <c r="BL251" s="4"/>
      <c r="BM251" s="4"/>
      <c r="BN251" s="4"/>
      <c r="BO251" s="4"/>
      <c r="BP251" s="4"/>
      <c r="BQ251" s="4"/>
      <c r="BR251" s="4"/>
      <c r="BS251" s="4"/>
      <c r="BT251" s="4"/>
      <c r="BU251" s="12" t="s">
        <v>7331</v>
      </c>
      <c r="BV251" s="12" t="s">
        <v>7188</v>
      </c>
      <c r="BW251" s="12" t="s">
        <v>7189</v>
      </c>
    </row>
    <row r="252" spans="1:75" ht="12.75" customHeight="1">
      <c r="A252" s="3" t="s">
        <v>63</v>
      </c>
      <c r="B252" s="3" t="s">
        <v>2846</v>
      </c>
      <c r="C252" s="3"/>
      <c r="D252" s="3"/>
      <c r="E252" s="3"/>
      <c r="F252" s="3" t="s">
        <v>2847</v>
      </c>
      <c r="G252" s="3"/>
      <c r="H252" s="3"/>
      <c r="I252" s="3" t="s">
        <v>2848</v>
      </c>
      <c r="J252" s="3" t="s">
        <v>396</v>
      </c>
      <c r="K252" s="3"/>
      <c r="L252" s="3"/>
      <c r="M252" s="3"/>
      <c r="N252" s="3"/>
      <c r="O252" s="3"/>
      <c r="P252" s="3"/>
      <c r="Q252" s="3"/>
      <c r="R252" s="3"/>
      <c r="S252" s="3"/>
      <c r="T252" s="3" t="s">
        <v>2849</v>
      </c>
      <c r="U252" s="3"/>
      <c r="V252" s="3"/>
      <c r="W252" s="3"/>
      <c r="X252" s="3"/>
      <c r="Y252" s="3" t="s">
        <v>2467</v>
      </c>
      <c r="Z252" s="3" t="s">
        <v>2468</v>
      </c>
      <c r="AA252" s="3"/>
      <c r="AB252" s="3"/>
      <c r="AC252" s="3"/>
      <c r="AD252" s="3"/>
      <c r="AE252" s="3"/>
      <c r="AF252" s="3"/>
      <c r="AG252" s="3"/>
      <c r="AH252" s="3"/>
      <c r="AI252" s="3"/>
      <c r="AJ252" s="3"/>
      <c r="AK252" s="3"/>
      <c r="AL252" s="3"/>
      <c r="AM252" s="3" t="s">
        <v>398</v>
      </c>
      <c r="AN252" s="3" t="s">
        <v>399</v>
      </c>
      <c r="AO252" s="3"/>
      <c r="AP252" s="3"/>
      <c r="AQ252" s="3"/>
      <c r="AR252" s="3" t="s">
        <v>67</v>
      </c>
      <c r="AS252" s="3">
        <v>2017</v>
      </c>
      <c r="AT252" s="3">
        <v>49</v>
      </c>
      <c r="AU252" s="3">
        <v>2</v>
      </c>
      <c r="AV252" s="3"/>
      <c r="AW252" s="3"/>
      <c r="AX252" s="3"/>
      <c r="AY252" s="3"/>
      <c r="AZ252" s="3">
        <v>166</v>
      </c>
      <c r="BA252" s="3" t="s">
        <v>1460</v>
      </c>
      <c r="BB252" s="3"/>
      <c r="BC252" s="3" t="s">
        <v>2850</v>
      </c>
      <c r="BD252" s="15" t="str">
        <f>HYPERLINK("http://dx.doi.org/10.1016/j.jneb.2016.10.017","http://dx.doi.org/10.1016/j.jneb.2016.10.017")</f>
        <v>http://dx.doi.org/10.1016/j.jneb.2016.10.017</v>
      </c>
      <c r="BE252" s="3"/>
      <c r="BF252" s="3"/>
      <c r="BG252" s="3"/>
      <c r="BH252" s="3"/>
      <c r="BI252" s="3">
        <v>27956000</v>
      </c>
      <c r="BJ252" s="3" t="s">
        <v>2851</v>
      </c>
      <c r="BK252" s="3"/>
      <c r="BL252" s="3"/>
      <c r="BM252" s="3"/>
      <c r="BN252" s="3"/>
      <c r="BO252" s="3"/>
      <c r="BP252" s="3"/>
      <c r="BQ252" s="3"/>
      <c r="BR252" s="3"/>
      <c r="BS252" s="3"/>
      <c r="BT252" s="3"/>
      <c r="BU252" s="1" t="s">
        <v>7203</v>
      </c>
      <c r="BV252" s="2" t="s">
        <v>7188</v>
      </c>
      <c r="BW252" s="2" t="s">
        <v>7189</v>
      </c>
    </row>
    <row r="253" spans="1:75" ht="12.75" customHeight="1">
      <c r="A253" s="6" t="s">
        <v>63</v>
      </c>
      <c r="B253" s="6" t="s">
        <v>1062</v>
      </c>
      <c r="C253" s="6"/>
      <c r="D253" s="6"/>
      <c r="E253" s="6"/>
      <c r="F253" s="6" t="s">
        <v>1063</v>
      </c>
      <c r="G253" s="6"/>
      <c r="H253" s="6"/>
      <c r="I253" s="6" t="s">
        <v>1064</v>
      </c>
      <c r="J253" s="6" t="s">
        <v>373</v>
      </c>
      <c r="K253" s="6"/>
      <c r="L253" s="6"/>
      <c r="M253" s="6"/>
      <c r="N253" s="6"/>
      <c r="O253" s="6"/>
      <c r="P253" s="6"/>
      <c r="Q253" s="6"/>
      <c r="R253" s="6"/>
      <c r="S253" s="6"/>
      <c r="T253" s="6" t="s">
        <v>1065</v>
      </c>
      <c r="U253" s="6"/>
      <c r="V253" s="6"/>
      <c r="W253" s="6"/>
      <c r="X253" s="6"/>
      <c r="Y253" s="6"/>
      <c r="Z253" s="6" t="s">
        <v>1066</v>
      </c>
      <c r="AA253" s="6"/>
      <c r="AB253" s="6"/>
      <c r="AC253" s="6"/>
      <c r="AD253" s="6"/>
      <c r="AE253" s="6"/>
      <c r="AF253" s="6"/>
      <c r="AG253" s="6"/>
      <c r="AH253" s="6"/>
      <c r="AI253" s="6"/>
      <c r="AJ253" s="6"/>
      <c r="AK253" s="6"/>
      <c r="AL253" s="6"/>
      <c r="AM253" s="6" t="s">
        <v>376</v>
      </c>
      <c r="AN253" s="6"/>
      <c r="AO253" s="6"/>
      <c r="AP253" s="6"/>
      <c r="AQ253" s="6"/>
      <c r="AR253" s="6" t="s">
        <v>78</v>
      </c>
      <c r="AS253" s="6">
        <v>2013</v>
      </c>
      <c r="AT253" s="6">
        <v>10</v>
      </c>
      <c r="AU253" s="6"/>
      <c r="AV253" s="6"/>
      <c r="AW253" s="6"/>
      <c r="AX253" s="6"/>
      <c r="AY253" s="6"/>
      <c r="AZ253" s="6"/>
      <c r="BA253" s="6"/>
      <c r="BB253" s="6">
        <v>120299</v>
      </c>
      <c r="BC253" s="6" t="s">
        <v>1067</v>
      </c>
      <c r="BD253" s="9" t="str">
        <f>HYPERLINK("http://dx.doi.org/10.5888/pcd10.120299","http://dx.doi.org/10.5888/pcd10.120299")</f>
        <v>http://dx.doi.org/10.5888/pcd10.120299</v>
      </c>
      <c r="BE253" s="6"/>
      <c r="BF253" s="6"/>
      <c r="BG253" s="6"/>
      <c r="BH253" s="6"/>
      <c r="BI253" s="6">
        <v>23639762</v>
      </c>
      <c r="BJ253" s="6" t="s">
        <v>1068</v>
      </c>
      <c r="BK253" s="6"/>
      <c r="BL253" s="6"/>
      <c r="BM253" s="6"/>
      <c r="BN253" s="6"/>
      <c r="BO253" s="6"/>
      <c r="BP253" s="6"/>
      <c r="BQ253" s="6"/>
      <c r="BR253" s="6"/>
      <c r="BS253" s="6"/>
      <c r="BT253" s="6"/>
      <c r="BU253" s="8" t="s">
        <v>7271</v>
      </c>
      <c r="BV253" s="8" t="s">
        <v>7188</v>
      </c>
      <c r="BW253" s="8" t="s">
        <v>7189</v>
      </c>
    </row>
    <row r="254" spans="1:75" ht="12.75" customHeight="1">
      <c r="A254" s="4" t="s">
        <v>63</v>
      </c>
      <c r="B254" s="4" t="s">
        <v>4883</v>
      </c>
      <c r="C254" s="4"/>
      <c r="D254" s="4"/>
      <c r="E254" s="4"/>
      <c r="F254" s="4" t="s">
        <v>4884</v>
      </c>
      <c r="G254" s="4"/>
      <c r="H254" s="4"/>
      <c r="I254" s="4" t="s">
        <v>4885</v>
      </c>
      <c r="J254" s="4" t="s">
        <v>423</v>
      </c>
      <c r="K254" s="4"/>
      <c r="L254" s="4"/>
      <c r="M254" s="4"/>
      <c r="N254" s="4"/>
      <c r="O254" s="4"/>
      <c r="P254" s="4"/>
      <c r="Q254" s="4"/>
      <c r="R254" s="4"/>
      <c r="S254" s="4"/>
      <c r="T254" s="4" t="s">
        <v>4886</v>
      </c>
      <c r="U254" s="4"/>
      <c r="V254" s="4"/>
      <c r="W254" s="4"/>
      <c r="X254" s="4"/>
      <c r="Y254" s="4" t="s">
        <v>1059</v>
      </c>
      <c r="Z254" s="4" t="s">
        <v>4887</v>
      </c>
      <c r="AA254" s="4"/>
      <c r="AB254" s="4"/>
      <c r="AC254" s="4"/>
      <c r="AD254" s="4"/>
      <c r="AE254" s="4"/>
      <c r="AF254" s="4"/>
      <c r="AG254" s="4"/>
      <c r="AH254" s="4"/>
      <c r="AI254" s="4"/>
      <c r="AJ254" s="4"/>
      <c r="AK254" s="4"/>
      <c r="AL254" s="4"/>
      <c r="AM254" s="4" t="s">
        <v>427</v>
      </c>
      <c r="AN254" s="4" t="s">
        <v>428</v>
      </c>
      <c r="AO254" s="4"/>
      <c r="AP254" s="4"/>
      <c r="AQ254" s="4"/>
      <c r="AR254" s="4" t="s">
        <v>1561</v>
      </c>
      <c r="AS254" s="4">
        <v>2021</v>
      </c>
      <c r="AT254" s="4">
        <v>16</v>
      </c>
      <c r="AU254" s="4">
        <v>1</v>
      </c>
      <c r="AV254" s="4"/>
      <c r="AW254" s="4"/>
      <c r="AX254" s="4"/>
      <c r="AY254" s="4"/>
      <c r="AZ254" s="4">
        <v>82</v>
      </c>
      <c r="BA254" s="4">
        <v>94</v>
      </c>
      <c r="BB254" s="4"/>
      <c r="BC254" s="4" t="s">
        <v>4888</v>
      </c>
      <c r="BD254" s="5" t="str">
        <f>HYPERLINK("http://dx.doi.org/10.1080/19320248.2020.1826379","http://dx.doi.org/10.1080/19320248.2020.1826379")</f>
        <v>http://dx.doi.org/10.1080/19320248.2020.1826379</v>
      </c>
      <c r="BE254" s="4"/>
      <c r="BF254" s="4" t="s">
        <v>4889</v>
      </c>
      <c r="BG254" s="4"/>
      <c r="BH254" s="4"/>
      <c r="BI254" s="4"/>
      <c r="BJ254" s="4" t="s">
        <v>4890</v>
      </c>
      <c r="BK254" s="4"/>
      <c r="BL254" s="4"/>
      <c r="BM254" s="4"/>
      <c r="BN254" s="4"/>
      <c r="BO254" s="4"/>
      <c r="BP254" s="4"/>
      <c r="BQ254" s="4"/>
      <c r="BR254" s="4"/>
      <c r="BS254" s="4"/>
      <c r="BT254" s="4"/>
      <c r="BU254" s="12" t="s">
        <v>7331</v>
      </c>
      <c r="BV254" s="12" t="s">
        <v>7188</v>
      </c>
      <c r="BW254" s="12" t="s">
        <v>7189</v>
      </c>
    </row>
    <row r="255" spans="1:75" ht="13.5" customHeight="1">
      <c r="A255" s="6" t="s">
        <v>63</v>
      </c>
      <c r="B255" s="6" t="s">
        <v>100</v>
      </c>
      <c r="C255" s="6"/>
      <c r="D255" s="6"/>
      <c r="E255" s="6"/>
      <c r="F255" s="6" t="s">
        <v>100</v>
      </c>
      <c r="G255" s="6"/>
      <c r="H255" s="6"/>
      <c r="I255" s="6" t="s">
        <v>101</v>
      </c>
      <c r="J255" s="6" t="s">
        <v>102</v>
      </c>
      <c r="K255" s="6"/>
      <c r="L255" s="6"/>
      <c r="M255" s="6"/>
      <c r="N255" s="6"/>
      <c r="O255" s="6"/>
      <c r="P255" s="6"/>
      <c r="Q255" s="6"/>
      <c r="R255" s="6"/>
      <c r="S255" s="6"/>
      <c r="T255" s="6" t="s">
        <v>103</v>
      </c>
      <c r="U255" s="6"/>
      <c r="V255" s="6"/>
      <c r="W255" s="6"/>
      <c r="X255" s="6"/>
      <c r="Y255" s="6" t="s">
        <v>104</v>
      </c>
      <c r="Z255" s="6" t="s">
        <v>105</v>
      </c>
      <c r="AA255" s="6"/>
      <c r="AB255" s="6"/>
      <c r="AC255" s="6"/>
      <c r="AD255" s="6"/>
      <c r="AE255" s="6"/>
      <c r="AF255" s="6"/>
      <c r="AG255" s="6"/>
      <c r="AH255" s="6"/>
      <c r="AI255" s="6"/>
      <c r="AJ255" s="6"/>
      <c r="AK255" s="6"/>
      <c r="AL255" s="6"/>
      <c r="AM255" s="6" t="s">
        <v>106</v>
      </c>
      <c r="AN255" s="6"/>
      <c r="AO255" s="6"/>
      <c r="AP255" s="6"/>
      <c r="AQ255" s="6"/>
      <c r="AR255" s="6" t="s">
        <v>107</v>
      </c>
      <c r="AS255" s="6">
        <v>2002</v>
      </c>
      <c r="AT255" s="6">
        <v>325</v>
      </c>
      <c r="AU255" s="6">
        <v>7361</v>
      </c>
      <c r="AV255" s="6"/>
      <c r="AW255" s="6"/>
      <c r="AX255" s="6"/>
      <c r="AY255" s="6"/>
      <c r="AZ255" s="6">
        <v>436</v>
      </c>
      <c r="BA255" s="6">
        <v>438</v>
      </c>
      <c r="BB255" s="6"/>
      <c r="BC255" s="6" t="s">
        <v>108</v>
      </c>
      <c r="BD255" s="9" t="str">
        <f>HYPERLINK("http://dx.doi.org/10.1136/bmj.325.7361.436","http://dx.doi.org/10.1136/bmj.325.7361.436")</f>
        <v>http://dx.doi.org/10.1136/bmj.325.7361.436</v>
      </c>
      <c r="BE255" s="6"/>
      <c r="BF255" s="6"/>
      <c r="BG255" s="6"/>
      <c r="BH255" s="6"/>
      <c r="BI255" s="6">
        <v>12193363</v>
      </c>
      <c r="BJ255" s="6" t="s">
        <v>109</v>
      </c>
      <c r="BK255" s="6"/>
      <c r="BL255" s="6"/>
      <c r="BM255" s="6"/>
      <c r="BN255" s="6"/>
      <c r="BO255" s="6"/>
      <c r="BP255" s="6"/>
      <c r="BQ255" s="6"/>
      <c r="BR255" s="6"/>
      <c r="BS255" s="6"/>
      <c r="BT255" s="6"/>
      <c r="BU255" s="8" t="s">
        <v>7209</v>
      </c>
      <c r="BV255" s="8" t="s">
        <v>7209</v>
      </c>
      <c r="BW255" s="12" t="s">
        <v>7209</v>
      </c>
    </row>
    <row r="256" spans="1:75" ht="12.75" customHeight="1">
      <c r="A256" s="4" t="s">
        <v>63</v>
      </c>
      <c r="B256" s="4" t="s">
        <v>3324</v>
      </c>
      <c r="C256" s="4"/>
      <c r="D256" s="4"/>
      <c r="E256" s="4"/>
      <c r="F256" s="4" t="s">
        <v>3325</v>
      </c>
      <c r="G256" s="4"/>
      <c r="H256" s="4"/>
      <c r="I256" s="4" t="s">
        <v>3326</v>
      </c>
      <c r="J256" s="4" t="s">
        <v>3327</v>
      </c>
      <c r="K256" s="4"/>
      <c r="L256" s="4"/>
      <c r="M256" s="4"/>
      <c r="N256" s="4"/>
      <c r="O256" s="4"/>
      <c r="P256" s="4"/>
      <c r="Q256" s="4"/>
      <c r="R256" s="4"/>
      <c r="S256" s="4"/>
      <c r="T256" s="4" t="s">
        <v>3328</v>
      </c>
      <c r="U256" s="4"/>
      <c r="V256" s="4"/>
      <c r="W256" s="4"/>
      <c r="X256" s="4"/>
      <c r="Y256" s="4"/>
      <c r="Z256" s="4" t="s">
        <v>3329</v>
      </c>
      <c r="AA256" s="4"/>
      <c r="AB256" s="4"/>
      <c r="AC256" s="4"/>
      <c r="AD256" s="4"/>
      <c r="AE256" s="4"/>
      <c r="AF256" s="4"/>
      <c r="AG256" s="4"/>
      <c r="AH256" s="4"/>
      <c r="AI256" s="4"/>
      <c r="AJ256" s="4"/>
      <c r="AK256" s="4"/>
      <c r="AL256" s="4"/>
      <c r="AM256" s="4" t="s">
        <v>3330</v>
      </c>
      <c r="AN256" s="4"/>
      <c r="AO256" s="4"/>
      <c r="AP256" s="4"/>
      <c r="AQ256" s="4"/>
      <c r="AR256" s="4" t="s">
        <v>3331</v>
      </c>
      <c r="AS256" s="4">
        <v>2018</v>
      </c>
      <c r="AT256" s="4">
        <v>7</v>
      </c>
      <c r="AU256" s="4"/>
      <c r="AV256" s="4"/>
      <c r="AW256" s="4"/>
      <c r="AX256" s="4"/>
      <c r="AY256" s="4"/>
      <c r="AZ256" s="4"/>
      <c r="BA256" s="4"/>
      <c r="BB256" s="4" t="s">
        <v>3332</v>
      </c>
      <c r="BC256" s="4" t="s">
        <v>3333</v>
      </c>
      <c r="BD256" s="5" t="str">
        <f>HYPERLINK("http://dx.doi.org/10.1017/jns.2018.5","http://dx.doi.org/10.1017/jns.2018.5")</f>
        <v>http://dx.doi.org/10.1017/jns.2018.5</v>
      </c>
      <c r="BE256" s="4"/>
      <c r="BF256" s="4"/>
      <c r="BG256" s="4"/>
      <c r="BH256" s="4"/>
      <c r="BI256" s="4">
        <v>29686863</v>
      </c>
      <c r="BJ256" s="4" t="s">
        <v>3334</v>
      </c>
      <c r="BK256" s="4"/>
      <c r="BL256" s="4"/>
      <c r="BM256" s="4"/>
      <c r="BN256" s="4"/>
      <c r="BO256" s="4"/>
      <c r="BP256" s="4"/>
      <c r="BQ256" s="4"/>
      <c r="BR256" s="4"/>
      <c r="BS256" s="4"/>
      <c r="BT256" s="4"/>
      <c r="BU256" s="12" t="s">
        <v>7332</v>
      </c>
      <c r="BV256" s="12" t="s">
        <v>7188</v>
      </c>
      <c r="BW256" s="12" t="s">
        <v>7189</v>
      </c>
    </row>
    <row r="257" spans="1:75" ht="12.75" customHeight="1">
      <c r="A257" s="3" t="s">
        <v>63</v>
      </c>
      <c r="B257" s="3" t="s">
        <v>6755</v>
      </c>
      <c r="C257" s="3"/>
      <c r="D257" s="3"/>
      <c r="E257" s="3"/>
      <c r="F257" s="3" t="s">
        <v>6756</v>
      </c>
      <c r="G257" s="3"/>
      <c r="H257" s="3"/>
      <c r="I257" s="3" t="s">
        <v>6757</v>
      </c>
      <c r="J257" s="3" t="s">
        <v>1633</v>
      </c>
      <c r="K257" s="3"/>
      <c r="L257" s="3"/>
      <c r="M257" s="3"/>
      <c r="N257" s="3"/>
      <c r="O257" s="3"/>
      <c r="P257" s="3"/>
      <c r="Q257" s="3"/>
      <c r="R257" s="3"/>
      <c r="S257" s="3"/>
      <c r="T257" s="3" t="s">
        <v>6758</v>
      </c>
      <c r="U257" s="3"/>
      <c r="V257" s="3"/>
      <c r="W257" s="3"/>
      <c r="X257" s="3"/>
      <c r="Y257" s="3" t="s">
        <v>6759</v>
      </c>
      <c r="Z257" s="3" t="s">
        <v>6760</v>
      </c>
      <c r="AA257" s="3"/>
      <c r="AB257" s="3"/>
      <c r="AC257" s="3"/>
      <c r="AD257" s="3"/>
      <c r="AE257" s="3"/>
      <c r="AF257" s="3"/>
      <c r="AG257" s="3"/>
      <c r="AH257" s="3"/>
      <c r="AI257" s="3"/>
      <c r="AJ257" s="3"/>
      <c r="AK257" s="3"/>
      <c r="AL257" s="3"/>
      <c r="AM257" s="3" t="s">
        <v>1636</v>
      </c>
      <c r="AN257" s="3" t="s">
        <v>1637</v>
      </c>
      <c r="AO257" s="3"/>
      <c r="AP257" s="3"/>
      <c r="AQ257" s="3"/>
      <c r="AR257" s="3" t="s">
        <v>67</v>
      </c>
      <c r="AS257" s="3">
        <v>2024</v>
      </c>
      <c r="AT257" s="3">
        <v>39</v>
      </c>
      <c r="AU257" s="3">
        <v>2</v>
      </c>
      <c r="AV257" s="3"/>
      <c r="AW257" s="3"/>
      <c r="AX257" s="3"/>
      <c r="AY257" s="3"/>
      <c r="AZ257" s="3">
        <v>176</v>
      </c>
      <c r="BA257" s="3">
        <v>185</v>
      </c>
      <c r="BB257" s="3"/>
      <c r="BC257" s="3" t="s">
        <v>6761</v>
      </c>
      <c r="BD257" s="15" t="str">
        <f>HYPERLINK("http://dx.doi.org/10.1007/s11606-023-08335-9","http://dx.doi.org/10.1007/s11606-023-08335-9")</f>
        <v>http://dx.doi.org/10.1007/s11606-023-08335-9</v>
      </c>
      <c r="BE257" s="3"/>
      <c r="BF257" s="3" t="s">
        <v>6048</v>
      </c>
      <c r="BG257" s="3"/>
      <c r="BH257" s="3"/>
      <c r="BI257" s="3">
        <v>37507552</v>
      </c>
      <c r="BJ257" s="3" t="s">
        <v>6762</v>
      </c>
      <c r="BK257" s="3"/>
      <c r="BL257" s="3"/>
      <c r="BM257" s="3"/>
      <c r="BN257" s="3"/>
      <c r="BO257" s="3"/>
      <c r="BP257" s="3"/>
      <c r="BQ257" s="3"/>
      <c r="BR257" s="3"/>
      <c r="BS257" s="3"/>
      <c r="BT257" s="3"/>
      <c r="BU257" s="2" t="s">
        <v>7201</v>
      </c>
      <c r="BV257" s="2" t="s">
        <v>7188</v>
      </c>
      <c r="BW257" s="2" t="s">
        <v>7189</v>
      </c>
    </row>
    <row r="258" spans="1:75" ht="12.75" customHeight="1">
      <c r="A258" s="4" t="s">
        <v>63</v>
      </c>
      <c r="B258" s="4" t="s">
        <v>3718</v>
      </c>
      <c r="C258" s="4"/>
      <c r="D258" s="4"/>
      <c r="E258" s="4"/>
      <c r="F258" s="4" t="s">
        <v>3719</v>
      </c>
      <c r="G258" s="4"/>
      <c r="H258" s="4"/>
      <c r="I258" s="4" t="s">
        <v>3720</v>
      </c>
      <c r="J258" s="4" t="s">
        <v>3721</v>
      </c>
      <c r="K258" s="4"/>
      <c r="L258" s="4"/>
      <c r="M258" s="4"/>
      <c r="N258" s="4"/>
      <c r="O258" s="4"/>
      <c r="P258" s="4"/>
      <c r="Q258" s="4"/>
      <c r="R258" s="4"/>
      <c r="S258" s="4"/>
      <c r="T258" s="4" t="s">
        <v>3722</v>
      </c>
      <c r="U258" s="4"/>
      <c r="V258" s="4"/>
      <c r="W258" s="4"/>
      <c r="X258" s="4"/>
      <c r="Y258" s="4"/>
      <c r="Z258" s="4"/>
      <c r="AA258" s="4"/>
      <c r="AB258" s="4"/>
      <c r="AC258" s="4"/>
      <c r="AD258" s="4"/>
      <c r="AE258" s="4"/>
      <c r="AF258" s="4"/>
      <c r="AG258" s="4"/>
      <c r="AH258" s="4"/>
      <c r="AI258" s="4"/>
      <c r="AJ258" s="4"/>
      <c r="AK258" s="4"/>
      <c r="AL258" s="4"/>
      <c r="AM258" s="4"/>
      <c r="AN258" s="4" t="s">
        <v>3723</v>
      </c>
      <c r="AO258" s="4"/>
      <c r="AP258" s="4"/>
      <c r="AQ258" s="4"/>
      <c r="AR258" s="4" t="s">
        <v>68</v>
      </c>
      <c r="AS258" s="4">
        <v>2019</v>
      </c>
      <c r="AT258" s="4">
        <v>11</v>
      </c>
      <c r="AU258" s="4">
        <v>4</v>
      </c>
      <c r="AV258" s="4"/>
      <c r="AW258" s="4"/>
      <c r="AX258" s="4"/>
      <c r="AY258" s="4"/>
      <c r="AZ258" s="4"/>
      <c r="BA258" s="4"/>
      <c r="BB258" s="4">
        <v>816</v>
      </c>
      <c r="BC258" s="4" t="s">
        <v>3724</v>
      </c>
      <c r="BD258" s="5" t="str">
        <f>HYPERLINK("http://dx.doi.org/10.3390/nu11040816","http://dx.doi.org/10.3390/nu11040816")</f>
        <v>http://dx.doi.org/10.3390/nu11040816</v>
      </c>
      <c r="BE258" s="4"/>
      <c r="BF258" s="4"/>
      <c r="BG258" s="4"/>
      <c r="BH258" s="4"/>
      <c r="BI258" s="4">
        <v>30978944</v>
      </c>
      <c r="BJ258" s="4" t="s">
        <v>3725</v>
      </c>
      <c r="BK258" s="4"/>
      <c r="BL258" s="4"/>
      <c r="BM258" s="4"/>
      <c r="BN258" s="4"/>
      <c r="BO258" s="4"/>
      <c r="BP258" s="4"/>
      <c r="BQ258" s="4"/>
      <c r="BR258" s="4"/>
      <c r="BS258" s="4"/>
      <c r="BT258" s="4"/>
      <c r="BU258" s="12" t="s">
        <v>7203</v>
      </c>
      <c r="BV258" s="12" t="s">
        <v>7188</v>
      </c>
      <c r="BW258" s="12" t="s">
        <v>7189</v>
      </c>
    </row>
    <row r="259" spans="1:75" ht="12.75" customHeight="1">
      <c r="A259" s="3" t="s">
        <v>63</v>
      </c>
      <c r="B259" s="3" t="s">
        <v>3726</v>
      </c>
      <c r="C259" s="3"/>
      <c r="D259" s="3"/>
      <c r="E259" s="3"/>
      <c r="F259" s="3" t="s">
        <v>3727</v>
      </c>
      <c r="G259" s="3"/>
      <c r="H259" s="3"/>
      <c r="I259" s="3" t="s">
        <v>3728</v>
      </c>
      <c r="J259" s="3" t="s">
        <v>3729</v>
      </c>
      <c r="K259" s="3"/>
      <c r="L259" s="3"/>
      <c r="M259" s="3"/>
      <c r="N259" s="3"/>
      <c r="O259" s="3"/>
      <c r="P259" s="3"/>
      <c r="Q259" s="3"/>
      <c r="R259" s="3"/>
      <c r="S259" s="3"/>
      <c r="T259" s="3" t="s">
        <v>3730</v>
      </c>
      <c r="U259" s="3"/>
      <c r="V259" s="3"/>
      <c r="W259" s="3"/>
      <c r="X259" s="3"/>
      <c r="Y259" s="3" t="s">
        <v>3731</v>
      </c>
      <c r="Z259" s="3" t="s">
        <v>3732</v>
      </c>
      <c r="AA259" s="3"/>
      <c r="AB259" s="3"/>
      <c r="AC259" s="3"/>
      <c r="AD259" s="3"/>
      <c r="AE259" s="3"/>
      <c r="AF259" s="3"/>
      <c r="AG259" s="3"/>
      <c r="AH259" s="3"/>
      <c r="AI259" s="3"/>
      <c r="AJ259" s="3"/>
      <c r="AK259" s="3"/>
      <c r="AL259" s="3"/>
      <c r="AM259" s="3" t="s">
        <v>3733</v>
      </c>
      <c r="AN259" s="3" t="s">
        <v>3734</v>
      </c>
      <c r="AO259" s="3"/>
      <c r="AP259" s="3"/>
      <c r="AQ259" s="3"/>
      <c r="AR259" s="3" t="s">
        <v>3735</v>
      </c>
      <c r="AS259" s="3">
        <v>2019</v>
      </c>
      <c r="AT259" s="3">
        <v>123</v>
      </c>
      <c r="AU259" s="3">
        <v>2</v>
      </c>
      <c r="AV259" s="3"/>
      <c r="AW259" s="3"/>
      <c r="AX259" s="3"/>
      <c r="AY259" s="3"/>
      <c r="AZ259" s="3">
        <v>291</v>
      </c>
      <c r="BA259" s="3">
        <v>296</v>
      </c>
      <c r="BB259" s="3"/>
      <c r="BC259" s="3" t="s">
        <v>3736</v>
      </c>
      <c r="BD259" s="15" t="str">
        <f>HYPERLINK("http://dx.doi.org/10.1016/j.amjcard.2018.10.004","http://dx.doi.org/10.1016/j.amjcard.2018.10.004")</f>
        <v>http://dx.doi.org/10.1016/j.amjcard.2018.10.004</v>
      </c>
      <c r="BE259" s="3"/>
      <c r="BF259" s="3"/>
      <c r="BG259" s="3"/>
      <c r="BH259" s="3"/>
      <c r="BI259" s="3">
        <v>30442360</v>
      </c>
      <c r="BJ259" s="3" t="s">
        <v>3737</v>
      </c>
      <c r="BK259" s="3"/>
      <c r="BL259" s="3"/>
      <c r="BM259" s="3"/>
      <c r="BN259" s="3"/>
      <c r="BO259" s="3"/>
      <c r="BP259" s="3"/>
      <c r="BQ259" s="3"/>
      <c r="BR259" s="3"/>
      <c r="BS259" s="3"/>
      <c r="BT259" s="3"/>
      <c r="BU259" s="1" t="s">
        <v>7323</v>
      </c>
      <c r="BV259" s="2" t="s">
        <v>7188</v>
      </c>
      <c r="BW259" s="2" t="s">
        <v>7189</v>
      </c>
    </row>
    <row r="260" spans="1:75" ht="12.75" customHeight="1">
      <c r="A260" s="3" t="s">
        <v>63</v>
      </c>
      <c r="B260" s="3" t="s">
        <v>6763</v>
      </c>
      <c r="C260" s="3"/>
      <c r="D260" s="3"/>
      <c r="E260" s="3"/>
      <c r="F260" s="3" t="s">
        <v>6764</v>
      </c>
      <c r="G260" s="3"/>
      <c r="H260" s="3"/>
      <c r="I260" s="3" t="s">
        <v>6765</v>
      </c>
      <c r="J260" s="3" t="s">
        <v>6766</v>
      </c>
      <c r="K260" s="3"/>
      <c r="L260" s="3"/>
      <c r="M260" s="3"/>
      <c r="N260" s="3"/>
      <c r="O260" s="3"/>
      <c r="P260" s="3"/>
      <c r="Q260" s="3"/>
      <c r="R260" s="3"/>
      <c r="S260" s="3"/>
      <c r="T260" s="3" t="s">
        <v>6767</v>
      </c>
      <c r="U260" s="3"/>
      <c r="V260" s="3"/>
      <c r="W260" s="3"/>
      <c r="X260" s="3"/>
      <c r="Y260" s="3"/>
      <c r="Z260" s="3" t="s">
        <v>6768</v>
      </c>
      <c r="AA260" s="3"/>
      <c r="AB260" s="3"/>
      <c r="AC260" s="3"/>
      <c r="AD260" s="3"/>
      <c r="AE260" s="3"/>
      <c r="AF260" s="3"/>
      <c r="AG260" s="3"/>
      <c r="AH260" s="3"/>
      <c r="AI260" s="3"/>
      <c r="AJ260" s="3"/>
      <c r="AK260" s="3"/>
      <c r="AL260" s="3"/>
      <c r="AM260" s="3" t="s">
        <v>6769</v>
      </c>
      <c r="AN260" s="3" t="s">
        <v>6770</v>
      </c>
      <c r="AO260" s="3"/>
      <c r="AP260" s="3"/>
      <c r="AQ260" s="3"/>
      <c r="AR260" s="3" t="s">
        <v>67</v>
      </c>
      <c r="AS260" s="3">
        <v>2024</v>
      </c>
      <c r="AT260" s="3">
        <v>82</v>
      </c>
      <c r="AU260" s="3">
        <v>2</v>
      </c>
      <c r="AV260" s="3"/>
      <c r="AW260" s="3"/>
      <c r="AX260" s="3"/>
      <c r="AY260" s="3"/>
      <c r="AZ260" s="3">
        <v>191</v>
      </c>
      <c r="BA260" s="3">
        <v>198</v>
      </c>
      <c r="BB260" s="3"/>
      <c r="BC260" s="3" t="s">
        <v>6771</v>
      </c>
      <c r="BD260" s="15" t="str">
        <f>HYPERLINK("http://dx.doi.org/10.1016/j.joms.2023.10.009","http://dx.doi.org/10.1016/j.joms.2023.10.009")</f>
        <v>http://dx.doi.org/10.1016/j.joms.2023.10.009</v>
      </c>
      <c r="BE260" s="3"/>
      <c r="BF260" s="3" t="s">
        <v>6637</v>
      </c>
      <c r="BG260" s="3"/>
      <c r="BH260" s="3"/>
      <c r="BI260" s="3">
        <v>37980938</v>
      </c>
      <c r="BJ260" s="3" t="s">
        <v>6772</v>
      </c>
      <c r="BK260" s="3"/>
      <c r="BL260" s="3"/>
      <c r="BM260" s="3"/>
      <c r="BN260" s="3"/>
      <c r="BO260" s="3"/>
      <c r="BP260" s="3"/>
      <c r="BQ260" s="3"/>
      <c r="BR260" s="3"/>
      <c r="BS260" s="3"/>
      <c r="BT260" s="3"/>
      <c r="BU260" s="1" t="s">
        <v>7215</v>
      </c>
      <c r="BV260" s="2" t="s">
        <v>7188</v>
      </c>
      <c r="BW260" s="2" t="s">
        <v>7189</v>
      </c>
    </row>
    <row r="261" spans="1:75" ht="12.75" customHeight="1">
      <c r="A261" s="4" t="s">
        <v>201</v>
      </c>
      <c r="B261" s="4" t="s">
        <v>202</v>
      </c>
      <c r="C261" s="4"/>
      <c r="D261" s="4" t="s">
        <v>203</v>
      </c>
      <c r="E261" s="4"/>
      <c r="F261" s="4" t="s">
        <v>204</v>
      </c>
      <c r="G261" s="4"/>
      <c r="H261" s="4"/>
      <c r="I261" s="4" t="s">
        <v>205</v>
      </c>
      <c r="J261" s="4" t="s">
        <v>206</v>
      </c>
      <c r="K261" s="4" t="s">
        <v>207</v>
      </c>
      <c r="L261" s="4"/>
      <c r="M261" s="4"/>
      <c r="N261" s="4" t="s">
        <v>208</v>
      </c>
      <c r="O261" s="4" t="s">
        <v>209</v>
      </c>
      <c r="P261" s="4" t="s">
        <v>210</v>
      </c>
      <c r="Q261" s="4"/>
      <c r="R261" s="4"/>
      <c r="S261" s="4"/>
      <c r="T261" s="4" t="s">
        <v>211</v>
      </c>
      <c r="U261" s="4"/>
      <c r="V261" s="4"/>
      <c r="W261" s="4"/>
      <c r="X261" s="4"/>
      <c r="Y261" s="4" t="s">
        <v>212</v>
      </c>
      <c r="Z261" s="4" t="s">
        <v>213</v>
      </c>
      <c r="AA261" s="4"/>
      <c r="AB261" s="4"/>
      <c r="AC261" s="4"/>
      <c r="AD261" s="4"/>
      <c r="AE261" s="4"/>
      <c r="AF261" s="4"/>
      <c r="AG261" s="4"/>
      <c r="AH261" s="4"/>
      <c r="AI261" s="4"/>
      <c r="AJ261" s="4"/>
      <c r="AK261" s="4"/>
      <c r="AL261" s="4"/>
      <c r="AM261" s="4" t="s">
        <v>214</v>
      </c>
      <c r="AN261" s="4"/>
      <c r="AO261" s="4" t="s">
        <v>215</v>
      </c>
      <c r="AP261" s="4"/>
      <c r="AQ261" s="4"/>
      <c r="AR261" s="4"/>
      <c r="AS261" s="4">
        <v>2006</v>
      </c>
      <c r="AT261" s="4">
        <v>89</v>
      </c>
      <c r="AU261" s="4"/>
      <c r="AV261" s="4"/>
      <c r="AW261" s="4"/>
      <c r="AX261" s="4"/>
      <c r="AY261" s="4"/>
      <c r="AZ261" s="4">
        <v>61</v>
      </c>
      <c r="BA261" s="4">
        <v>70</v>
      </c>
      <c r="BB261" s="4"/>
      <c r="BC261" s="4" t="s">
        <v>216</v>
      </c>
      <c r="BD261" s="5" t="str">
        <f>HYPERLINK("http://dx.doi.org/10.2945/UT060071","http://dx.doi.org/10.2945/UT060071")</f>
        <v>http://dx.doi.org/10.2945/UT060071</v>
      </c>
      <c r="BE261" s="4"/>
      <c r="BF261" s="4"/>
      <c r="BG261" s="4"/>
      <c r="BH261" s="4"/>
      <c r="BI261" s="4"/>
      <c r="BJ261" s="4" t="s">
        <v>217</v>
      </c>
      <c r="BK261" s="4"/>
      <c r="BL261" s="4"/>
      <c r="BM261" s="4"/>
      <c r="BN261" s="4"/>
      <c r="BO261" s="4"/>
      <c r="BP261" s="4"/>
      <c r="BQ261" s="4"/>
      <c r="BR261" s="4"/>
      <c r="BS261" s="4"/>
      <c r="BT261" s="4"/>
      <c r="BU261" s="12" t="s">
        <v>7331</v>
      </c>
      <c r="BV261" s="12" t="s">
        <v>7214</v>
      </c>
      <c r="BW261" s="12" t="s">
        <v>7205</v>
      </c>
    </row>
    <row r="262" spans="1:75" ht="12.75" customHeight="1">
      <c r="A262" s="4" t="s">
        <v>63</v>
      </c>
      <c r="B262" s="4" t="s">
        <v>291</v>
      </c>
      <c r="C262" s="4"/>
      <c r="D262" s="4"/>
      <c r="E262" s="4"/>
      <c r="F262" s="4" t="s">
        <v>292</v>
      </c>
      <c r="G262" s="4"/>
      <c r="H262" s="4"/>
      <c r="I262" s="4" t="s">
        <v>293</v>
      </c>
      <c r="J262" s="4" t="s">
        <v>294</v>
      </c>
      <c r="K262" s="4"/>
      <c r="L262" s="4"/>
      <c r="M262" s="4"/>
      <c r="N262" s="4"/>
      <c r="O262" s="4"/>
      <c r="P262" s="4"/>
      <c r="Q262" s="4"/>
      <c r="R262" s="4"/>
      <c r="S262" s="4"/>
      <c r="T262" s="4" t="s">
        <v>295</v>
      </c>
      <c r="U262" s="4"/>
      <c r="V262" s="4"/>
      <c r="W262" s="4"/>
      <c r="X262" s="4"/>
      <c r="Y262" s="4" t="s">
        <v>296</v>
      </c>
      <c r="Z262" s="4" t="s">
        <v>297</v>
      </c>
      <c r="AA262" s="4"/>
      <c r="AB262" s="4"/>
      <c r="AC262" s="4"/>
      <c r="AD262" s="4"/>
      <c r="AE262" s="4"/>
      <c r="AF262" s="4"/>
      <c r="AG262" s="4"/>
      <c r="AH262" s="4"/>
      <c r="AI262" s="4"/>
      <c r="AJ262" s="4"/>
      <c r="AK262" s="4"/>
      <c r="AL262" s="4"/>
      <c r="AM262" s="4" t="s">
        <v>298</v>
      </c>
      <c r="AN262" s="4"/>
      <c r="AO262" s="4"/>
      <c r="AP262" s="4"/>
      <c r="AQ262" s="4"/>
      <c r="AR262" s="4" t="s">
        <v>92</v>
      </c>
      <c r="AS262" s="4">
        <v>2008</v>
      </c>
      <c r="AT262" s="4">
        <v>21</v>
      </c>
      <c r="AU262" s="4">
        <v>5</v>
      </c>
      <c r="AV262" s="4"/>
      <c r="AW262" s="4"/>
      <c r="AX262" s="4"/>
      <c r="AY262" s="4"/>
      <c r="AZ262" s="4">
        <v>428</v>
      </c>
      <c r="BA262" s="4">
        <v>437</v>
      </c>
      <c r="BB262" s="4"/>
      <c r="BC262" s="4" t="s">
        <v>299</v>
      </c>
      <c r="BD262" s="5" t="str">
        <f>HYPERLINK("http://dx.doi.org/10.1111/j.1365-277X.2008.00894.x","http://dx.doi.org/10.1111/j.1365-277X.2008.00894.x")</f>
        <v>http://dx.doi.org/10.1111/j.1365-277X.2008.00894.x</v>
      </c>
      <c r="BE262" s="4"/>
      <c r="BF262" s="4"/>
      <c r="BG262" s="4"/>
      <c r="BH262" s="4"/>
      <c r="BI262" s="4">
        <v>18647211</v>
      </c>
      <c r="BJ262" s="4" t="s">
        <v>300</v>
      </c>
      <c r="BK262" s="4"/>
      <c r="BL262" s="4"/>
      <c r="BM262" s="4"/>
      <c r="BN262" s="4"/>
      <c r="BO262" s="4"/>
      <c r="BP262" s="4"/>
      <c r="BQ262" s="4"/>
      <c r="BR262" s="4"/>
      <c r="BS262" s="4"/>
      <c r="BT262" s="4"/>
      <c r="BU262" s="12" t="s">
        <v>7333</v>
      </c>
      <c r="BV262" s="12" t="s">
        <v>7214</v>
      </c>
      <c r="BW262" s="12" t="s">
        <v>7205</v>
      </c>
    </row>
    <row r="263" spans="1:75" ht="12.75" customHeight="1">
      <c r="A263" s="4" t="s">
        <v>63</v>
      </c>
      <c r="B263" s="4" t="s">
        <v>6196</v>
      </c>
      <c r="C263" s="4"/>
      <c r="D263" s="4"/>
      <c r="E263" s="4"/>
      <c r="F263" s="4" t="s">
        <v>6197</v>
      </c>
      <c r="G263" s="4"/>
      <c r="H263" s="4"/>
      <c r="I263" s="4" t="s">
        <v>6198</v>
      </c>
      <c r="J263" s="4" t="s">
        <v>4256</v>
      </c>
      <c r="K263" s="4"/>
      <c r="L263" s="4"/>
      <c r="M263" s="4"/>
      <c r="N263" s="4"/>
      <c r="O263" s="4"/>
      <c r="P263" s="4"/>
      <c r="Q263" s="4"/>
      <c r="R263" s="4"/>
      <c r="S263" s="4"/>
      <c r="T263" s="4" t="s">
        <v>6199</v>
      </c>
      <c r="U263" s="4"/>
      <c r="V263" s="4"/>
      <c r="W263" s="4"/>
      <c r="X263" s="4"/>
      <c r="Y263" s="4" t="s">
        <v>6200</v>
      </c>
      <c r="Z263" s="4" t="s">
        <v>6201</v>
      </c>
      <c r="AA263" s="4"/>
      <c r="AB263" s="4"/>
      <c r="AC263" s="4"/>
      <c r="AD263" s="4"/>
      <c r="AE263" s="4"/>
      <c r="AF263" s="4"/>
      <c r="AG263" s="4"/>
      <c r="AH263" s="4"/>
      <c r="AI263" s="4"/>
      <c r="AJ263" s="4"/>
      <c r="AK263" s="4"/>
      <c r="AL263" s="4"/>
      <c r="AM263" s="4" t="s">
        <v>4258</v>
      </c>
      <c r="AN263" s="4" t="s">
        <v>4259</v>
      </c>
      <c r="AO263" s="4"/>
      <c r="AP263" s="4"/>
      <c r="AQ263" s="4"/>
      <c r="AR263" s="4" t="s">
        <v>67</v>
      </c>
      <c r="AS263" s="4">
        <v>2023</v>
      </c>
      <c r="AT263" s="4">
        <v>89</v>
      </c>
      <c r="AU263" s="4"/>
      <c r="AV263" s="4"/>
      <c r="AW263" s="4"/>
      <c r="AX263" s="4"/>
      <c r="AY263" s="4"/>
      <c r="AZ263" s="4"/>
      <c r="BA263" s="4"/>
      <c r="BB263" s="4">
        <v>104354</v>
      </c>
      <c r="BC263" s="4" t="s">
        <v>6202</v>
      </c>
      <c r="BD263" s="5" t="str">
        <f>HYPERLINK("http://dx.doi.org/10.1016/j.scs.2022.104354","http://dx.doi.org/10.1016/j.scs.2022.104354")</f>
        <v>http://dx.doi.org/10.1016/j.scs.2022.104354</v>
      </c>
      <c r="BE263" s="4"/>
      <c r="BF263" s="4" t="s">
        <v>6203</v>
      </c>
      <c r="BG263" s="4"/>
      <c r="BH263" s="4"/>
      <c r="BI263" s="4"/>
      <c r="BJ263" s="4" t="s">
        <v>6204</v>
      </c>
      <c r="BK263" s="4"/>
      <c r="BL263" s="4"/>
      <c r="BM263" s="4"/>
      <c r="BN263" s="4"/>
      <c r="BO263" s="4"/>
      <c r="BP263" s="4"/>
      <c r="BQ263" s="4"/>
      <c r="BR263" s="4"/>
      <c r="BS263" s="4"/>
      <c r="BT263" s="4"/>
      <c r="BU263" s="12" t="s">
        <v>7334</v>
      </c>
      <c r="BV263" s="12" t="s">
        <v>7188</v>
      </c>
      <c r="BW263" s="12" t="s">
        <v>7189</v>
      </c>
    </row>
    <row r="264" spans="1:75" ht="12.75" customHeight="1">
      <c r="A264" s="4" t="s">
        <v>63</v>
      </c>
      <c r="B264" s="4" t="s">
        <v>1800</v>
      </c>
      <c r="C264" s="4"/>
      <c r="D264" s="4"/>
      <c r="E264" s="4"/>
      <c r="F264" s="4" t="s">
        <v>1801</v>
      </c>
      <c r="G264" s="4"/>
      <c r="H264" s="4"/>
      <c r="I264" s="4" t="s">
        <v>1802</v>
      </c>
      <c r="J264" s="4" t="s">
        <v>396</v>
      </c>
      <c r="K264" s="4"/>
      <c r="L264" s="4"/>
      <c r="M264" s="4"/>
      <c r="N264" s="4"/>
      <c r="O264" s="4"/>
      <c r="P264" s="4"/>
      <c r="Q264" s="4"/>
      <c r="R264" s="4"/>
      <c r="S264" s="4"/>
      <c r="T264" s="4" t="s">
        <v>1803</v>
      </c>
      <c r="U264" s="4"/>
      <c r="V264" s="4"/>
      <c r="W264" s="4"/>
      <c r="X264" s="4"/>
      <c r="Y264" s="4"/>
      <c r="Z264" s="4"/>
      <c r="AA264" s="4"/>
      <c r="AB264" s="4"/>
      <c r="AC264" s="4"/>
      <c r="AD264" s="4"/>
      <c r="AE264" s="4"/>
      <c r="AF264" s="4"/>
      <c r="AG264" s="4"/>
      <c r="AH264" s="4"/>
      <c r="AI264" s="4"/>
      <c r="AJ264" s="4"/>
      <c r="AK264" s="4"/>
      <c r="AL264" s="4"/>
      <c r="AM264" s="4" t="s">
        <v>398</v>
      </c>
      <c r="AN264" s="4" t="s">
        <v>399</v>
      </c>
      <c r="AO264" s="4"/>
      <c r="AP264" s="4"/>
      <c r="AQ264" s="4"/>
      <c r="AR264" s="4" t="s">
        <v>400</v>
      </c>
      <c r="AS264" s="4">
        <v>2015</v>
      </c>
      <c r="AT264" s="4">
        <v>47</v>
      </c>
      <c r="AU264" s="4">
        <v>3</v>
      </c>
      <c r="AV264" s="4"/>
      <c r="AW264" s="4"/>
      <c r="AX264" s="4"/>
      <c r="AY264" s="4"/>
      <c r="AZ264" s="4">
        <v>259</v>
      </c>
      <c r="BA264" s="4">
        <v>264</v>
      </c>
      <c r="BB264" s="4"/>
      <c r="BC264" s="4" t="s">
        <v>1804</v>
      </c>
      <c r="BD264" s="5" t="str">
        <f>HYPERLINK("http://dx.doi.org/10.1016/j.jneb.2015.01.005","http://dx.doi.org/10.1016/j.jneb.2015.01.005")</f>
        <v>http://dx.doi.org/10.1016/j.jneb.2015.01.005</v>
      </c>
      <c r="BE264" s="4"/>
      <c r="BF264" s="4"/>
      <c r="BG264" s="4"/>
      <c r="BH264" s="4"/>
      <c r="BI264" s="4">
        <v>25959448</v>
      </c>
      <c r="BJ264" s="4" t="s">
        <v>1805</v>
      </c>
      <c r="BK264" s="4"/>
      <c r="BL264" s="4"/>
      <c r="BM264" s="4"/>
      <c r="BN264" s="4"/>
      <c r="BO264" s="4"/>
      <c r="BP264" s="4"/>
      <c r="BQ264" s="4"/>
      <c r="BR264" s="4"/>
      <c r="BS264" s="4"/>
      <c r="BT264" s="4"/>
      <c r="BU264" s="12" t="s">
        <v>7222</v>
      </c>
      <c r="BV264" s="12" t="s">
        <v>7188</v>
      </c>
      <c r="BW264" s="12" t="s">
        <v>7189</v>
      </c>
    </row>
    <row r="265" spans="1:75" ht="12.75" customHeight="1">
      <c r="A265" s="4" t="s">
        <v>63</v>
      </c>
      <c r="B265" s="4" t="s">
        <v>1806</v>
      </c>
      <c r="C265" s="4"/>
      <c r="D265" s="4"/>
      <c r="E265" s="4"/>
      <c r="F265" s="4" t="s">
        <v>1807</v>
      </c>
      <c r="G265" s="4"/>
      <c r="H265" s="4"/>
      <c r="I265" s="4" t="s">
        <v>1808</v>
      </c>
      <c r="J265" s="4" t="s">
        <v>696</v>
      </c>
      <c r="K265" s="4"/>
      <c r="L265" s="4"/>
      <c r="M265" s="4"/>
      <c r="N265" s="4"/>
      <c r="O265" s="4"/>
      <c r="P265" s="4"/>
      <c r="Q265" s="4"/>
      <c r="R265" s="4"/>
      <c r="S265" s="4"/>
      <c r="T265" s="4" t="s">
        <v>1809</v>
      </c>
      <c r="U265" s="4"/>
      <c r="V265" s="4"/>
      <c r="W265" s="4"/>
      <c r="X265" s="4"/>
      <c r="Y265" s="4" t="s">
        <v>1810</v>
      </c>
      <c r="Z265" s="4" t="s">
        <v>1811</v>
      </c>
      <c r="AA265" s="4"/>
      <c r="AB265" s="4"/>
      <c r="AC265" s="4"/>
      <c r="AD265" s="4"/>
      <c r="AE265" s="4"/>
      <c r="AF265" s="4"/>
      <c r="AG265" s="4"/>
      <c r="AH265" s="4"/>
      <c r="AI265" s="4"/>
      <c r="AJ265" s="4"/>
      <c r="AK265" s="4"/>
      <c r="AL265" s="4"/>
      <c r="AM265" s="4" t="s">
        <v>698</v>
      </c>
      <c r="AN265" s="4"/>
      <c r="AO265" s="4"/>
      <c r="AP265" s="4"/>
      <c r="AQ265" s="4"/>
      <c r="AR265" s="4" t="s">
        <v>64</v>
      </c>
      <c r="AS265" s="4">
        <v>2015</v>
      </c>
      <c r="AT265" s="4">
        <v>34</v>
      </c>
      <c r="AU265" s="4">
        <v>11</v>
      </c>
      <c r="AV265" s="4"/>
      <c r="AW265" s="4"/>
      <c r="AX265" s="4"/>
      <c r="AY265" s="4"/>
      <c r="AZ265" s="4">
        <v>1858</v>
      </c>
      <c r="BA265" s="4">
        <v>1868</v>
      </c>
      <c r="BB265" s="4"/>
      <c r="BC265" s="4" t="s">
        <v>1812</v>
      </c>
      <c r="BD265" s="5" t="str">
        <f>HYPERLINK("http://dx.doi.org/10.1377/hlthaff.2015.0667","http://dx.doi.org/10.1377/hlthaff.2015.0667")</f>
        <v>http://dx.doi.org/10.1377/hlthaff.2015.0667</v>
      </c>
      <c r="BE265" s="4"/>
      <c r="BF265" s="4"/>
      <c r="BG265" s="4"/>
      <c r="BH265" s="4"/>
      <c r="BI265" s="4">
        <v>26526243</v>
      </c>
      <c r="BJ265" s="4" t="s">
        <v>1813</v>
      </c>
      <c r="BK265" s="4"/>
      <c r="BL265" s="4"/>
      <c r="BM265" s="4"/>
      <c r="BN265" s="4"/>
      <c r="BO265" s="4"/>
      <c r="BP265" s="4"/>
      <c r="BQ265" s="4"/>
      <c r="BR265" s="4"/>
      <c r="BS265" s="4"/>
      <c r="BT265" s="4"/>
      <c r="BU265" s="12" t="s">
        <v>7222</v>
      </c>
      <c r="BV265" s="12" t="s">
        <v>7188</v>
      </c>
      <c r="BW265" s="12" t="s">
        <v>7189</v>
      </c>
    </row>
    <row r="266" spans="1:75" ht="12.75" customHeight="1">
      <c r="A266" s="6" t="s">
        <v>63</v>
      </c>
      <c r="B266" s="6" t="s">
        <v>1814</v>
      </c>
      <c r="C266" s="6"/>
      <c r="D266" s="6"/>
      <c r="E266" s="6"/>
      <c r="F266" s="6" t="s">
        <v>1815</v>
      </c>
      <c r="G266" s="6"/>
      <c r="H266" s="6"/>
      <c r="I266" s="6" t="s">
        <v>1816</v>
      </c>
      <c r="J266" s="6" t="s">
        <v>1817</v>
      </c>
      <c r="K266" s="6"/>
      <c r="L266" s="6"/>
      <c r="M266" s="6"/>
      <c r="N266" s="6"/>
      <c r="O266" s="6"/>
      <c r="P266" s="6"/>
      <c r="Q266" s="6"/>
      <c r="R266" s="6"/>
      <c r="S266" s="6"/>
      <c r="T266" s="6" t="s">
        <v>1818</v>
      </c>
      <c r="U266" s="6"/>
      <c r="V266" s="6"/>
      <c r="W266" s="6"/>
      <c r="X266" s="6"/>
      <c r="Y266" s="6" t="s">
        <v>1819</v>
      </c>
      <c r="Z266" s="6" t="s">
        <v>1820</v>
      </c>
      <c r="AA266" s="6"/>
      <c r="AB266" s="6"/>
      <c r="AC266" s="6"/>
      <c r="AD266" s="6"/>
      <c r="AE266" s="6"/>
      <c r="AF266" s="6"/>
      <c r="AG266" s="6"/>
      <c r="AH266" s="6"/>
      <c r="AI266" s="6"/>
      <c r="AJ266" s="6"/>
      <c r="AK266" s="6"/>
      <c r="AL266" s="6"/>
      <c r="AM266" s="6" t="s">
        <v>1821</v>
      </c>
      <c r="AN266" s="6" t="s">
        <v>1822</v>
      </c>
      <c r="AO266" s="6"/>
      <c r="AP266" s="6"/>
      <c r="AQ266" s="6"/>
      <c r="AR266" s="6" t="s">
        <v>66</v>
      </c>
      <c r="AS266" s="6">
        <v>2015</v>
      </c>
      <c r="AT266" s="6">
        <v>17</v>
      </c>
      <c r="AU266" s="6">
        <v>2</v>
      </c>
      <c r="AV266" s="6"/>
      <c r="AW266" s="6"/>
      <c r="AX266" s="6"/>
      <c r="AY266" s="6"/>
      <c r="AZ266" s="6">
        <v>102</v>
      </c>
      <c r="BA266" s="6">
        <v>133</v>
      </c>
      <c r="BB266" s="6"/>
      <c r="BC266" s="6" t="s">
        <v>1823</v>
      </c>
      <c r="BD266" s="9" t="str">
        <f>HYPERLINK("http://dx.doi.org/10.1017/S1466046614000544","http://dx.doi.org/10.1017/S1466046614000544")</f>
        <v>http://dx.doi.org/10.1017/S1466046614000544</v>
      </c>
      <c r="BE266" s="6"/>
      <c r="BF266" s="6"/>
      <c r="BG266" s="6"/>
      <c r="BH266" s="6"/>
      <c r="BI266" s="6"/>
      <c r="BJ266" s="6" t="s">
        <v>1824</v>
      </c>
      <c r="BK266" s="6"/>
      <c r="BL266" s="6"/>
      <c r="BM266" s="6"/>
      <c r="BN266" s="6"/>
      <c r="BO266" s="6"/>
      <c r="BP266" s="6"/>
      <c r="BQ266" s="6"/>
      <c r="BR266" s="6"/>
      <c r="BS266" s="6"/>
      <c r="BT266" s="6"/>
      <c r="BU266" s="8" t="s">
        <v>7206</v>
      </c>
      <c r="BV266" s="8" t="s">
        <v>7188</v>
      </c>
      <c r="BW266" s="8" t="s">
        <v>7189</v>
      </c>
    </row>
    <row r="267" spans="1:75" ht="12.75" customHeight="1">
      <c r="A267" s="3" t="s">
        <v>63</v>
      </c>
      <c r="B267" s="3" t="s">
        <v>2274</v>
      </c>
      <c r="C267" s="3"/>
      <c r="D267" s="3"/>
      <c r="E267" s="3"/>
      <c r="F267" s="3" t="s">
        <v>2275</v>
      </c>
      <c r="G267" s="3"/>
      <c r="H267" s="3"/>
      <c r="I267" s="3" t="s">
        <v>2276</v>
      </c>
      <c r="J267" s="3" t="s">
        <v>2277</v>
      </c>
      <c r="K267" s="3"/>
      <c r="L267" s="3"/>
      <c r="M267" s="3"/>
      <c r="N267" s="3"/>
      <c r="O267" s="3"/>
      <c r="P267" s="3"/>
      <c r="Q267" s="3"/>
      <c r="R267" s="3"/>
      <c r="S267" s="3"/>
      <c r="T267" s="3" t="s">
        <v>2278</v>
      </c>
      <c r="U267" s="3"/>
      <c r="V267" s="3"/>
      <c r="W267" s="3"/>
      <c r="X267" s="3"/>
      <c r="Y267" s="3" t="s">
        <v>2279</v>
      </c>
      <c r="Z267" s="3" t="s">
        <v>2280</v>
      </c>
      <c r="AA267" s="3"/>
      <c r="AB267" s="3"/>
      <c r="AC267" s="3"/>
      <c r="AD267" s="3"/>
      <c r="AE267" s="3"/>
      <c r="AF267" s="3"/>
      <c r="AG267" s="3"/>
      <c r="AH267" s="3"/>
      <c r="AI267" s="3"/>
      <c r="AJ267" s="3"/>
      <c r="AK267" s="3"/>
      <c r="AL267" s="3"/>
      <c r="AM267" s="3" t="s">
        <v>2281</v>
      </c>
      <c r="AN267" s="3"/>
      <c r="AO267" s="3"/>
      <c r="AP267" s="3"/>
      <c r="AQ267" s="3"/>
      <c r="AR267" s="3"/>
      <c r="AS267" s="3">
        <v>2016</v>
      </c>
      <c r="AT267" s="3">
        <v>3</v>
      </c>
      <c r="AU267" s="3">
        <v>4</v>
      </c>
      <c r="AV267" s="3"/>
      <c r="AW267" s="3"/>
      <c r="AX267" s="3" t="s">
        <v>569</v>
      </c>
      <c r="AY267" s="3"/>
      <c r="AZ267" s="3">
        <v>722</v>
      </c>
      <c r="BA267" s="3">
        <v>732</v>
      </c>
      <c r="BB267" s="3"/>
      <c r="BC267" s="3" t="s">
        <v>2282</v>
      </c>
      <c r="BD267" s="15" t="str">
        <f>HYPERLINK("http://dx.doi.org/10.3934/publichealth.2016.4.722","http://dx.doi.org/10.3934/publichealth.2016.4.722")</f>
        <v>http://dx.doi.org/10.3934/publichealth.2016.4.722</v>
      </c>
      <c r="BE267" s="3"/>
      <c r="BF267" s="3"/>
      <c r="BG267" s="3"/>
      <c r="BH267" s="3"/>
      <c r="BI267" s="3">
        <v>29546191</v>
      </c>
      <c r="BJ267" s="3" t="s">
        <v>2283</v>
      </c>
      <c r="BK267" s="3"/>
      <c r="BL267" s="3"/>
      <c r="BM267" s="3"/>
      <c r="BN267" s="3"/>
      <c r="BO267" s="3"/>
      <c r="BP267" s="3"/>
      <c r="BQ267" s="3"/>
      <c r="BR267" s="3"/>
      <c r="BS267" s="3"/>
      <c r="BT267" s="3"/>
      <c r="BU267" s="13" t="s">
        <v>7246</v>
      </c>
      <c r="BV267" s="2" t="s">
        <v>7188</v>
      </c>
      <c r="BW267" s="2" t="s">
        <v>7189</v>
      </c>
    </row>
    <row r="268" spans="1:75" ht="12.75" customHeight="1">
      <c r="A268" s="6" t="s">
        <v>63</v>
      </c>
      <c r="B268" s="6" t="s">
        <v>110</v>
      </c>
      <c r="C268" s="6"/>
      <c r="D268" s="6"/>
      <c r="E268" s="6"/>
      <c r="F268" s="6" t="s">
        <v>110</v>
      </c>
      <c r="G268" s="6"/>
      <c r="H268" s="6"/>
      <c r="I268" s="6" t="s">
        <v>111</v>
      </c>
      <c r="J268" s="6" t="s">
        <v>87</v>
      </c>
      <c r="K268" s="6"/>
      <c r="L268" s="6"/>
      <c r="M268" s="6"/>
      <c r="N268" s="6"/>
      <c r="O268" s="6"/>
      <c r="P268" s="6"/>
      <c r="Q268" s="6"/>
      <c r="R268" s="6"/>
      <c r="S268" s="6"/>
      <c r="T268" s="6" t="s">
        <v>112</v>
      </c>
      <c r="U268" s="6"/>
      <c r="V268" s="6"/>
      <c r="W268" s="6"/>
      <c r="X268" s="6"/>
      <c r="Y268" s="6" t="s">
        <v>89</v>
      </c>
      <c r="Z268" s="6" t="s">
        <v>90</v>
      </c>
      <c r="AA268" s="6"/>
      <c r="AB268" s="6"/>
      <c r="AC268" s="6"/>
      <c r="AD268" s="6"/>
      <c r="AE268" s="6"/>
      <c r="AF268" s="6"/>
      <c r="AG268" s="6"/>
      <c r="AH268" s="6"/>
      <c r="AI268" s="6"/>
      <c r="AJ268" s="6"/>
      <c r="AK268" s="6"/>
      <c r="AL268" s="6"/>
      <c r="AM268" s="6" t="s">
        <v>91</v>
      </c>
      <c r="AN268" s="6" t="s">
        <v>113</v>
      </c>
      <c r="AO268" s="6"/>
      <c r="AP268" s="6"/>
      <c r="AQ268" s="6"/>
      <c r="AR268" s="6" t="s">
        <v>92</v>
      </c>
      <c r="AS268" s="6">
        <v>2002</v>
      </c>
      <c r="AT268" s="6">
        <v>39</v>
      </c>
      <c r="AU268" s="6">
        <v>11</v>
      </c>
      <c r="AV268" s="6"/>
      <c r="AW268" s="6"/>
      <c r="AX268" s="6"/>
      <c r="AY268" s="6"/>
      <c r="AZ268" s="6">
        <v>2029</v>
      </c>
      <c r="BA268" s="6">
        <v>2040</v>
      </c>
      <c r="BB268" s="6"/>
      <c r="BC268" s="6" t="s">
        <v>114</v>
      </c>
      <c r="BD268" s="9" t="str">
        <f>HYPERLINK("http://dx.doi.org/10.1080/0042098022000011344","http://dx.doi.org/10.1080/0042098022000011344")</f>
        <v>http://dx.doi.org/10.1080/0042098022000011344</v>
      </c>
      <c r="BE268" s="6"/>
      <c r="BF268" s="6"/>
      <c r="BG268" s="6"/>
      <c r="BH268" s="6"/>
      <c r="BI268" s="6"/>
      <c r="BJ268" s="6" t="s">
        <v>115</v>
      </c>
      <c r="BK268" s="6"/>
      <c r="BL268" s="6"/>
      <c r="BM268" s="6"/>
      <c r="BN268" s="6"/>
      <c r="BO268" s="6"/>
      <c r="BP268" s="6"/>
      <c r="BQ268" s="6"/>
      <c r="BR268" s="6"/>
      <c r="BS268" s="6"/>
      <c r="BT268" s="6"/>
      <c r="BU268" s="8" t="s">
        <v>7193</v>
      </c>
      <c r="BV268" s="8" t="s">
        <v>7214</v>
      </c>
      <c r="BW268" s="8" t="s">
        <v>7205</v>
      </c>
    </row>
    <row r="269" spans="1:75" ht="12.75" customHeight="1">
      <c r="A269" s="4" t="s">
        <v>63</v>
      </c>
      <c r="B269" s="4" t="s">
        <v>2852</v>
      </c>
      <c r="C269" s="4"/>
      <c r="D269" s="4"/>
      <c r="E269" s="4"/>
      <c r="F269" s="4" t="s">
        <v>2853</v>
      </c>
      <c r="G269" s="4"/>
      <c r="H269" s="4"/>
      <c r="I269" s="4" t="s">
        <v>2854</v>
      </c>
      <c r="J269" s="4" t="s">
        <v>1142</v>
      </c>
      <c r="K269" s="4"/>
      <c r="L269" s="4"/>
      <c r="M269" s="4"/>
      <c r="N269" s="4"/>
      <c r="O269" s="4"/>
      <c r="P269" s="4"/>
      <c r="Q269" s="4"/>
      <c r="R269" s="4"/>
      <c r="S269" s="4"/>
      <c r="T269" s="4" t="s">
        <v>2855</v>
      </c>
      <c r="U269" s="4"/>
      <c r="V269" s="4"/>
      <c r="W269" s="4"/>
      <c r="X269" s="4"/>
      <c r="Y269" s="4"/>
      <c r="Z269" s="4" t="s">
        <v>2856</v>
      </c>
      <c r="AA269" s="4"/>
      <c r="AB269" s="4"/>
      <c r="AC269" s="4"/>
      <c r="AD269" s="4"/>
      <c r="AE269" s="4"/>
      <c r="AF269" s="4"/>
      <c r="AG269" s="4"/>
      <c r="AH269" s="4"/>
      <c r="AI269" s="4"/>
      <c r="AJ269" s="4"/>
      <c r="AK269" s="4"/>
      <c r="AL269" s="4"/>
      <c r="AM269" s="4"/>
      <c r="AN269" s="4" t="s">
        <v>1144</v>
      </c>
      <c r="AO269" s="4"/>
      <c r="AP269" s="4"/>
      <c r="AQ269" s="4"/>
      <c r="AR269" s="4" t="s">
        <v>121</v>
      </c>
      <c r="AS269" s="4">
        <v>2017</v>
      </c>
      <c r="AT269" s="4">
        <v>14</v>
      </c>
      <c r="AU269" s="4">
        <v>8</v>
      </c>
      <c r="AV269" s="4"/>
      <c r="AW269" s="4"/>
      <c r="AX269" s="4"/>
      <c r="AY269" s="4"/>
      <c r="AZ269" s="4"/>
      <c r="BA269" s="4"/>
      <c r="BB269" s="4">
        <v>915</v>
      </c>
      <c r="BC269" s="4" t="s">
        <v>2857</v>
      </c>
      <c r="BD269" s="5" t="str">
        <f>HYPERLINK("http://dx.doi.org/10.3390/ijerph14080915","http://dx.doi.org/10.3390/ijerph14080915")</f>
        <v>http://dx.doi.org/10.3390/ijerph14080915</v>
      </c>
      <c r="BE269" s="4"/>
      <c r="BF269" s="4"/>
      <c r="BG269" s="4"/>
      <c r="BH269" s="4"/>
      <c r="BI269" s="4">
        <v>28809795</v>
      </c>
      <c r="BJ269" s="4" t="s">
        <v>2858</v>
      </c>
      <c r="BK269" s="4"/>
      <c r="BL269" s="4"/>
      <c r="BM269" s="4"/>
      <c r="BN269" s="4"/>
      <c r="BO269" s="4"/>
      <c r="BP269" s="4"/>
      <c r="BQ269" s="4"/>
      <c r="BR269" s="4"/>
      <c r="BS269" s="4"/>
      <c r="BT269" s="4"/>
      <c r="BU269" s="12" t="s">
        <v>7278</v>
      </c>
      <c r="BV269" s="12" t="s">
        <v>7188</v>
      </c>
      <c r="BW269" s="12" t="s">
        <v>7189</v>
      </c>
    </row>
    <row r="270" spans="1:75" ht="12.75" customHeight="1">
      <c r="A270" s="4" t="s">
        <v>63</v>
      </c>
      <c r="B270" s="4" t="s">
        <v>3738</v>
      </c>
      <c r="C270" s="4"/>
      <c r="D270" s="4"/>
      <c r="E270" s="4"/>
      <c r="F270" s="4" t="s">
        <v>3739</v>
      </c>
      <c r="G270" s="4"/>
      <c r="H270" s="4"/>
      <c r="I270" s="4" t="s">
        <v>3740</v>
      </c>
      <c r="J270" s="4" t="s">
        <v>1558</v>
      </c>
      <c r="K270" s="4"/>
      <c r="L270" s="4"/>
      <c r="M270" s="4"/>
      <c r="N270" s="4"/>
      <c r="O270" s="4"/>
      <c r="P270" s="4"/>
      <c r="Q270" s="4"/>
      <c r="R270" s="4"/>
      <c r="S270" s="4"/>
      <c r="T270" s="4" t="s">
        <v>3741</v>
      </c>
      <c r="U270" s="4"/>
      <c r="V270" s="4"/>
      <c r="W270" s="4"/>
      <c r="X270" s="4"/>
      <c r="Y270" s="4"/>
      <c r="Z270" s="4" t="s">
        <v>3742</v>
      </c>
      <c r="AA270" s="4"/>
      <c r="AB270" s="4"/>
      <c r="AC270" s="4"/>
      <c r="AD270" s="4"/>
      <c r="AE270" s="4"/>
      <c r="AF270" s="4"/>
      <c r="AG270" s="4"/>
      <c r="AH270" s="4"/>
      <c r="AI270" s="4"/>
      <c r="AJ270" s="4"/>
      <c r="AK270" s="4"/>
      <c r="AL270" s="4"/>
      <c r="AM270" s="4" t="s">
        <v>1559</v>
      </c>
      <c r="AN270" s="4" t="s">
        <v>1560</v>
      </c>
      <c r="AO270" s="4"/>
      <c r="AP270" s="4"/>
      <c r="AQ270" s="4"/>
      <c r="AR270" s="4" t="s">
        <v>1561</v>
      </c>
      <c r="AS270" s="4">
        <v>2019</v>
      </c>
      <c r="AT270" s="4">
        <v>58</v>
      </c>
      <c r="AU270" s="4">
        <v>1</v>
      </c>
      <c r="AV270" s="4"/>
      <c r="AW270" s="4"/>
      <c r="AX270" s="4"/>
      <c r="AY270" s="4"/>
      <c r="AZ270" s="4">
        <v>3</v>
      </c>
      <c r="BA270" s="4">
        <v>22</v>
      </c>
      <c r="BB270" s="4"/>
      <c r="BC270" s="4" t="s">
        <v>3743</v>
      </c>
      <c r="BD270" s="5" t="str">
        <f>HYPERLINK("http://dx.doi.org/10.1080/03670244.2018.1553778","http://dx.doi.org/10.1080/03670244.2018.1553778")</f>
        <v>http://dx.doi.org/10.1080/03670244.2018.1553778</v>
      </c>
      <c r="BE270" s="4"/>
      <c r="BF270" s="4"/>
      <c r="BG270" s="4"/>
      <c r="BH270" s="4"/>
      <c r="BI270" s="4">
        <v>30522356</v>
      </c>
      <c r="BJ270" s="4" t="s">
        <v>3744</v>
      </c>
      <c r="BK270" s="4"/>
      <c r="BL270" s="4"/>
      <c r="BM270" s="4"/>
      <c r="BN270" s="4"/>
      <c r="BO270" s="4"/>
      <c r="BP270" s="4"/>
      <c r="BQ270" s="4"/>
      <c r="BR270" s="4"/>
      <c r="BS270" s="4"/>
      <c r="BT270" s="4"/>
      <c r="BU270" s="12" t="s">
        <v>7335</v>
      </c>
      <c r="BV270" s="12" t="s">
        <v>7188</v>
      </c>
      <c r="BW270" s="12" t="s">
        <v>7189</v>
      </c>
    </row>
    <row r="271" spans="1:75" ht="12.75" customHeight="1">
      <c r="A271" s="4" t="s">
        <v>63</v>
      </c>
      <c r="B271" s="4" t="s">
        <v>2284</v>
      </c>
      <c r="C271" s="4"/>
      <c r="D271" s="4"/>
      <c r="E271" s="4"/>
      <c r="F271" s="4" t="s">
        <v>2285</v>
      </c>
      <c r="G271" s="4"/>
      <c r="H271" s="4"/>
      <c r="I271" s="4" t="s">
        <v>2286</v>
      </c>
      <c r="J271" s="4" t="s">
        <v>2287</v>
      </c>
      <c r="K271" s="4"/>
      <c r="L271" s="4"/>
      <c r="M271" s="4"/>
      <c r="N271" s="4"/>
      <c r="O271" s="4"/>
      <c r="P271" s="4"/>
      <c r="Q271" s="4"/>
      <c r="R271" s="4"/>
      <c r="S271" s="4"/>
      <c r="T271" s="4" t="s">
        <v>2288</v>
      </c>
      <c r="U271" s="4"/>
      <c r="V271" s="4"/>
      <c r="W271" s="4"/>
      <c r="X271" s="4"/>
      <c r="Y271" s="4" t="s">
        <v>2289</v>
      </c>
      <c r="Z271" s="4" t="s">
        <v>2290</v>
      </c>
      <c r="AA271" s="4"/>
      <c r="AB271" s="4"/>
      <c r="AC271" s="4"/>
      <c r="AD271" s="4"/>
      <c r="AE271" s="4"/>
      <c r="AF271" s="4"/>
      <c r="AG271" s="4"/>
      <c r="AH271" s="4"/>
      <c r="AI271" s="4"/>
      <c r="AJ271" s="4"/>
      <c r="AK271" s="4"/>
      <c r="AL271" s="4"/>
      <c r="AM271" s="4" t="s">
        <v>2291</v>
      </c>
      <c r="AN271" s="4" t="s">
        <v>2292</v>
      </c>
      <c r="AO271" s="4"/>
      <c r="AP271" s="4"/>
      <c r="AQ271" s="4"/>
      <c r="AR271" s="4" t="s">
        <v>2293</v>
      </c>
      <c r="AS271" s="4">
        <v>2016</v>
      </c>
      <c r="AT271" s="4">
        <v>31</v>
      </c>
      <c r="AU271" s="4">
        <v>2</v>
      </c>
      <c r="AV271" s="4"/>
      <c r="AW271" s="4"/>
      <c r="AX271" s="4"/>
      <c r="AY271" s="4"/>
      <c r="AZ271" s="4">
        <v>242</v>
      </c>
      <c r="BA271" s="4">
        <v>255</v>
      </c>
      <c r="BB271" s="4"/>
      <c r="BC271" s="4" t="s">
        <v>2294</v>
      </c>
      <c r="BD271" s="5" t="str">
        <f>HYPERLINK("http://dx.doi.org/10.1080/10410236.2014.998913","http://dx.doi.org/10.1080/10410236.2014.998913")</f>
        <v>http://dx.doi.org/10.1080/10410236.2014.998913</v>
      </c>
      <c r="BE271" s="4"/>
      <c r="BF271" s="4"/>
      <c r="BG271" s="4"/>
      <c r="BH271" s="4"/>
      <c r="BI271" s="4">
        <v>26086340</v>
      </c>
      <c r="BJ271" s="4" t="s">
        <v>2295</v>
      </c>
      <c r="BK271" s="4"/>
      <c r="BL271" s="4"/>
      <c r="BM271" s="4"/>
      <c r="BN271" s="4"/>
      <c r="BO271" s="4"/>
      <c r="BP271" s="4"/>
      <c r="BQ271" s="4"/>
      <c r="BR271" s="4"/>
      <c r="BS271" s="4"/>
      <c r="BT271" s="4"/>
      <c r="BU271" s="12" t="s">
        <v>7193</v>
      </c>
      <c r="BV271" s="12" t="s">
        <v>7188</v>
      </c>
      <c r="BW271" s="12" t="s">
        <v>7189</v>
      </c>
    </row>
    <row r="272" spans="1:75" ht="12.75" customHeight="1">
      <c r="A272" s="4" t="s">
        <v>63</v>
      </c>
      <c r="B272" s="4" t="s">
        <v>2296</v>
      </c>
      <c r="C272" s="4"/>
      <c r="D272" s="4"/>
      <c r="E272" s="4"/>
      <c r="F272" s="4" t="s">
        <v>2297</v>
      </c>
      <c r="G272" s="4"/>
      <c r="H272" s="4"/>
      <c r="I272" s="4" t="s">
        <v>2298</v>
      </c>
      <c r="J272" s="4" t="s">
        <v>2299</v>
      </c>
      <c r="K272" s="4"/>
      <c r="L272" s="4"/>
      <c r="M272" s="4"/>
      <c r="N272" s="4"/>
      <c r="O272" s="4"/>
      <c r="P272" s="4"/>
      <c r="Q272" s="4"/>
      <c r="R272" s="4"/>
      <c r="S272" s="4"/>
      <c r="T272" s="4" t="s">
        <v>2300</v>
      </c>
      <c r="U272" s="4"/>
      <c r="V272" s="4"/>
      <c r="W272" s="4"/>
      <c r="X272" s="4"/>
      <c r="Y272" s="4"/>
      <c r="Z272" s="4" t="s">
        <v>2301</v>
      </c>
      <c r="AA272" s="4"/>
      <c r="AB272" s="4"/>
      <c r="AC272" s="4"/>
      <c r="AD272" s="4"/>
      <c r="AE272" s="4"/>
      <c r="AF272" s="4"/>
      <c r="AG272" s="4"/>
      <c r="AH272" s="4"/>
      <c r="AI272" s="4"/>
      <c r="AJ272" s="4"/>
      <c r="AK272" s="4"/>
      <c r="AL272" s="4"/>
      <c r="AM272" s="4" t="s">
        <v>2302</v>
      </c>
      <c r="AN272" s="4" t="s">
        <v>2303</v>
      </c>
      <c r="AO272" s="4"/>
      <c r="AP272" s="4"/>
      <c r="AQ272" s="4"/>
      <c r="AR272" s="4" t="s">
        <v>67</v>
      </c>
      <c r="AS272" s="4">
        <v>2016</v>
      </c>
      <c r="AT272" s="4">
        <v>86</v>
      </c>
      <c r="AU272" s="4">
        <v>1</v>
      </c>
      <c r="AV272" s="4"/>
      <c r="AW272" s="4"/>
      <c r="AX272" s="4"/>
      <c r="AY272" s="4"/>
      <c r="AZ272" s="4">
        <v>103</v>
      </c>
      <c r="BA272" s="4">
        <v>126</v>
      </c>
      <c r="BB272" s="4"/>
      <c r="BC272" s="4" t="s">
        <v>2304</v>
      </c>
      <c r="BD272" s="5" t="str">
        <f>HYPERLINK("http://dx.doi.org/10.1111/soin.12098","http://dx.doi.org/10.1111/soin.12098")</f>
        <v>http://dx.doi.org/10.1111/soin.12098</v>
      </c>
      <c r="BE272" s="4"/>
      <c r="BF272" s="4"/>
      <c r="BG272" s="4"/>
      <c r="BH272" s="4"/>
      <c r="BI272" s="4"/>
      <c r="BJ272" s="4" t="s">
        <v>2305</v>
      </c>
      <c r="BK272" s="4"/>
      <c r="BL272" s="4"/>
      <c r="BM272" s="4"/>
      <c r="BN272" s="4"/>
      <c r="BO272" s="4"/>
      <c r="BP272" s="4"/>
      <c r="BQ272" s="4"/>
      <c r="BR272" s="4"/>
      <c r="BS272" s="4"/>
      <c r="BT272" s="4"/>
      <c r="BU272" s="12" t="s">
        <v>7235</v>
      </c>
      <c r="BV272" s="12" t="s">
        <v>7188</v>
      </c>
      <c r="BW272" s="12" t="s">
        <v>7189</v>
      </c>
    </row>
    <row r="273" spans="1:75" ht="12.75" customHeight="1">
      <c r="A273" s="4" t="s">
        <v>63</v>
      </c>
      <c r="B273" s="4" t="s">
        <v>5556</v>
      </c>
      <c r="C273" s="4"/>
      <c r="D273" s="4"/>
      <c r="E273" s="4"/>
      <c r="F273" s="4" t="s">
        <v>5557</v>
      </c>
      <c r="G273" s="4"/>
      <c r="H273" s="4"/>
      <c r="I273" s="4" t="s">
        <v>5558</v>
      </c>
      <c r="J273" s="4" t="s">
        <v>1142</v>
      </c>
      <c r="K273" s="4"/>
      <c r="L273" s="4"/>
      <c r="M273" s="4"/>
      <c r="N273" s="4"/>
      <c r="O273" s="4"/>
      <c r="P273" s="4"/>
      <c r="Q273" s="4"/>
      <c r="R273" s="4"/>
      <c r="S273" s="4"/>
      <c r="T273" s="4" t="s">
        <v>5559</v>
      </c>
      <c r="U273" s="4"/>
      <c r="V273" s="4"/>
      <c r="W273" s="4"/>
      <c r="X273" s="4"/>
      <c r="Y273" s="4"/>
      <c r="Z273" s="4" t="s">
        <v>1730</v>
      </c>
      <c r="AA273" s="4"/>
      <c r="AB273" s="4"/>
      <c r="AC273" s="4"/>
      <c r="AD273" s="4"/>
      <c r="AE273" s="4"/>
      <c r="AF273" s="4"/>
      <c r="AG273" s="4"/>
      <c r="AH273" s="4"/>
      <c r="AI273" s="4"/>
      <c r="AJ273" s="4"/>
      <c r="AK273" s="4"/>
      <c r="AL273" s="4"/>
      <c r="AM273" s="4"/>
      <c r="AN273" s="4" t="s">
        <v>1144</v>
      </c>
      <c r="AO273" s="4"/>
      <c r="AP273" s="4"/>
      <c r="AQ273" s="4"/>
      <c r="AR273" s="4" t="s">
        <v>66</v>
      </c>
      <c r="AS273" s="4">
        <v>2022</v>
      </c>
      <c r="AT273" s="4">
        <v>19</v>
      </c>
      <c r="AU273" s="4">
        <v>12</v>
      </c>
      <c r="AV273" s="4"/>
      <c r="AW273" s="4"/>
      <c r="AX273" s="4"/>
      <c r="AY273" s="4"/>
      <c r="AZ273" s="4"/>
      <c r="BA273" s="4"/>
      <c r="BB273" s="4">
        <v>6956</v>
      </c>
      <c r="BC273" s="4" t="s">
        <v>5560</v>
      </c>
      <c r="BD273" s="5" t="str">
        <f>HYPERLINK("http://dx.doi.org/10.3390/ijerph19126956","http://dx.doi.org/10.3390/ijerph19126956")</f>
        <v>http://dx.doi.org/10.3390/ijerph19126956</v>
      </c>
      <c r="BE273" s="4"/>
      <c r="BF273" s="4"/>
      <c r="BG273" s="4"/>
      <c r="BH273" s="4"/>
      <c r="BI273" s="4">
        <v>35742210</v>
      </c>
      <c r="BJ273" s="4" t="s">
        <v>5561</v>
      </c>
      <c r="BK273" s="4"/>
      <c r="BL273" s="4"/>
      <c r="BM273" s="4"/>
      <c r="BN273" s="4"/>
      <c r="BO273" s="4"/>
      <c r="BP273" s="4"/>
      <c r="BQ273" s="4"/>
      <c r="BR273" s="4"/>
      <c r="BS273" s="4"/>
      <c r="BT273" s="4"/>
      <c r="BU273" s="12" t="s">
        <v>7237</v>
      </c>
      <c r="BV273" s="12" t="s">
        <v>2039</v>
      </c>
      <c r="BW273" s="12" t="s">
        <v>7189</v>
      </c>
    </row>
    <row r="274" spans="1:75" ht="12.75" customHeight="1">
      <c r="A274" s="3" t="s">
        <v>63</v>
      </c>
      <c r="B274" s="3" t="s">
        <v>6773</v>
      </c>
      <c r="C274" s="3"/>
      <c r="D274" s="3"/>
      <c r="E274" s="3"/>
      <c r="F274" s="3" t="s">
        <v>6774</v>
      </c>
      <c r="G274" s="3"/>
      <c r="H274" s="3"/>
      <c r="I274" s="3" t="s">
        <v>6775</v>
      </c>
      <c r="J274" s="3" t="s">
        <v>1531</v>
      </c>
      <c r="K274" s="3"/>
      <c r="L274" s="3"/>
      <c r="M274" s="3"/>
      <c r="N274" s="3"/>
      <c r="O274" s="3"/>
      <c r="P274" s="3"/>
      <c r="Q274" s="3"/>
      <c r="R274" s="3"/>
      <c r="S274" s="3"/>
      <c r="T274" s="3" t="s">
        <v>6776</v>
      </c>
      <c r="U274" s="3"/>
      <c r="V274" s="3"/>
      <c r="W274" s="3"/>
      <c r="X274" s="3"/>
      <c r="Y274" s="3"/>
      <c r="Z274" s="3" t="s">
        <v>6777</v>
      </c>
      <c r="AA274" s="3"/>
      <c r="AB274" s="3"/>
      <c r="AC274" s="3"/>
      <c r="AD274" s="3"/>
      <c r="AE274" s="3"/>
      <c r="AF274" s="3"/>
      <c r="AG274" s="3"/>
      <c r="AH274" s="3"/>
      <c r="AI274" s="3"/>
      <c r="AJ274" s="3"/>
      <c r="AK274" s="3"/>
      <c r="AL274" s="3"/>
      <c r="AM274" s="3" t="s">
        <v>1533</v>
      </c>
      <c r="AN274" s="3"/>
      <c r="AO274" s="3"/>
      <c r="AP274" s="3"/>
      <c r="AQ274" s="3"/>
      <c r="AR274" s="3" t="s">
        <v>288</v>
      </c>
      <c r="AS274" s="3">
        <v>2024</v>
      </c>
      <c r="AT274" s="3">
        <v>19</v>
      </c>
      <c r="AU274" s="3">
        <v>4</v>
      </c>
      <c r="AV274" s="3"/>
      <c r="AW274" s="3"/>
      <c r="AX274" s="3"/>
      <c r="AY274" s="3"/>
      <c r="AZ274" s="3"/>
      <c r="BA274" s="3"/>
      <c r="BB274" s="3" t="s">
        <v>6778</v>
      </c>
      <c r="BC274" s="3" t="s">
        <v>6779</v>
      </c>
      <c r="BD274" s="15" t="str">
        <f>HYPERLINK("http://dx.doi.org/10.1371/journal.pone.0301121","http://dx.doi.org/10.1371/journal.pone.0301121")</f>
        <v>http://dx.doi.org/10.1371/journal.pone.0301121</v>
      </c>
      <c r="BE274" s="3"/>
      <c r="BF274" s="3"/>
      <c r="BG274" s="3"/>
      <c r="BH274" s="3"/>
      <c r="BI274" s="3">
        <v>38635494</v>
      </c>
      <c r="BJ274" s="3" t="s">
        <v>6780</v>
      </c>
      <c r="BK274" s="3"/>
      <c r="BL274" s="3"/>
      <c r="BM274" s="3"/>
      <c r="BN274" s="3"/>
      <c r="BO274" s="3"/>
      <c r="BP274" s="3"/>
      <c r="BQ274" s="3"/>
      <c r="BR274" s="3"/>
      <c r="BS274" s="3"/>
      <c r="BT274" s="3"/>
      <c r="BU274" s="2" t="s">
        <v>7201</v>
      </c>
      <c r="BV274" s="2" t="s">
        <v>7188</v>
      </c>
      <c r="BW274" s="2" t="s">
        <v>7189</v>
      </c>
    </row>
    <row r="275" spans="1:75" ht="12.75" customHeight="1">
      <c r="A275" s="6" t="s">
        <v>63</v>
      </c>
      <c r="B275" s="6" t="s">
        <v>1825</v>
      </c>
      <c r="C275" s="6"/>
      <c r="D275" s="6"/>
      <c r="E275" s="6"/>
      <c r="F275" s="6" t="s">
        <v>1826</v>
      </c>
      <c r="G275" s="6"/>
      <c r="H275" s="6"/>
      <c r="I275" s="6" t="s">
        <v>1827</v>
      </c>
      <c r="J275" s="6" t="s">
        <v>959</v>
      </c>
      <c r="K275" s="6"/>
      <c r="L275" s="6"/>
      <c r="M275" s="6"/>
      <c r="N275" s="6"/>
      <c r="O275" s="6"/>
      <c r="P275" s="6"/>
      <c r="Q275" s="6"/>
      <c r="R275" s="6"/>
      <c r="S275" s="6"/>
      <c r="T275" s="6" t="s">
        <v>1828</v>
      </c>
      <c r="U275" s="6"/>
      <c r="V275" s="6"/>
      <c r="W275" s="6"/>
      <c r="X275" s="6"/>
      <c r="Y275" s="6"/>
      <c r="Z275" s="6" t="s">
        <v>1052</v>
      </c>
      <c r="AA275" s="6"/>
      <c r="AB275" s="6"/>
      <c r="AC275" s="6"/>
      <c r="AD275" s="6"/>
      <c r="AE275" s="6"/>
      <c r="AF275" s="6"/>
      <c r="AG275" s="6"/>
      <c r="AH275" s="6"/>
      <c r="AI275" s="6"/>
      <c r="AJ275" s="6"/>
      <c r="AK275" s="6"/>
      <c r="AL275" s="6"/>
      <c r="AM275" s="6" t="s">
        <v>962</v>
      </c>
      <c r="AN275" s="6" t="s">
        <v>963</v>
      </c>
      <c r="AO275" s="6"/>
      <c r="AP275" s="6"/>
      <c r="AQ275" s="6"/>
      <c r="AR275" s="6" t="s">
        <v>66</v>
      </c>
      <c r="AS275" s="6">
        <v>2015</v>
      </c>
      <c r="AT275" s="6">
        <v>37</v>
      </c>
      <c r="AU275" s="6">
        <v>2</v>
      </c>
      <c r="AV275" s="6"/>
      <c r="AW275" s="6"/>
      <c r="AX275" s="6"/>
      <c r="AY275" s="6"/>
      <c r="AZ275" s="6">
        <v>205</v>
      </c>
      <c r="BA275" s="6">
        <v>225</v>
      </c>
      <c r="BB275" s="6"/>
      <c r="BC275" s="6" t="s">
        <v>1829</v>
      </c>
      <c r="BD275" s="9" t="str">
        <f>HYPERLINK("http://dx.doi.org/10.1093/aepp/ppu035","http://dx.doi.org/10.1093/aepp/ppu035")</f>
        <v>http://dx.doi.org/10.1093/aepp/ppu035</v>
      </c>
      <c r="BE275" s="6"/>
      <c r="BF275" s="6"/>
      <c r="BG275" s="6"/>
      <c r="BH275" s="6"/>
      <c r="BI275" s="6"/>
      <c r="BJ275" s="6" t="s">
        <v>1830</v>
      </c>
      <c r="BK275" s="6"/>
      <c r="BL275" s="6"/>
      <c r="BM275" s="6"/>
      <c r="BN275" s="6"/>
      <c r="BO275" s="6"/>
      <c r="BP275" s="6"/>
      <c r="BQ275" s="6"/>
      <c r="BR275" s="6"/>
      <c r="BS275" s="6"/>
      <c r="BT275" s="6"/>
      <c r="BU275" s="8" t="s">
        <v>7193</v>
      </c>
      <c r="BV275" s="8" t="s">
        <v>7188</v>
      </c>
      <c r="BW275" s="8" t="s">
        <v>7189</v>
      </c>
    </row>
    <row r="276" spans="1:75" ht="12.75" customHeight="1">
      <c r="A276" s="3" t="s">
        <v>63</v>
      </c>
      <c r="B276" s="3" t="s">
        <v>2859</v>
      </c>
      <c r="C276" s="3"/>
      <c r="D276" s="3"/>
      <c r="E276" s="3"/>
      <c r="F276" s="3" t="s">
        <v>2860</v>
      </c>
      <c r="G276" s="3"/>
      <c r="H276" s="3"/>
      <c r="I276" s="3" t="s">
        <v>2861</v>
      </c>
      <c r="J276" s="3" t="s">
        <v>2862</v>
      </c>
      <c r="K276" s="3"/>
      <c r="L276" s="3"/>
      <c r="M276" s="3"/>
      <c r="N276" s="3"/>
      <c r="O276" s="3"/>
      <c r="P276" s="3"/>
      <c r="Q276" s="3"/>
      <c r="R276" s="3"/>
      <c r="S276" s="3"/>
      <c r="T276" s="3" t="s">
        <v>2863</v>
      </c>
      <c r="U276" s="3"/>
      <c r="V276" s="3"/>
      <c r="W276" s="3"/>
      <c r="X276" s="3"/>
      <c r="Y276" s="3" t="s">
        <v>1290</v>
      </c>
      <c r="Z276" s="3"/>
      <c r="AA276" s="3"/>
      <c r="AB276" s="3"/>
      <c r="AC276" s="3"/>
      <c r="AD276" s="3"/>
      <c r="AE276" s="3"/>
      <c r="AF276" s="3"/>
      <c r="AG276" s="3"/>
      <c r="AH276" s="3"/>
      <c r="AI276" s="3"/>
      <c r="AJ276" s="3"/>
      <c r="AK276" s="3"/>
      <c r="AL276" s="3"/>
      <c r="AM276" s="3" t="s">
        <v>2864</v>
      </c>
      <c r="AN276" s="3"/>
      <c r="AO276" s="3"/>
      <c r="AP276" s="3"/>
      <c r="AQ276" s="3"/>
      <c r="AR276" s="3" t="s">
        <v>82</v>
      </c>
      <c r="AS276" s="3">
        <v>2017</v>
      </c>
      <c r="AT276" s="3">
        <v>9</v>
      </c>
      <c r="AU276" s="3">
        <v>1</v>
      </c>
      <c r="AV276" s="3"/>
      <c r="AW276" s="3"/>
      <c r="AX276" s="3"/>
      <c r="AY276" s="3"/>
      <c r="AZ276" s="3">
        <v>39</v>
      </c>
      <c r="BA276" s="3">
        <v>60</v>
      </c>
      <c r="BB276" s="3"/>
      <c r="BC276" s="3" t="s">
        <v>2865</v>
      </c>
      <c r="BD276" s="15" t="str">
        <f>HYPERLINK("http://dx.doi.org/10.1111/rsp3.12088","http://dx.doi.org/10.1111/rsp3.12088")</f>
        <v>http://dx.doi.org/10.1111/rsp3.12088</v>
      </c>
      <c r="BE276" s="3"/>
      <c r="BF276" s="3"/>
      <c r="BG276" s="3"/>
      <c r="BH276" s="3"/>
      <c r="BI276" s="3"/>
      <c r="BJ276" s="3" t="s">
        <v>2866</v>
      </c>
      <c r="BK276" s="3"/>
      <c r="BL276" s="3"/>
      <c r="BM276" s="3"/>
      <c r="BN276" s="3"/>
      <c r="BO276" s="3"/>
      <c r="BP276" s="3"/>
      <c r="BQ276" s="3"/>
      <c r="BR276" s="3"/>
      <c r="BS276" s="3"/>
      <c r="BT276" s="3"/>
      <c r="BU276" s="1" t="s">
        <v>7203</v>
      </c>
      <c r="BV276" s="2" t="s">
        <v>7188</v>
      </c>
      <c r="BW276" s="2" t="s">
        <v>7189</v>
      </c>
    </row>
    <row r="277" spans="1:75" ht="12.75" customHeight="1">
      <c r="A277" s="4" t="s">
        <v>63</v>
      </c>
      <c r="B277" s="4" t="s">
        <v>1069</v>
      </c>
      <c r="C277" s="4"/>
      <c r="D277" s="4"/>
      <c r="E277" s="4"/>
      <c r="F277" s="4" t="s">
        <v>1070</v>
      </c>
      <c r="G277" s="4"/>
      <c r="H277" s="4"/>
      <c r="I277" s="4" t="s">
        <v>1071</v>
      </c>
      <c r="J277" s="4" t="s">
        <v>1072</v>
      </c>
      <c r="K277" s="4"/>
      <c r="L277" s="4"/>
      <c r="M277" s="4"/>
      <c r="N277" s="4"/>
      <c r="O277" s="4"/>
      <c r="P277" s="4"/>
      <c r="Q277" s="4"/>
      <c r="R277" s="4"/>
      <c r="S277" s="4"/>
      <c r="T277" s="4" t="s">
        <v>1073</v>
      </c>
      <c r="U277" s="4"/>
      <c r="V277" s="4"/>
      <c r="W277" s="4"/>
      <c r="X277" s="4"/>
      <c r="Y277" s="4" t="s">
        <v>1074</v>
      </c>
      <c r="Z277" s="4" t="s">
        <v>1075</v>
      </c>
      <c r="AA277" s="4"/>
      <c r="AB277" s="4"/>
      <c r="AC277" s="4"/>
      <c r="AD277" s="4"/>
      <c r="AE277" s="4"/>
      <c r="AF277" s="4"/>
      <c r="AG277" s="4"/>
      <c r="AH277" s="4"/>
      <c r="AI277" s="4"/>
      <c r="AJ277" s="4"/>
      <c r="AK277" s="4"/>
      <c r="AL277" s="4"/>
      <c r="AM277" s="4" t="s">
        <v>1076</v>
      </c>
      <c r="AN277" s="4" t="s">
        <v>1077</v>
      </c>
      <c r="AO277" s="4"/>
      <c r="AP277" s="4"/>
      <c r="AQ277" s="4"/>
      <c r="AR277" s="4" t="s">
        <v>78</v>
      </c>
      <c r="AS277" s="4">
        <v>2013</v>
      </c>
      <c r="AT277" s="4">
        <v>23</v>
      </c>
      <c r="AU277" s="4">
        <v>5</v>
      </c>
      <c r="AV277" s="4"/>
      <c r="AW277" s="4"/>
      <c r="AX277" s="4"/>
      <c r="AY277" s="4"/>
      <c r="AZ277" s="4">
        <v>665</v>
      </c>
      <c r="BA277" s="4">
        <v>678</v>
      </c>
      <c r="BB277" s="4"/>
      <c r="BC277" s="4" t="s">
        <v>1078</v>
      </c>
      <c r="BD277" s="5" t="str">
        <f>HYPERLINK("http://dx.doi.org/10.1177/1049732313479451","http://dx.doi.org/10.1177/1049732313479451")</f>
        <v>http://dx.doi.org/10.1177/1049732313479451</v>
      </c>
      <c r="BE277" s="4"/>
      <c r="BF277" s="4"/>
      <c r="BG277" s="4"/>
      <c r="BH277" s="4"/>
      <c r="BI277" s="4">
        <v>23443333</v>
      </c>
      <c r="BJ277" s="4" t="s">
        <v>1079</v>
      </c>
      <c r="BK277" s="4"/>
      <c r="BL277" s="4"/>
      <c r="BM277" s="4"/>
      <c r="BN277" s="4"/>
      <c r="BO277" s="4"/>
      <c r="BP277" s="4"/>
      <c r="BQ277" s="4"/>
      <c r="BR277" s="4"/>
      <c r="BS277" s="4"/>
      <c r="BT277" s="4"/>
      <c r="BU277" s="12" t="s">
        <v>7335</v>
      </c>
      <c r="BV277" s="12" t="s">
        <v>7188</v>
      </c>
      <c r="BW277" s="12" t="s">
        <v>7189</v>
      </c>
    </row>
    <row r="278" spans="1:75" ht="12.75" customHeight="1">
      <c r="A278" s="4" t="s">
        <v>63</v>
      </c>
      <c r="B278" s="4" t="s">
        <v>5562</v>
      </c>
      <c r="C278" s="4"/>
      <c r="D278" s="4"/>
      <c r="E278" s="4"/>
      <c r="F278" s="4" t="s">
        <v>5563</v>
      </c>
      <c r="G278" s="4"/>
      <c r="H278" s="4"/>
      <c r="I278" s="4" t="s">
        <v>5564</v>
      </c>
      <c r="J278" s="4" t="s">
        <v>5451</v>
      </c>
      <c r="K278" s="4"/>
      <c r="L278" s="4"/>
      <c r="M278" s="4"/>
      <c r="N278" s="4"/>
      <c r="O278" s="4"/>
      <c r="P278" s="4"/>
      <c r="Q278" s="4"/>
      <c r="R278" s="4"/>
      <c r="S278" s="4"/>
      <c r="T278" s="4" t="s">
        <v>5565</v>
      </c>
      <c r="U278" s="4"/>
      <c r="V278" s="4"/>
      <c r="W278" s="4"/>
      <c r="X278" s="4"/>
      <c r="Y278" s="4"/>
      <c r="Z278" s="4" t="s">
        <v>5566</v>
      </c>
      <c r="AA278" s="4"/>
      <c r="AB278" s="4"/>
      <c r="AC278" s="4"/>
      <c r="AD278" s="4"/>
      <c r="AE278" s="4"/>
      <c r="AF278" s="4"/>
      <c r="AG278" s="4"/>
      <c r="AH278" s="4"/>
      <c r="AI278" s="4"/>
      <c r="AJ278" s="4"/>
      <c r="AK278" s="4"/>
      <c r="AL278" s="4"/>
      <c r="AM278" s="4" t="s">
        <v>5454</v>
      </c>
      <c r="AN278" s="4" t="s">
        <v>5455</v>
      </c>
      <c r="AO278" s="4"/>
      <c r="AP278" s="4"/>
      <c r="AQ278" s="4"/>
      <c r="AR278" s="4" t="s">
        <v>1242</v>
      </c>
      <c r="AS278" s="4">
        <v>2022</v>
      </c>
      <c r="AT278" s="4">
        <v>62</v>
      </c>
      <c r="AU278" s="4">
        <v>5</v>
      </c>
      <c r="AV278" s="4"/>
      <c r="AW278" s="4"/>
      <c r="AX278" s="4"/>
      <c r="AY278" s="4"/>
      <c r="AZ278" s="4">
        <v>1675</v>
      </c>
      <c r="BA278" s="4">
        <v>1679</v>
      </c>
      <c r="BB278" s="4"/>
      <c r="BC278" s="4" t="s">
        <v>5567</v>
      </c>
      <c r="BD278" s="5" t="str">
        <f>HYPERLINK("http://dx.doi.org/10.1016/j.japh.2022.05.001","http://dx.doi.org/10.1016/j.japh.2022.05.001")</f>
        <v>http://dx.doi.org/10.1016/j.japh.2022.05.001</v>
      </c>
      <c r="BE278" s="4"/>
      <c r="BF278" s="4" t="s">
        <v>5568</v>
      </c>
      <c r="BG278" s="4"/>
      <c r="BH278" s="4"/>
      <c r="BI278" s="4">
        <v>35738993</v>
      </c>
      <c r="BJ278" s="4" t="s">
        <v>5569</v>
      </c>
      <c r="BK278" s="4"/>
      <c r="BL278" s="4"/>
      <c r="BM278" s="4"/>
      <c r="BN278" s="4"/>
      <c r="BO278" s="4"/>
      <c r="BP278" s="4"/>
      <c r="BQ278" s="4"/>
      <c r="BR278" s="4"/>
      <c r="BS278" s="4"/>
      <c r="BT278" s="4"/>
      <c r="BU278" s="12" t="s">
        <v>7336</v>
      </c>
      <c r="BV278" s="12" t="s">
        <v>7188</v>
      </c>
      <c r="BW278" s="12" t="s">
        <v>7189</v>
      </c>
    </row>
    <row r="279" spans="1:75" ht="12.75" customHeight="1">
      <c r="A279" s="3" t="s">
        <v>63</v>
      </c>
      <c r="B279" s="3" t="s">
        <v>1831</v>
      </c>
      <c r="C279" s="3"/>
      <c r="D279" s="3"/>
      <c r="E279" s="3"/>
      <c r="F279" s="3" t="s">
        <v>1832</v>
      </c>
      <c r="G279" s="3"/>
      <c r="H279" s="3"/>
      <c r="I279" s="3" t="s">
        <v>1833</v>
      </c>
      <c r="J279" s="3" t="s">
        <v>1142</v>
      </c>
      <c r="K279" s="3"/>
      <c r="L279" s="3"/>
      <c r="M279" s="3"/>
      <c r="N279" s="3"/>
      <c r="O279" s="3"/>
      <c r="P279" s="3"/>
      <c r="Q279" s="3"/>
      <c r="R279" s="3"/>
      <c r="S279" s="3"/>
      <c r="T279" s="3" t="s">
        <v>1834</v>
      </c>
      <c r="U279" s="3"/>
      <c r="V279" s="3"/>
      <c r="W279" s="3"/>
      <c r="X279" s="3"/>
      <c r="Y279" s="3" t="s">
        <v>1835</v>
      </c>
      <c r="Z279" s="3" t="s">
        <v>1836</v>
      </c>
      <c r="AA279" s="3"/>
      <c r="AB279" s="3"/>
      <c r="AC279" s="3"/>
      <c r="AD279" s="3"/>
      <c r="AE279" s="3"/>
      <c r="AF279" s="3"/>
      <c r="AG279" s="3"/>
      <c r="AH279" s="3"/>
      <c r="AI279" s="3"/>
      <c r="AJ279" s="3"/>
      <c r="AK279" s="3"/>
      <c r="AL279" s="3"/>
      <c r="AM279" s="3"/>
      <c r="AN279" s="3" t="s">
        <v>1144</v>
      </c>
      <c r="AO279" s="3"/>
      <c r="AP279" s="3"/>
      <c r="AQ279" s="3"/>
      <c r="AR279" s="3" t="s">
        <v>65</v>
      </c>
      <c r="AS279" s="3">
        <v>2015</v>
      </c>
      <c r="AT279" s="3">
        <v>12</v>
      </c>
      <c r="AU279" s="3">
        <v>12</v>
      </c>
      <c r="AV279" s="3"/>
      <c r="AW279" s="3"/>
      <c r="AX279" s="3"/>
      <c r="AY279" s="3"/>
      <c r="AZ279" s="3">
        <v>15058</v>
      </c>
      <c r="BA279" s="3">
        <v>15074</v>
      </c>
      <c r="BB279" s="3"/>
      <c r="BC279" s="3" t="s">
        <v>1837</v>
      </c>
      <c r="BD279" s="15" t="str">
        <f>HYPERLINK("http://dx.doi.org/10.3390/ijerph121214965","http://dx.doi.org/10.3390/ijerph121214965")</f>
        <v>http://dx.doi.org/10.3390/ijerph121214965</v>
      </c>
      <c r="BE279" s="3"/>
      <c r="BF279" s="3"/>
      <c r="BG279" s="3"/>
      <c r="BH279" s="3"/>
      <c r="BI279" s="3">
        <v>26633434</v>
      </c>
      <c r="BJ279" s="3" t="s">
        <v>1838</v>
      </c>
      <c r="BK279" s="3"/>
      <c r="BL279" s="3"/>
      <c r="BM279" s="3"/>
      <c r="BN279" s="3"/>
      <c r="BO279" s="3"/>
      <c r="BP279" s="3"/>
      <c r="BQ279" s="3"/>
      <c r="BR279" s="3"/>
      <c r="BS279" s="3"/>
      <c r="BT279" s="3"/>
      <c r="BU279" s="1" t="s">
        <v>7216</v>
      </c>
      <c r="BV279" s="2" t="s">
        <v>7188</v>
      </c>
      <c r="BW279" s="2" t="s">
        <v>7189</v>
      </c>
    </row>
    <row r="280" spans="1:75" ht="12.75" customHeight="1">
      <c r="A280" s="4" t="s">
        <v>63</v>
      </c>
      <c r="B280" s="4" t="s">
        <v>6781</v>
      </c>
      <c r="C280" s="4"/>
      <c r="D280" s="4"/>
      <c r="E280" s="4"/>
      <c r="F280" s="4" t="s">
        <v>6782</v>
      </c>
      <c r="G280" s="4"/>
      <c r="H280" s="4"/>
      <c r="I280" s="4" t="s">
        <v>6783</v>
      </c>
      <c r="J280" s="4" t="s">
        <v>6784</v>
      </c>
      <c r="K280" s="4"/>
      <c r="L280" s="4"/>
      <c r="M280" s="4"/>
      <c r="N280" s="4"/>
      <c r="O280" s="4"/>
      <c r="P280" s="4"/>
      <c r="Q280" s="4"/>
      <c r="R280" s="4"/>
      <c r="S280" s="4"/>
      <c r="T280" s="4" t="s">
        <v>6785</v>
      </c>
      <c r="U280" s="4"/>
      <c r="V280" s="4"/>
      <c r="W280" s="4"/>
      <c r="X280" s="4"/>
      <c r="Y280" s="4" t="s">
        <v>6786</v>
      </c>
      <c r="Z280" s="4" t="s">
        <v>6787</v>
      </c>
      <c r="AA280" s="4"/>
      <c r="AB280" s="4"/>
      <c r="AC280" s="4"/>
      <c r="AD280" s="4"/>
      <c r="AE280" s="4"/>
      <c r="AF280" s="4"/>
      <c r="AG280" s="4"/>
      <c r="AH280" s="4"/>
      <c r="AI280" s="4"/>
      <c r="AJ280" s="4"/>
      <c r="AK280" s="4"/>
      <c r="AL280" s="4"/>
      <c r="AM280" s="4" t="s">
        <v>6788</v>
      </c>
      <c r="AN280" s="4" t="s">
        <v>6789</v>
      </c>
      <c r="AO280" s="4"/>
      <c r="AP280" s="4"/>
      <c r="AQ280" s="4"/>
      <c r="AR280" s="4" t="s">
        <v>6790</v>
      </c>
      <c r="AS280" s="4">
        <v>2024</v>
      </c>
      <c r="AT280" s="4">
        <v>90</v>
      </c>
      <c r="AU280" s="4">
        <v>3</v>
      </c>
      <c r="AV280" s="4"/>
      <c r="AW280" s="4"/>
      <c r="AX280" s="4"/>
      <c r="AY280" s="4"/>
      <c r="AZ280" s="4">
        <v>452</v>
      </c>
      <c r="BA280" s="4">
        <v>470</v>
      </c>
      <c r="BB280" s="4"/>
      <c r="BC280" s="4" t="s">
        <v>6791</v>
      </c>
      <c r="BD280" s="5" t="str">
        <f>HYPERLINK("http://dx.doi.org/10.1080/01944363.2023.2284160","http://dx.doi.org/10.1080/01944363.2023.2284160")</f>
        <v>http://dx.doi.org/10.1080/01944363.2023.2284160</v>
      </c>
      <c r="BE280" s="4"/>
      <c r="BF280" s="4" t="s">
        <v>6637</v>
      </c>
      <c r="BG280" s="4"/>
      <c r="BH280" s="4"/>
      <c r="BI280" s="4"/>
      <c r="BJ280" s="4" t="s">
        <v>6792</v>
      </c>
      <c r="BK280" s="4"/>
      <c r="BL280" s="4"/>
      <c r="BM280" s="4"/>
      <c r="BN280" s="4"/>
      <c r="BO280" s="4"/>
      <c r="BP280" s="4"/>
      <c r="BQ280" s="4"/>
      <c r="BR280" s="4"/>
      <c r="BS280" s="4"/>
      <c r="BT280" s="4"/>
      <c r="BU280" s="12" t="s">
        <v>7210</v>
      </c>
      <c r="BV280" s="12" t="s">
        <v>7188</v>
      </c>
      <c r="BW280" s="12" t="s">
        <v>7189</v>
      </c>
    </row>
    <row r="281" spans="1:75" ht="12.75" customHeight="1">
      <c r="A281" s="6" t="s">
        <v>63</v>
      </c>
      <c r="B281" s="6" t="s">
        <v>5570</v>
      </c>
      <c r="C281" s="6"/>
      <c r="D281" s="6"/>
      <c r="E281" s="6"/>
      <c r="F281" s="6" t="s">
        <v>5571</v>
      </c>
      <c r="G281" s="6"/>
      <c r="H281" s="6"/>
      <c r="I281" s="6" t="s">
        <v>5572</v>
      </c>
      <c r="J281" s="6" t="s">
        <v>1142</v>
      </c>
      <c r="K281" s="6"/>
      <c r="L281" s="6"/>
      <c r="M281" s="6"/>
      <c r="N281" s="6"/>
      <c r="O281" s="6"/>
      <c r="P281" s="6"/>
      <c r="Q281" s="6"/>
      <c r="R281" s="6"/>
      <c r="S281" s="6"/>
      <c r="T281" s="6" t="s">
        <v>5573</v>
      </c>
      <c r="U281" s="6"/>
      <c r="V281" s="6"/>
      <c r="W281" s="6"/>
      <c r="X281" s="6"/>
      <c r="Y281" s="6"/>
      <c r="Z281" s="6" t="s">
        <v>5574</v>
      </c>
      <c r="AA281" s="6"/>
      <c r="AB281" s="6"/>
      <c r="AC281" s="6"/>
      <c r="AD281" s="6"/>
      <c r="AE281" s="6"/>
      <c r="AF281" s="6"/>
      <c r="AG281" s="6"/>
      <c r="AH281" s="6"/>
      <c r="AI281" s="6"/>
      <c r="AJ281" s="6"/>
      <c r="AK281" s="6"/>
      <c r="AL281" s="6"/>
      <c r="AM281" s="6"/>
      <c r="AN281" s="6" t="s">
        <v>1144</v>
      </c>
      <c r="AO281" s="6"/>
      <c r="AP281" s="6"/>
      <c r="AQ281" s="6"/>
      <c r="AR281" s="6" t="s">
        <v>121</v>
      </c>
      <c r="AS281" s="6">
        <v>2022</v>
      </c>
      <c r="AT281" s="6">
        <v>19</v>
      </c>
      <c r="AU281" s="6">
        <v>15</v>
      </c>
      <c r="AV281" s="6"/>
      <c r="AW281" s="6"/>
      <c r="AX281" s="6"/>
      <c r="AY281" s="6"/>
      <c r="AZ281" s="6"/>
      <c r="BA281" s="6"/>
      <c r="BB281" s="6">
        <v>8960</v>
      </c>
      <c r="BC281" s="6" t="s">
        <v>5575</v>
      </c>
      <c r="BD281" s="9" t="str">
        <f>HYPERLINK("http://dx.doi.org/10.3390/ijerph19158960","http://dx.doi.org/10.3390/ijerph19158960")</f>
        <v>http://dx.doi.org/10.3390/ijerph19158960</v>
      </c>
      <c r="BE281" s="6"/>
      <c r="BF281" s="6"/>
      <c r="BG281" s="6"/>
      <c r="BH281" s="6"/>
      <c r="BI281" s="6">
        <v>35897330</v>
      </c>
      <c r="BJ281" s="6" t="s">
        <v>5576</v>
      </c>
      <c r="BK281" s="6"/>
      <c r="BL281" s="6"/>
      <c r="BM281" s="6"/>
      <c r="BN281" s="6"/>
      <c r="BO281" s="6"/>
      <c r="BP281" s="6"/>
      <c r="BQ281" s="6"/>
      <c r="BR281" s="6"/>
      <c r="BS281" s="6"/>
      <c r="BT281" s="6"/>
      <c r="BU281" s="8" t="s">
        <v>7337</v>
      </c>
      <c r="BV281" s="8" t="s">
        <v>7316</v>
      </c>
      <c r="BW281" s="8" t="s">
        <v>7189</v>
      </c>
    </row>
    <row r="282" spans="1:75" ht="12.75" customHeight="1">
      <c r="A282" s="6" t="s">
        <v>63</v>
      </c>
      <c r="B282" s="6" t="s">
        <v>2306</v>
      </c>
      <c r="C282" s="6"/>
      <c r="D282" s="6"/>
      <c r="E282" s="6"/>
      <c r="F282" s="6" t="s">
        <v>2307</v>
      </c>
      <c r="G282" s="6"/>
      <c r="H282" s="6"/>
      <c r="I282" s="6" t="s">
        <v>2308</v>
      </c>
      <c r="J282" s="6" t="s">
        <v>87</v>
      </c>
      <c r="K282" s="6"/>
      <c r="L282" s="6"/>
      <c r="M282" s="6"/>
      <c r="N282" s="6"/>
      <c r="O282" s="6"/>
      <c r="P282" s="6"/>
      <c r="Q282" s="6"/>
      <c r="R282" s="6"/>
      <c r="S282" s="6"/>
      <c r="T282" s="6" t="s">
        <v>2309</v>
      </c>
      <c r="U282" s="6"/>
      <c r="V282" s="6"/>
      <c r="W282" s="6"/>
      <c r="X282" s="6"/>
      <c r="Y282" s="6"/>
      <c r="Z282" s="6" t="s">
        <v>2310</v>
      </c>
      <c r="AA282" s="6"/>
      <c r="AB282" s="6"/>
      <c r="AC282" s="6"/>
      <c r="AD282" s="6"/>
      <c r="AE282" s="6"/>
      <c r="AF282" s="6"/>
      <c r="AG282" s="6"/>
      <c r="AH282" s="6"/>
      <c r="AI282" s="6"/>
      <c r="AJ282" s="6"/>
      <c r="AK282" s="6"/>
      <c r="AL282" s="6"/>
      <c r="AM282" s="6" t="s">
        <v>91</v>
      </c>
      <c r="AN282" s="6" t="s">
        <v>113</v>
      </c>
      <c r="AO282" s="6"/>
      <c r="AP282" s="6"/>
      <c r="AQ282" s="6"/>
      <c r="AR282" s="6" t="s">
        <v>121</v>
      </c>
      <c r="AS282" s="6">
        <v>2016</v>
      </c>
      <c r="AT282" s="6">
        <v>53</v>
      </c>
      <c r="AU282" s="6">
        <v>11</v>
      </c>
      <c r="AV282" s="6"/>
      <c r="AW282" s="6"/>
      <c r="AX282" s="6"/>
      <c r="AY282" s="6"/>
      <c r="AZ282" s="6">
        <v>2238</v>
      </c>
      <c r="BA282" s="6">
        <v>2252</v>
      </c>
      <c r="BB282" s="6"/>
      <c r="BC282" s="6" t="s">
        <v>2311</v>
      </c>
      <c r="BD282" s="9" t="str">
        <f>HYPERLINK("http://dx.doi.org/10.1177/0042098015587848","http://dx.doi.org/10.1177/0042098015587848")</f>
        <v>http://dx.doi.org/10.1177/0042098015587848</v>
      </c>
      <c r="BE282" s="6"/>
      <c r="BF282" s="6"/>
      <c r="BG282" s="6"/>
      <c r="BH282" s="6"/>
      <c r="BI282" s="6"/>
      <c r="BJ282" s="6" t="s">
        <v>2312</v>
      </c>
      <c r="BK282" s="6"/>
      <c r="BL282" s="6"/>
      <c r="BM282" s="6"/>
      <c r="BN282" s="6"/>
      <c r="BO282" s="6"/>
      <c r="BP282" s="6"/>
      <c r="BQ282" s="6"/>
      <c r="BR282" s="6"/>
      <c r="BS282" s="6"/>
      <c r="BT282" s="6"/>
      <c r="BU282" s="8" t="s">
        <v>7193</v>
      </c>
      <c r="BV282" s="8" t="s">
        <v>7188</v>
      </c>
      <c r="BW282" s="8" t="s">
        <v>7189</v>
      </c>
    </row>
    <row r="283" spans="1:75" ht="12.75" customHeight="1">
      <c r="A283" s="3" t="s">
        <v>63</v>
      </c>
      <c r="B283" s="3" t="s">
        <v>1839</v>
      </c>
      <c r="C283" s="3"/>
      <c r="D283" s="3"/>
      <c r="E283" s="3"/>
      <c r="F283" s="3" t="s">
        <v>1840</v>
      </c>
      <c r="G283" s="3"/>
      <c r="H283" s="3"/>
      <c r="I283" s="3" t="s">
        <v>1841</v>
      </c>
      <c r="J283" s="3" t="s">
        <v>867</v>
      </c>
      <c r="K283" s="3"/>
      <c r="L283" s="3"/>
      <c r="M283" s="3"/>
      <c r="N283" s="3"/>
      <c r="O283" s="3"/>
      <c r="P283" s="3"/>
      <c r="Q283" s="3"/>
      <c r="R283" s="3"/>
      <c r="S283" s="3"/>
      <c r="T283" s="3" t="s">
        <v>1842</v>
      </c>
      <c r="U283" s="3"/>
      <c r="V283" s="3"/>
      <c r="W283" s="3"/>
      <c r="X283" s="3"/>
      <c r="Y283" s="3" t="s">
        <v>1843</v>
      </c>
      <c r="Z283" s="3" t="s">
        <v>1844</v>
      </c>
      <c r="AA283" s="3"/>
      <c r="AB283" s="3"/>
      <c r="AC283" s="3"/>
      <c r="AD283" s="3"/>
      <c r="AE283" s="3"/>
      <c r="AF283" s="3"/>
      <c r="AG283" s="3"/>
      <c r="AH283" s="3"/>
      <c r="AI283" s="3"/>
      <c r="AJ283" s="3"/>
      <c r="AK283" s="3"/>
      <c r="AL283" s="3"/>
      <c r="AM283" s="3" t="s">
        <v>871</v>
      </c>
      <c r="AN283" s="3" t="s">
        <v>1621</v>
      </c>
      <c r="AO283" s="3"/>
      <c r="AP283" s="3"/>
      <c r="AQ283" s="3"/>
      <c r="AR283" s="3" t="s">
        <v>78</v>
      </c>
      <c r="AS283" s="3">
        <v>2015</v>
      </c>
      <c r="AT283" s="3">
        <v>133</v>
      </c>
      <c r="AU283" s="3"/>
      <c r="AV283" s="3"/>
      <c r="AW283" s="3"/>
      <c r="AX283" s="3" t="s">
        <v>569</v>
      </c>
      <c r="AY283" s="3"/>
      <c r="AZ283" s="3">
        <v>202</v>
      </c>
      <c r="BA283" s="3">
        <v>204</v>
      </c>
      <c r="BB283" s="3"/>
      <c r="BC283" s="3" t="s">
        <v>1845</v>
      </c>
      <c r="BD283" s="15" t="str">
        <f>HYPERLINK("http://dx.doi.org/10.1016/j.socscimed.2015.03.058","http://dx.doi.org/10.1016/j.socscimed.2015.03.058")</f>
        <v>http://dx.doi.org/10.1016/j.socscimed.2015.03.058</v>
      </c>
      <c r="BE283" s="3"/>
      <c r="BF283" s="3"/>
      <c r="BG283" s="3"/>
      <c r="BH283" s="3"/>
      <c r="BI283" s="3">
        <v>25863975</v>
      </c>
      <c r="BJ283" s="3" t="s">
        <v>1846</v>
      </c>
      <c r="BK283" s="3"/>
      <c r="BL283" s="3"/>
      <c r="BM283" s="3"/>
      <c r="BN283" s="3"/>
      <c r="BO283" s="3"/>
      <c r="BP283" s="3"/>
      <c r="BQ283" s="3"/>
      <c r="BR283" s="3"/>
      <c r="BS283" s="3"/>
      <c r="BT283" s="3"/>
      <c r="BU283" s="1" t="s">
        <v>7338</v>
      </c>
      <c r="BV283" s="2" t="s">
        <v>7188</v>
      </c>
      <c r="BW283" s="2" t="s">
        <v>7189</v>
      </c>
    </row>
    <row r="284" spans="1:75" ht="12.75" customHeight="1">
      <c r="A284" s="4" t="s">
        <v>63</v>
      </c>
      <c r="B284" s="4" t="s">
        <v>6793</v>
      </c>
      <c r="C284" s="4"/>
      <c r="D284" s="4"/>
      <c r="E284" s="4"/>
      <c r="F284" s="4" t="s">
        <v>6794</v>
      </c>
      <c r="G284" s="4"/>
      <c r="H284" s="4"/>
      <c r="I284" s="4" t="s">
        <v>6795</v>
      </c>
      <c r="J284" s="4" t="s">
        <v>1884</v>
      </c>
      <c r="K284" s="4"/>
      <c r="L284" s="4"/>
      <c r="M284" s="4"/>
      <c r="N284" s="4"/>
      <c r="O284" s="4"/>
      <c r="P284" s="4"/>
      <c r="Q284" s="4"/>
      <c r="R284" s="4"/>
      <c r="S284" s="4"/>
      <c r="T284" s="4" t="s">
        <v>6796</v>
      </c>
      <c r="U284" s="4"/>
      <c r="V284" s="4"/>
      <c r="W284" s="4"/>
      <c r="X284" s="4"/>
      <c r="Y284" s="4" t="s">
        <v>6797</v>
      </c>
      <c r="Z284" s="4" t="s">
        <v>6798</v>
      </c>
      <c r="AA284" s="4"/>
      <c r="AB284" s="4"/>
      <c r="AC284" s="4"/>
      <c r="AD284" s="4"/>
      <c r="AE284" s="4"/>
      <c r="AF284" s="4"/>
      <c r="AG284" s="4"/>
      <c r="AH284" s="4"/>
      <c r="AI284" s="4"/>
      <c r="AJ284" s="4"/>
      <c r="AK284" s="4"/>
      <c r="AL284" s="4"/>
      <c r="AM284" s="4" t="s">
        <v>1888</v>
      </c>
      <c r="AN284" s="4" t="s">
        <v>1889</v>
      </c>
      <c r="AO284" s="4"/>
      <c r="AP284" s="4"/>
      <c r="AQ284" s="4"/>
      <c r="AR284" s="4" t="s">
        <v>67</v>
      </c>
      <c r="AS284" s="4">
        <v>2024</v>
      </c>
      <c r="AT284" s="4">
        <v>16</v>
      </c>
      <c r="AU284" s="4">
        <v>1</v>
      </c>
      <c r="AV284" s="4"/>
      <c r="AW284" s="4"/>
      <c r="AX284" s="4"/>
      <c r="AY284" s="4"/>
      <c r="AZ284" s="4">
        <v>277</v>
      </c>
      <c r="BA284" s="4">
        <v>292</v>
      </c>
      <c r="BB284" s="4"/>
      <c r="BC284" s="4" t="s">
        <v>6799</v>
      </c>
      <c r="BD284" s="5" t="str">
        <f>HYPERLINK("http://dx.doi.org/10.1007/s12571-023-01425-w","http://dx.doi.org/10.1007/s12571-023-01425-w")</f>
        <v>http://dx.doi.org/10.1007/s12571-023-01425-w</v>
      </c>
      <c r="BE284" s="4"/>
      <c r="BF284" s="4" t="s">
        <v>6637</v>
      </c>
      <c r="BG284" s="4"/>
      <c r="BH284" s="4"/>
      <c r="BI284" s="4"/>
      <c r="BJ284" s="4" t="s">
        <v>6800</v>
      </c>
      <c r="BK284" s="4"/>
      <c r="BL284" s="4"/>
      <c r="BM284" s="4"/>
      <c r="BN284" s="4"/>
      <c r="BO284" s="4"/>
      <c r="BP284" s="4"/>
      <c r="BQ284" s="4"/>
      <c r="BR284" s="4"/>
      <c r="BS284" s="4"/>
      <c r="BT284" s="4"/>
      <c r="BU284" s="12" t="s">
        <v>7339</v>
      </c>
      <c r="BV284" s="12" t="s">
        <v>3516</v>
      </c>
      <c r="BW284" s="12" t="s">
        <v>7196</v>
      </c>
    </row>
    <row r="285" spans="1:75" ht="12.75" customHeight="1">
      <c r="A285" s="4" t="s">
        <v>63</v>
      </c>
      <c r="B285" s="4" t="s">
        <v>4262</v>
      </c>
      <c r="C285" s="4"/>
      <c r="D285" s="4"/>
      <c r="E285" s="4"/>
      <c r="F285" s="4" t="s">
        <v>4263</v>
      </c>
      <c r="G285" s="4"/>
      <c r="H285" s="4"/>
      <c r="I285" s="4" t="s">
        <v>4264</v>
      </c>
      <c r="J285" s="4" t="s">
        <v>4265</v>
      </c>
      <c r="K285" s="4"/>
      <c r="L285" s="4"/>
      <c r="M285" s="4"/>
      <c r="N285" s="4"/>
      <c r="O285" s="4"/>
      <c r="P285" s="4"/>
      <c r="Q285" s="4"/>
      <c r="R285" s="4"/>
      <c r="S285" s="4"/>
      <c r="T285" s="4" t="s">
        <v>4266</v>
      </c>
      <c r="U285" s="4"/>
      <c r="V285" s="4"/>
      <c r="W285" s="4"/>
      <c r="X285" s="4"/>
      <c r="Y285" s="4" t="s">
        <v>4267</v>
      </c>
      <c r="Z285" s="4"/>
      <c r="AA285" s="4"/>
      <c r="AB285" s="4"/>
      <c r="AC285" s="4"/>
      <c r="AD285" s="4"/>
      <c r="AE285" s="4"/>
      <c r="AF285" s="4"/>
      <c r="AG285" s="4"/>
      <c r="AH285" s="4"/>
      <c r="AI285" s="4"/>
      <c r="AJ285" s="4"/>
      <c r="AK285" s="4"/>
      <c r="AL285" s="4"/>
      <c r="AM285" s="4" t="s">
        <v>4268</v>
      </c>
      <c r="AN285" s="4" t="s">
        <v>4269</v>
      </c>
      <c r="AO285" s="4"/>
      <c r="AP285" s="4"/>
      <c r="AQ285" s="4"/>
      <c r="AR285" s="4" t="s">
        <v>4270</v>
      </c>
      <c r="AS285" s="4">
        <v>2020</v>
      </c>
      <c r="AT285" s="4">
        <v>25</v>
      </c>
      <c r="AU285" s="4">
        <v>8</v>
      </c>
      <c r="AV285" s="4"/>
      <c r="AW285" s="4"/>
      <c r="AX285" s="4"/>
      <c r="AY285" s="4"/>
      <c r="AZ285" s="4">
        <v>1115</v>
      </c>
      <c r="BA285" s="4">
        <v>1131</v>
      </c>
      <c r="BB285" s="4"/>
      <c r="BC285" s="4" t="s">
        <v>4271</v>
      </c>
      <c r="BD285" s="5" t="str">
        <f>HYPERLINK("http://dx.doi.org/10.1080/13557858.2018.1493434","http://dx.doi.org/10.1080/13557858.2018.1493434")</f>
        <v>http://dx.doi.org/10.1080/13557858.2018.1493434</v>
      </c>
      <c r="BE285" s="4"/>
      <c r="BF285" s="4"/>
      <c r="BG285" s="4"/>
      <c r="BH285" s="4"/>
      <c r="BI285" s="4">
        <v>29966432</v>
      </c>
      <c r="BJ285" s="4" t="s">
        <v>4272</v>
      </c>
      <c r="BK285" s="4"/>
      <c r="BL285" s="4"/>
      <c r="BM285" s="4"/>
      <c r="BN285" s="4"/>
      <c r="BO285" s="4"/>
      <c r="BP285" s="4"/>
      <c r="BQ285" s="4"/>
      <c r="BR285" s="4"/>
      <c r="BS285" s="4"/>
      <c r="BT285" s="4"/>
      <c r="BU285" s="12" t="s">
        <v>7201</v>
      </c>
      <c r="BV285" s="12" t="s">
        <v>7188</v>
      </c>
      <c r="BW285" s="12" t="s">
        <v>7189</v>
      </c>
    </row>
    <row r="286" spans="1:75" ht="12.75" customHeight="1">
      <c r="A286" s="4" t="s">
        <v>63</v>
      </c>
      <c r="B286" s="4" t="s">
        <v>604</v>
      </c>
      <c r="C286" s="4"/>
      <c r="D286" s="4"/>
      <c r="E286" s="4"/>
      <c r="F286" s="4" t="s">
        <v>605</v>
      </c>
      <c r="G286" s="4"/>
      <c r="H286" s="4"/>
      <c r="I286" s="4" t="s">
        <v>606</v>
      </c>
      <c r="J286" s="4" t="s">
        <v>607</v>
      </c>
      <c r="K286" s="4"/>
      <c r="L286" s="4"/>
      <c r="M286" s="4"/>
      <c r="N286" s="4"/>
      <c r="O286" s="4"/>
      <c r="P286" s="4"/>
      <c r="Q286" s="4"/>
      <c r="R286" s="4"/>
      <c r="S286" s="4"/>
      <c r="T286" s="4" t="s">
        <v>608</v>
      </c>
      <c r="U286" s="4"/>
      <c r="V286" s="4"/>
      <c r="W286" s="4"/>
      <c r="X286" s="4"/>
      <c r="Y286" s="4" t="s">
        <v>609</v>
      </c>
      <c r="Z286" s="4" t="s">
        <v>610</v>
      </c>
      <c r="AA286" s="4"/>
      <c r="AB286" s="4"/>
      <c r="AC286" s="4"/>
      <c r="AD286" s="4"/>
      <c r="AE286" s="4"/>
      <c r="AF286" s="4"/>
      <c r="AG286" s="4"/>
      <c r="AH286" s="4"/>
      <c r="AI286" s="4"/>
      <c r="AJ286" s="4"/>
      <c r="AK286" s="4"/>
      <c r="AL286" s="4"/>
      <c r="AM286" s="4" t="s">
        <v>611</v>
      </c>
      <c r="AN286" s="4"/>
      <c r="AO286" s="4"/>
      <c r="AP286" s="4"/>
      <c r="AQ286" s="4"/>
      <c r="AR286" s="4" t="s">
        <v>65</v>
      </c>
      <c r="AS286" s="4">
        <v>2011</v>
      </c>
      <c r="AT286" s="4">
        <v>37</v>
      </c>
      <c r="AU286" s="4">
        <v>5</v>
      </c>
      <c r="AV286" s="4"/>
      <c r="AW286" s="4"/>
      <c r="AX286" s="4" t="s">
        <v>569</v>
      </c>
      <c r="AY286" s="4"/>
      <c r="AZ286" s="4">
        <v>556</v>
      </c>
      <c r="BA286" s="4">
        <v>561</v>
      </c>
      <c r="BB286" s="4"/>
      <c r="BC286" s="4" t="s">
        <v>612</v>
      </c>
      <c r="BD286" s="5" t="str">
        <f>HYPERLINK("http://dx.doi.org/10.1016/j.pubrev.2011.09.023","http://dx.doi.org/10.1016/j.pubrev.2011.09.023")</f>
        <v>http://dx.doi.org/10.1016/j.pubrev.2011.09.023</v>
      </c>
      <c r="BE286" s="4"/>
      <c r="BF286" s="4"/>
      <c r="BG286" s="4"/>
      <c r="BH286" s="4"/>
      <c r="BI286" s="4"/>
      <c r="BJ286" s="4" t="s">
        <v>613</v>
      </c>
      <c r="BK286" s="4"/>
      <c r="BL286" s="4"/>
      <c r="BM286" s="4"/>
      <c r="BN286" s="4"/>
      <c r="BO286" s="4"/>
      <c r="BP286" s="4"/>
      <c r="BQ286" s="4"/>
      <c r="BR286" s="4"/>
      <c r="BS286" s="4"/>
      <c r="BT286" s="4"/>
      <c r="BU286" s="12" t="s">
        <v>7271</v>
      </c>
      <c r="BV286" s="12" t="s">
        <v>7188</v>
      </c>
      <c r="BW286" s="12" t="s">
        <v>7189</v>
      </c>
    </row>
    <row r="287" spans="1:75" ht="12.75" customHeight="1">
      <c r="A287" s="4" t="s">
        <v>63</v>
      </c>
      <c r="B287" s="4" t="s">
        <v>2313</v>
      </c>
      <c r="C287" s="4"/>
      <c r="D287" s="4"/>
      <c r="E287" s="4"/>
      <c r="F287" s="4" t="s">
        <v>2314</v>
      </c>
      <c r="G287" s="4"/>
      <c r="H287" s="4"/>
      <c r="I287" s="4" t="s">
        <v>2315</v>
      </c>
      <c r="J287" s="4" t="s">
        <v>2316</v>
      </c>
      <c r="K287" s="4"/>
      <c r="L287" s="4"/>
      <c r="M287" s="4"/>
      <c r="N287" s="4"/>
      <c r="O287" s="4"/>
      <c r="P287" s="4"/>
      <c r="Q287" s="4"/>
      <c r="R287" s="4"/>
      <c r="S287" s="4"/>
      <c r="T287" s="4" t="s">
        <v>2317</v>
      </c>
      <c r="U287" s="4"/>
      <c r="V287" s="4"/>
      <c r="W287" s="4"/>
      <c r="X287" s="4"/>
      <c r="Y287" s="4" t="s">
        <v>2318</v>
      </c>
      <c r="Z287" s="4" t="s">
        <v>2319</v>
      </c>
      <c r="AA287" s="4"/>
      <c r="AB287" s="4"/>
      <c r="AC287" s="4"/>
      <c r="AD287" s="4"/>
      <c r="AE287" s="4"/>
      <c r="AF287" s="4"/>
      <c r="AG287" s="4"/>
      <c r="AH287" s="4"/>
      <c r="AI287" s="4"/>
      <c r="AJ287" s="4"/>
      <c r="AK287" s="4"/>
      <c r="AL287" s="4"/>
      <c r="AM287" s="4" t="s">
        <v>2320</v>
      </c>
      <c r="AN287" s="4" t="s">
        <v>2321</v>
      </c>
      <c r="AO287" s="4"/>
      <c r="AP287" s="4"/>
      <c r="AQ287" s="4"/>
      <c r="AR287" s="4"/>
      <c r="AS287" s="4">
        <v>2016</v>
      </c>
      <c r="AT287" s="4">
        <v>24</v>
      </c>
      <c r="AU287" s="4">
        <v>2</v>
      </c>
      <c r="AV287" s="4"/>
      <c r="AW287" s="4"/>
      <c r="AX287" s="4"/>
      <c r="AY287" s="4"/>
      <c r="AZ287" s="4">
        <v>205</v>
      </c>
      <c r="BA287" s="4">
        <v>214</v>
      </c>
      <c r="BB287" s="4"/>
      <c r="BC287" s="4" t="s">
        <v>2322</v>
      </c>
      <c r="BD287" s="5" t="str">
        <f>HYPERLINK("http://dx.doi.org/10.1080/10705422.2016.1168757","http://dx.doi.org/10.1080/10705422.2016.1168757")</f>
        <v>http://dx.doi.org/10.1080/10705422.2016.1168757</v>
      </c>
      <c r="BE287" s="4"/>
      <c r="BF287" s="4"/>
      <c r="BG287" s="4"/>
      <c r="BH287" s="4"/>
      <c r="BI287" s="4"/>
      <c r="BJ287" s="4" t="s">
        <v>2323</v>
      </c>
      <c r="BK287" s="4"/>
      <c r="BL287" s="4"/>
      <c r="BM287" s="4"/>
      <c r="BN287" s="4"/>
      <c r="BO287" s="4"/>
      <c r="BP287" s="4"/>
      <c r="BQ287" s="4"/>
      <c r="BR287" s="4"/>
      <c r="BS287" s="4"/>
      <c r="BT287" s="4"/>
      <c r="BU287" s="12" t="s">
        <v>7321</v>
      </c>
      <c r="BV287" s="12" t="s">
        <v>7188</v>
      </c>
      <c r="BW287" s="12" t="s">
        <v>7189</v>
      </c>
    </row>
    <row r="288" spans="1:75" ht="12.75" customHeight="1">
      <c r="A288" s="4" t="s">
        <v>63</v>
      </c>
      <c r="B288" s="4" t="s">
        <v>3745</v>
      </c>
      <c r="C288" s="4"/>
      <c r="D288" s="4"/>
      <c r="E288" s="4"/>
      <c r="F288" s="4" t="s">
        <v>3746</v>
      </c>
      <c r="G288" s="4"/>
      <c r="H288" s="4"/>
      <c r="I288" s="4" t="s">
        <v>3747</v>
      </c>
      <c r="J288" s="4" t="s">
        <v>3748</v>
      </c>
      <c r="K288" s="4"/>
      <c r="L288" s="4"/>
      <c r="M288" s="4"/>
      <c r="N288" s="4"/>
      <c r="O288" s="4"/>
      <c r="P288" s="4"/>
      <c r="Q288" s="4"/>
      <c r="R288" s="4"/>
      <c r="S288" s="4"/>
      <c r="T288" s="4" t="s">
        <v>3749</v>
      </c>
      <c r="U288" s="4"/>
      <c r="V288" s="4"/>
      <c r="W288" s="4"/>
      <c r="X288" s="4"/>
      <c r="Y288" s="4" t="s">
        <v>3750</v>
      </c>
      <c r="Z288" s="4" t="s">
        <v>2535</v>
      </c>
      <c r="AA288" s="4"/>
      <c r="AB288" s="4"/>
      <c r="AC288" s="4"/>
      <c r="AD288" s="4"/>
      <c r="AE288" s="4"/>
      <c r="AF288" s="4"/>
      <c r="AG288" s="4"/>
      <c r="AH288" s="4"/>
      <c r="AI288" s="4"/>
      <c r="AJ288" s="4"/>
      <c r="AK288" s="4"/>
      <c r="AL288" s="4"/>
      <c r="AM288" s="4"/>
      <c r="AN288" s="4" t="s">
        <v>3751</v>
      </c>
      <c r="AO288" s="4"/>
      <c r="AP288" s="4"/>
      <c r="AQ288" s="4"/>
      <c r="AR288" s="4" t="s">
        <v>3752</v>
      </c>
      <c r="AS288" s="4">
        <v>2019</v>
      </c>
      <c r="AT288" s="4">
        <v>8</v>
      </c>
      <c r="AU288" s="4">
        <v>4</v>
      </c>
      <c r="AV288" s="4"/>
      <c r="AW288" s="4"/>
      <c r="AX288" s="4"/>
      <c r="AY288" s="4"/>
      <c r="AZ288" s="4"/>
      <c r="BA288" s="4"/>
      <c r="BB288" s="4" t="s">
        <v>3753</v>
      </c>
      <c r="BC288" s="4" t="s">
        <v>3754</v>
      </c>
      <c r="BD288" s="5" t="str">
        <f>HYPERLINK("http://dx.doi.org/10.1161/JAHA.118.010694","http://dx.doi.org/10.1161/JAHA.118.010694")</f>
        <v>http://dx.doi.org/10.1161/JAHA.118.010694</v>
      </c>
      <c r="BE288" s="4"/>
      <c r="BF288" s="4"/>
      <c r="BG288" s="4"/>
      <c r="BH288" s="4"/>
      <c r="BI288" s="4">
        <v>30741595</v>
      </c>
      <c r="BJ288" s="4" t="s">
        <v>3755</v>
      </c>
      <c r="BK288" s="4"/>
      <c r="BL288" s="4"/>
      <c r="BM288" s="4"/>
      <c r="BN288" s="4"/>
      <c r="BO288" s="4"/>
      <c r="BP288" s="4"/>
      <c r="BQ288" s="4"/>
      <c r="BR288" s="4"/>
      <c r="BS288" s="4"/>
      <c r="BT288" s="4"/>
      <c r="BU288" s="12" t="s">
        <v>7323</v>
      </c>
      <c r="BV288" s="12" t="s">
        <v>7188</v>
      </c>
      <c r="BW288" s="12" t="s">
        <v>7189</v>
      </c>
    </row>
    <row r="289" spans="1:75" ht="12.75" customHeight="1">
      <c r="A289" s="4" t="s">
        <v>63</v>
      </c>
      <c r="B289" s="4" t="s">
        <v>1453</v>
      </c>
      <c r="C289" s="4"/>
      <c r="D289" s="4"/>
      <c r="E289" s="4"/>
      <c r="F289" s="4" t="s">
        <v>1454</v>
      </c>
      <c r="G289" s="4"/>
      <c r="H289" s="4"/>
      <c r="I289" s="4" t="s">
        <v>1455</v>
      </c>
      <c r="J289" s="4" t="s">
        <v>1456</v>
      </c>
      <c r="K289" s="4"/>
      <c r="L289" s="4"/>
      <c r="M289" s="4"/>
      <c r="N289" s="4"/>
      <c r="O289" s="4"/>
      <c r="P289" s="4"/>
      <c r="Q289" s="4"/>
      <c r="R289" s="4"/>
      <c r="S289" s="4"/>
      <c r="T289" s="4" t="s">
        <v>1457</v>
      </c>
      <c r="U289" s="4"/>
      <c r="V289" s="4"/>
      <c r="W289" s="4"/>
      <c r="X289" s="4"/>
      <c r="Y289" s="4"/>
      <c r="Z289" s="4"/>
      <c r="AA289" s="4"/>
      <c r="AB289" s="4"/>
      <c r="AC289" s="4"/>
      <c r="AD289" s="4"/>
      <c r="AE289" s="4"/>
      <c r="AF289" s="4"/>
      <c r="AG289" s="4"/>
      <c r="AH289" s="4"/>
      <c r="AI289" s="4"/>
      <c r="AJ289" s="4"/>
      <c r="AK289" s="4"/>
      <c r="AL289" s="4"/>
      <c r="AM289" s="4" t="s">
        <v>1458</v>
      </c>
      <c r="AN289" s="4" t="s">
        <v>1459</v>
      </c>
      <c r="AO289" s="4"/>
      <c r="AP289" s="4"/>
      <c r="AQ289" s="4"/>
      <c r="AR289" s="4" t="s">
        <v>65</v>
      </c>
      <c r="AS289" s="4">
        <v>2014</v>
      </c>
      <c r="AT289" s="4">
        <v>41</v>
      </c>
      <c r="AU289" s="4">
        <v>4</v>
      </c>
      <c r="AV289" s="4"/>
      <c r="AW289" s="4"/>
      <c r="AX289" s="4"/>
      <c r="AY289" s="4"/>
      <c r="AZ289" s="4">
        <v>815</v>
      </c>
      <c r="BA289" s="4" t="s">
        <v>1460</v>
      </c>
      <c r="BB289" s="4"/>
      <c r="BC289" s="4" t="s">
        <v>1461</v>
      </c>
      <c r="BD289" s="5" t="str">
        <f>HYPERLINK("http://dx.doi.org/10.1016/j.clp.2014.08.006","http://dx.doi.org/10.1016/j.clp.2014.08.006")</f>
        <v>http://dx.doi.org/10.1016/j.clp.2014.08.006</v>
      </c>
      <c r="BE289" s="4"/>
      <c r="BF289" s="4"/>
      <c r="BG289" s="4"/>
      <c r="BH289" s="4"/>
      <c r="BI289" s="4">
        <v>25459776</v>
      </c>
      <c r="BJ289" s="4" t="s">
        <v>1462</v>
      </c>
      <c r="BK289" s="4"/>
      <c r="BL289" s="4"/>
      <c r="BM289" s="4"/>
      <c r="BN289" s="4"/>
      <c r="BO289" s="4"/>
      <c r="BP289" s="4"/>
      <c r="BQ289" s="4"/>
      <c r="BR289" s="4"/>
      <c r="BS289" s="4"/>
      <c r="BT289" s="4"/>
      <c r="BU289" s="12" t="s">
        <v>7330</v>
      </c>
      <c r="BV289" s="12" t="s">
        <v>7188</v>
      </c>
      <c r="BW289" s="12" t="s">
        <v>7189</v>
      </c>
    </row>
    <row r="290" spans="1:75" ht="12.75" customHeight="1">
      <c r="A290" s="4" t="s">
        <v>63</v>
      </c>
      <c r="B290" s="4" t="s">
        <v>3335</v>
      </c>
      <c r="C290" s="4"/>
      <c r="D290" s="4"/>
      <c r="E290" s="4"/>
      <c r="F290" s="4" t="s">
        <v>3336</v>
      </c>
      <c r="G290" s="4"/>
      <c r="H290" s="4"/>
      <c r="I290" s="4" t="s">
        <v>3337</v>
      </c>
      <c r="J290" s="4" t="s">
        <v>166</v>
      </c>
      <c r="K290" s="4"/>
      <c r="L290" s="4"/>
      <c r="M290" s="4"/>
      <c r="N290" s="4"/>
      <c r="O290" s="4"/>
      <c r="P290" s="4"/>
      <c r="Q290" s="4"/>
      <c r="R290" s="4"/>
      <c r="S290" s="4"/>
      <c r="T290" s="4" t="s">
        <v>3338</v>
      </c>
      <c r="U290" s="4"/>
      <c r="V290" s="4"/>
      <c r="W290" s="4"/>
      <c r="X290" s="4"/>
      <c r="Y290" s="4"/>
      <c r="Z290" s="4"/>
      <c r="AA290" s="4"/>
      <c r="AB290" s="4"/>
      <c r="AC290" s="4"/>
      <c r="AD290" s="4"/>
      <c r="AE290" s="4"/>
      <c r="AF290" s="4"/>
      <c r="AG290" s="4"/>
      <c r="AH290" s="4"/>
      <c r="AI290" s="4"/>
      <c r="AJ290" s="4"/>
      <c r="AK290" s="4"/>
      <c r="AL290" s="4"/>
      <c r="AM290" s="4" t="s">
        <v>170</v>
      </c>
      <c r="AN290" s="4" t="s">
        <v>945</v>
      </c>
      <c r="AO290" s="4"/>
      <c r="AP290" s="4"/>
      <c r="AQ290" s="4"/>
      <c r="AR290" s="4" t="s">
        <v>3309</v>
      </c>
      <c r="AS290" s="4">
        <v>2018</v>
      </c>
      <c r="AT290" s="4">
        <v>128</v>
      </c>
      <c r="AU290" s="4"/>
      <c r="AV290" s="4"/>
      <c r="AW290" s="4"/>
      <c r="AX290" s="4"/>
      <c r="AY290" s="4"/>
      <c r="AZ290" s="4">
        <v>311</v>
      </c>
      <c r="BA290" s="4">
        <v>320</v>
      </c>
      <c r="BB290" s="4"/>
      <c r="BC290" s="4" t="s">
        <v>3339</v>
      </c>
      <c r="BD290" s="5" t="str">
        <f>HYPERLINK("http://dx.doi.org/10.1016/j.appet.2018.05.147","http://dx.doi.org/10.1016/j.appet.2018.05.147")</f>
        <v>http://dx.doi.org/10.1016/j.appet.2018.05.147</v>
      </c>
      <c r="BE290" s="4"/>
      <c r="BF290" s="4"/>
      <c r="BG290" s="4"/>
      <c r="BH290" s="4"/>
      <c r="BI290" s="4">
        <v>29885386</v>
      </c>
      <c r="BJ290" s="4" t="s">
        <v>3340</v>
      </c>
      <c r="BK290" s="4"/>
      <c r="BL290" s="4"/>
      <c r="BM290" s="4"/>
      <c r="BN290" s="4"/>
      <c r="BO290" s="4"/>
      <c r="BP290" s="4"/>
      <c r="BQ290" s="4"/>
      <c r="BR290" s="4"/>
      <c r="BS290" s="4"/>
      <c r="BT290" s="4"/>
      <c r="BU290" s="12" t="s">
        <v>7225</v>
      </c>
      <c r="BV290" s="12" t="s">
        <v>7188</v>
      </c>
      <c r="BW290" s="12" t="s">
        <v>7189</v>
      </c>
    </row>
    <row r="291" spans="1:75" ht="12.75" customHeight="1">
      <c r="A291" s="6" t="s">
        <v>63</v>
      </c>
      <c r="B291" s="6" t="s">
        <v>6801</v>
      </c>
      <c r="C291" s="6"/>
      <c r="D291" s="6"/>
      <c r="E291" s="6"/>
      <c r="F291" s="6" t="s">
        <v>6802</v>
      </c>
      <c r="G291" s="6"/>
      <c r="H291" s="6"/>
      <c r="I291" s="6" t="s">
        <v>6803</v>
      </c>
      <c r="J291" s="6" t="s">
        <v>3374</v>
      </c>
      <c r="K291" s="6"/>
      <c r="L291" s="6"/>
      <c r="M291" s="6"/>
      <c r="N291" s="6"/>
      <c r="O291" s="6"/>
      <c r="P291" s="6"/>
      <c r="Q291" s="6"/>
      <c r="R291" s="6"/>
      <c r="S291" s="6"/>
      <c r="T291" s="6" t="s">
        <v>6804</v>
      </c>
      <c r="U291" s="6"/>
      <c r="V291" s="6"/>
      <c r="W291" s="6"/>
      <c r="X291" s="6"/>
      <c r="Y291" s="6"/>
      <c r="Z291" s="6" t="s">
        <v>6805</v>
      </c>
      <c r="AA291" s="6"/>
      <c r="AB291" s="6"/>
      <c r="AC291" s="6"/>
      <c r="AD291" s="6"/>
      <c r="AE291" s="6"/>
      <c r="AF291" s="6"/>
      <c r="AG291" s="6"/>
      <c r="AH291" s="6"/>
      <c r="AI291" s="6"/>
      <c r="AJ291" s="6"/>
      <c r="AK291" s="6"/>
      <c r="AL291" s="6"/>
      <c r="AM291" s="6"/>
      <c r="AN291" s="6" t="s">
        <v>3377</v>
      </c>
      <c r="AO291" s="6"/>
      <c r="AP291" s="6"/>
      <c r="AQ291" s="6"/>
      <c r="AR291" s="6" t="s">
        <v>121</v>
      </c>
      <c r="AS291" s="6">
        <v>2024</v>
      </c>
      <c r="AT291" s="6">
        <v>16</v>
      </c>
      <c r="AU291" s="6">
        <v>16</v>
      </c>
      <c r="AV291" s="6"/>
      <c r="AW291" s="6"/>
      <c r="AX291" s="6"/>
      <c r="AY291" s="6"/>
      <c r="AZ291" s="6"/>
      <c r="BA291" s="6"/>
      <c r="BB291" s="6">
        <v>7109</v>
      </c>
      <c r="BC291" s="6" t="s">
        <v>6806</v>
      </c>
      <c r="BD291" s="9" t="str">
        <f>HYPERLINK("http://dx.doi.org/10.3390/su16167109","http://dx.doi.org/10.3390/su16167109")</f>
        <v>http://dx.doi.org/10.3390/su16167109</v>
      </c>
      <c r="BE291" s="6"/>
      <c r="BF291" s="6"/>
      <c r="BG291" s="6"/>
      <c r="BH291" s="6"/>
      <c r="BI291" s="6"/>
      <c r="BJ291" s="6" t="s">
        <v>6807</v>
      </c>
      <c r="BK291" s="6"/>
      <c r="BL291" s="6"/>
      <c r="BM291" s="6"/>
      <c r="BN291" s="6"/>
      <c r="BO291" s="6"/>
      <c r="BP291" s="6"/>
      <c r="BQ291" s="6"/>
      <c r="BR291" s="6"/>
      <c r="BS291" s="6"/>
      <c r="BT291" s="6"/>
      <c r="BU291" s="8" t="s">
        <v>7206</v>
      </c>
      <c r="BV291" s="8" t="s">
        <v>7188</v>
      </c>
      <c r="BW291" s="8" t="s">
        <v>7189</v>
      </c>
    </row>
    <row r="292" spans="1:75" ht="12.75" customHeight="1">
      <c r="A292" s="4" t="s">
        <v>63</v>
      </c>
      <c r="B292" s="4" t="s">
        <v>2324</v>
      </c>
      <c r="C292" s="4"/>
      <c r="D292" s="4"/>
      <c r="E292" s="4"/>
      <c r="F292" s="4" t="s">
        <v>2325</v>
      </c>
      <c r="G292" s="4"/>
      <c r="H292" s="4"/>
      <c r="I292" s="4" t="s">
        <v>2326</v>
      </c>
      <c r="J292" s="4" t="s">
        <v>2327</v>
      </c>
      <c r="K292" s="4"/>
      <c r="L292" s="4"/>
      <c r="M292" s="4"/>
      <c r="N292" s="4"/>
      <c r="O292" s="4"/>
      <c r="P292" s="4"/>
      <c r="Q292" s="4"/>
      <c r="R292" s="4"/>
      <c r="S292" s="4"/>
      <c r="T292" s="4" t="s">
        <v>2328</v>
      </c>
      <c r="U292" s="4"/>
      <c r="V292" s="4"/>
      <c r="W292" s="4"/>
      <c r="X292" s="4"/>
      <c r="Y292" s="4" t="s">
        <v>2329</v>
      </c>
      <c r="Z292" s="4" t="s">
        <v>2330</v>
      </c>
      <c r="AA292" s="4"/>
      <c r="AB292" s="4"/>
      <c r="AC292" s="4"/>
      <c r="AD292" s="4"/>
      <c r="AE292" s="4"/>
      <c r="AF292" s="4"/>
      <c r="AG292" s="4"/>
      <c r="AH292" s="4"/>
      <c r="AI292" s="4"/>
      <c r="AJ292" s="4"/>
      <c r="AK292" s="4"/>
      <c r="AL292" s="4"/>
      <c r="AM292" s="4" t="s">
        <v>2331</v>
      </c>
      <c r="AN292" s="4" t="s">
        <v>2332</v>
      </c>
      <c r="AO292" s="4"/>
      <c r="AP292" s="4"/>
      <c r="AQ292" s="4"/>
      <c r="AR292" s="4" t="s">
        <v>92</v>
      </c>
      <c r="AS292" s="4">
        <v>2016</v>
      </c>
      <c r="AT292" s="4">
        <v>60</v>
      </c>
      <c r="AU292" s="4">
        <v>11</v>
      </c>
      <c r="AV292" s="4"/>
      <c r="AW292" s="4"/>
      <c r="AX292" s="4" t="s">
        <v>569</v>
      </c>
      <c r="AY292" s="4"/>
      <c r="AZ292" s="4">
        <v>1306</v>
      </c>
      <c r="BA292" s="4">
        <v>1321</v>
      </c>
      <c r="BB292" s="4"/>
      <c r="BC292" s="4" t="s">
        <v>2333</v>
      </c>
      <c r="BD292" s="5" t="str">
        <f>HYPERLINK("http://dx.doi.org/10.1177/0002764216657380","http://dx.doi.org/10.1177/0002764216657380")</f>
        <v>http://dx.doi.org/10.1177/0002764216657380</v>
      </c>
      <c r="BE292" s="4"/>
      <c r="BF292" s="4"/>
      <c r="BG292" s="4"/>
      <c r="BH292" s="4"/>
      <c r="BI292" s="4"/>
      <c r="BJ292" s="4" t="s">
        <v>2334</v>
      </c>
      <c r="BK292" s="4"/>
      <c r="BL292" s="4"/>
      <c r="BM292" s="4"/>
      <c r="BN292" s="4"/>
      <c r="BO292" s="4"/>
      <c r="BP292" s="4"/>
      <c r="BQ292" s="4"/>
      <c r="BR292" s="4"/>
      <c r="BS292" s="4"/>
      <c r="BT292" s="4"/>
      <c r="BU292" s="12" t="s">
        <v>7193</v>
      </c>
      <c r="BV292" s="12" t="s">
        <v>7188</v>
      </c>
      <c r="BW292" s="12" t="s">
        <v>7189</v>
      </c>
    </row>
    <row r="293" spans="1:75" ht="12.75" customHeight="1">
      <c r="A293" s="6" t="s">
        <v>63</v>
      </c>
      <c r="B293" s="6" t="s">
        <v>2335</v>
      </c>
      <c r="C293" s="6"/>
      <c r="D293" s="6"/>
      <c r="E293" s="6"/>
      <c r="F293" s="6" t="s">
        <v>2336</v>
      </c>
      <c r="G293" s="6"/>
      <c r="H293" s="6"/>
      <c r="I293" s="6" t="s">
        <v>2337</v>
      </c>
      <c r="J293" s="6" t="s">
        <v>2338</v>
      </c>
      <c r="K293" s="6"/>
      <c r="L293" s="6"/>
      <c r="M293" s="6"/>
      <c r="N293" s="6"/>
      <c r="O293" s="6"/>
      <c r="P293" s="6"/>
      <c r="Q293" s="6"/>
      <c r="R293" s="6"/>
      <c r="S293" s="6"/>
      <c r="T293" s="6" t="s">
        <v>2339</v>
      </c>
      <c r="U293" s="6"/>
      <c r="V293" s="6"/>
      <c r="W293" s="6"/>
      <c r="X293" s="6"/>
      <c r="Y293" s="6" t="s">
        <v>2340</v>
      </c>
      <c r="Z293" s="6" t="s">
        <v>2341</v>
      </c>
      <c r="AA293" s="6"/>
      <c r="AB293" s="6"/>
      <c r="AC293" s="6"/>
      <c r="AD293" s="6"/>
      <c r="AE293" s="6"/>
      <c r="AF293" s="6"/>
      <c r="AG293" s="6"/>
      <c r="AH293" s="6"/>
      <c r="AI293" s="6"/>
      <c r="AJ293" s="6"/>
      <c r="AK293" s="6"/>
      <c r="AL293" s="6"/>
      <c r="AM293" s="6" t="s">
        <v>2342</v>
      </c>
      <c r="AN293" s="6" t="s">
        <v>2343</v>
      </c>
      <c r="AO293" s="6"/>
      <c r="AP293" s="6"/>
      <c r="AQ293" s="6"/>
      <c r="AR293" s="6" t="s">
        <v>65</v>
      </c>
      <c r="AS293" s="6">
        <v>2016</v>
      </c>
      <c r="AT293" s="6">
        <v>139</v>
      </c>
      <c r="AU293" s="6">
        <v>2</v>
      </c>
      <c r="AV293" s="6"/>
      <c r="AW293" s="6"/>
      <c r="AX293" s="6"/>
      <c r="AY293" s="6"/>
      <c r="AZ293" s="6">
        <v>215</v>
      </c>
      <c r="BA293" s="6">
        <v>224</v>
      </c>
      <c r="BB293" s="6"/>
      <c r="BC293" s="6" t="s">
        <v>2344</v>
      </c>
      <c r="BD293" s="9" t="str">
        <f>HYPERLINK("http://dx.doi.org/10.1007/s10551-015-2605-5","http://dx.doi.org/10.1007/s10551-015-2605-5")</f>
        <v>http://dx.doi.org/10.1007/s10551-015-2605-5</v>
      </c>
      <c r="BE293" s="6"/>
      <c r="BF293" s="6"/>
      <c r="BG293" s="6"/>
      <c r="BH293" s="6"/>
      <c r="BI293" s="6"/>
      <c r="BJ293" s="6" t="s">
        <v>2345</v>
      </c>
      <c r="BK293" s="6"/>
      <c r="BL293" s="6"/>
      <c r="BM293" s="6"/>
      <c r="BN293" s="6"/>
      <c r="BO293" s="6"/>
      <c r="BP293" s="6"/>
      <c r="BQ293" s="6"/>
      <c r="BR293" s="6"/>
      <c r="BS293" s="6"/>
      <c r="BT293" s="6"/>
      <c r="BU293" s="8" t="s">
        <v>7193</v>
      </c>
      <c r="BV293" s="8" t="s">
        <v>7188</v>
      </c>
      <c r="BW293" s="8" t="s">
        <v>7189</v>
      </c>
    </row>
    <row r="294" spans="1:75" ht="12.75" customHeight="1">
      <c r="A294" s="4" t="s">
        <v>63</v>
      </c>
      <c r="B294" s="4" t="s">
        <v>5577</v>
      </c>
      <c r="C294" s="4"/>
      <c r="D294" s="4"/>
      <c r="E294" s="4"/>
      <c r="F294" s="4" t="s">
        <v>5578</v>
      </c>
      <c r="G294" s="4"/>
      <c r="H294" s="4"/>
      <c r="I294" s="4" t="s">
        <v>5579</v>
      </c>
      <c r="J294" s="4" t="s">
        <v>3865</v>
      </c>
      <c r="K294" s="4"/>
      <c r="L294" s="4"/>
      <c r="M294" s="4"/>
      <c r="N294" s="4"/>
      <c r="O294" s="4"/>
      <c r="P294" s="4"/>
      <c r="Q294" s="4"/>
      <c r="R294" s="4"/>
      <c r="S294" s="4"/>
      <c r="T294" s="4" t="s">
        <v>5580</v>
      </c>
      <c r="U294" s="4"/>
      <c r="V294" s="4"/>
      <c r="W294" s="4"/>
      <c r="X294" s="4"/>
      <c r="Y294" s="4"/>
      <c r="Z294" s="4"/>
      <c r="AA294" s="4"/>
      <c r="AB294" s="4"/>
      <c r="AC294" s="4"/>
      <c r="AD294" s="4"/>
      <c r="AE294" s="4"/>
      <c r="AF294" s="4"/>
      <c r="AG294" s="4"/>
      <c r="AH294" s="4"/>
      <c r="AI294" s="4"/>
      <c r="AJ294" s="4"/>
      <c r="AK294" s="4"/>
      <c r="AL294" s="4"/>
      <c r="AM294" s="4" t="s">
        <v>3867</v>
      </c>
      <c r="AN294" s="4" t="s">
        <v>3868</v>
      </c>
      <c r="AO294" s="4"/>
      <c r="AP294" s="4"/>
      <c r="AQ294" s="4"/>
      <c r="AR294" s="4" t="s">
        <v>82</v>
      </c>
      <c r="AS294" s="4">
        <v>2022</v>
      </c>
      <c r="AT294" s="4">
        <v>21</v>
      </c>
      <c r="AU294" s="4">
        <v>1</v>
      </c>
      <c r="AV294" s="4"/>
      <c r="AW294" s="4"/>
      <c r="AX294" s="4"/>
      <c r="AY294" s="4"/>
      <c r="AZ294" s="4">
        <v>4</v>
      </c>
      <c r="BA294" s="4">
        <v>20</v>
      </c>
      <c r="BB294" s="4">
        <v>1.5356841211007758E+16</v>
      </c>
      <c r="BC294" s="4" t="s">
        <v>5581</v>
      </c>
      <c r="BD294" s="5" t="str">
        <f>HYPERLINK("http://dx.doi.org/10.1177/15356841211007758","http://dx.doi.org/10.1177/15356841211007758")</f>
        <v>http://dx.doi.org/10.1177/15356841211007758</v>
      </c>
      <c r="BE294" s="4"/>
      <c r="BF294" s="4" t="s">
        <v>5117</v>
      </c>
      <c r="BG294" s="4"/>
      <c r="BH294" s="4"/>
      <c r="BI294" s="4"/>
      <c r="BJ294" s="4" t="s">
        <v>5582</v>
      </c>
      <c r="BK294" s="4"/>
      <c r="BL294" s="4"/>
      <c r="BM294" s="4"/>
      <c r="BN294" s="4"/>
      <c r="BO294" s="4"/>
      <c r="BP294" s="4"/>
      <c r="BQ294" s="4"/>
      <c r="BR294" s="4"/>
      <c r="BS294" s="4"/>
      <c r="BT294" s="4"/>
      <c r="BU294" s="12" t="s">
        <v>7340</v>
      </c>
      <c r="BV294" s="12" t="s">
        <v>7341</v>
      </c>
      <c r="BW294" s="12" t="s">
        <v>7205</v>
      </c>
    </row>
    <row r="295" spans="1:75" ht="12.75" customHeight="1">
      <c r="A295" s="6" t="s">
        <v>63</v>
      </c>
      <c r="B295" s="6" t="s">
        <v>2346</v>
      </c>
      <c r="C295" s="6"/>
      <c r="D295" s="6"/>
      <c r="E295" s="6"/>
      <c r="F295" s="6" t="s">
        <v>2347</v>
      </c>
      <c r="G295" s="6"/>
      <c r="H295" s="6"/>
      <c r="I295" s="6" t="s">
        <v>2348</v>
      </c>
      <c r="J295" s="6" t="s">
        <v>1997</v>
      </c>
      <c r="K295" s="6"/>
      <c r="L295" s="6"/>
      <c r="M295" s="6"/>
      <c r="N295" s="6"/>
      <c r="O295" s="6"/>
      <c r="P295" s="6"/>
      <c r="Q295" s="6"/>
      <c r="R295" s="6"/>
      <c r="S295" s="6"/>
      <c r="T295" s="6" t="s">
        <v>2349</v>
      </c>
      <c r="U295" s="6"/>
      <c r="V295" s="6"/>
      <c r="W295" s="6"/>
      <c r="X295" s="6"/>
      <c r="Y295" s="6"/>
      <c r="Z295" s="6"/>
      <c r="AA295" s="6"/>
      <c r="AB295" s="6"/>
      <c r="AC295" s="6"/>
      <c r="AD295" s="6"/>
      <c r="AE295" s="6"/>
      <c r="AF295" s="6"/>
      <c r="AG295" s="6"/>
      <c r="AH295" s="6"/>
      <c r="AI295" s="6"/>
      <c r="AJ295" s="6"/>
      <c r="AK295" s="6"/>
      <c r="AL295" s="6"/>
      <c r="AM295" s="6" t="s">
        <v>1999</v>
      </c>
      <c r="AN295" s="6" t="s">
        <v>2000</v>
      </c>
      <c r="AO295" s="6"/>
      <c r="AP295" s="6"/>
      <c r="AQ295" s="6"/>
      <c r="AR295" s="6" t="s">
        <v>78</v>
      </c>
      <c r="AS295" s="6">
        <v>2016</v>
      </c>
      <c r="AT295" s="6">
        <v>17</v>
      </c>
      <c r="AU295" s="6">
        <v>3</v>
      </c>
      <c r="AV295" s="6"/>
      <c r="AW295" s="6"/>
      <c r="AX295" s="6"/>
      <c r="AY295" s="6"/>
      <c r="AZ295" s="6">
        <v>400</v>
      </c>
      <c r="BA295" s="6">
        <v>407</v>
      </c>
      <c r="BB295" s="6"/>
      <c r="BC295" s="6" t="s">
        <v>2350</v>
      </c>
      <c r="BD295" s="9" t="str">
        <f>HYPERLINK("http://dx.doi.org/10.1177/1524839915610517","http://dx.doi.org/10.1177/1524839915610517")</f>
        <v>http://dx.doi.org/10.1177/1524839915610517</v>
      </c>
      <c r="BE295" s="6"/>
      <c r="BF295" s="6"/>
      <c r="BG295" s="6"/>
      <c r="BH295" s="6"/>
      <c r="BI295" s="6">
        <v>26494034</v>
      </c>
      <c r="BJ295" s="6" t="s">
        <v>2351</v>
      </c>
      <c r="BK295" s="6"/>
      <c r="BL295" s="6"/>
      <c r="BM295" s="6"/>
      <c r="BN295" s="6"/>
      <c r="BO295" s="6"/>
      <c r="BP295" s="6"/>
      <c r="BQ295" s="6"/>
      <c r="BR295" s="6"/>
      <c r="BS295" s="6"/>
      <c r="BT295" s="6"/>
      <c r="BU295" s="8" t="s">
        <v>7271</v>
      </c>
      <c r="BV295" s="8" t="s">
        <v>7188</v>
      </c>
      <c r="BW295" s="8" t="s">
        <v>7189</v>
      </c>
    </row>
    <row r="296" spans="1:75" ht="12.75" customHeight="1">
      <c r="A296" s="4" t="s">
        <v>63</v>
      </c>
      <c r="B296" s="4" t="s">
        <v>4273</v>
      </c>
      <c r="C296" s="4"/>
      <c r="D296" s="4"/>
      <c r="E296" s="4"/>
      <c r="F296" s="4" t="s">
        <v>4274</v>
      </c>
      <c r="G296" s="4"/>
      <c r="H296" s="4"/>
      <c r="I296" s="4" t="s">
        <v>4275</v>
      </c>
      <c r="J296" s="4" t="s">
        <v>4276</v>
      </c>
      <c r="K296" s="4"/>
      <c r="L296" s="4"/>
      <c r="M296" s="4"/>
      <c r="N296" s="4"/>
      <c r="O296" s="4"/>
      <c r="P296" s="4"/>
      <c r="Q296" s="4"/>
      <c r="R296" s="4"/>
      <c r="S296" s="4"/>
      <c r="T296" s="4" t="s">
        <v>4277</v>
      </c>
      <c r="U296" s="4"/>
      <c r="V296" s="4"/>
      <c r="W296" s="4"/>
      <c r="X296" s="4"/>
      <c r="Y296" s="4"/>
      <c r="Z296" s="4"/>
      <c r="AA296" s="4"/>
      <c r="AB296" s="4"/>
      <c r="AC296" s="4"/>
      <c r="AD296" s="4"/>
      <c r="AE296" s="4"/>
      <c r="AF296" s="4"/>
      <c r="AG296" s="4"/>
      <c r="AH296" s="4"/>
      <c r="AI296" s="4"/>
      <c r="AJ296" s="4"/>
      <c r="AK296" s="4"/>
      <c r="AL296" s="4"/>
      <c r="AM296" s="4" t="s">
        <v>4278</v>
      </c>
      <c r="AN296" s="4" t="s">
        <v>4279</v>
      </c>
      <c r="AO296" s="4"/>
      <c r="AP296" s="4"/>
      <c r="AQ296" s="4"/>
      <c r="AR296" s="4" t="s">
        <v>64</v>
      </c>
      <c r="AS296" s="4">
        <v>2020</v>
      </c>
      <c r="AT296" s="4">
        <v>117</v>
      </c>
      <c r="AU296" s="4">
        <v>4</v>
      </c>
      <c r="AV296" s="4"/>
      <c r="AW296" s="4"/>
      <c r="AX296" s="4"/>
      <c r="AY296" s="4"/>
      <c r="AZ296" s="4">
        <v>437</v>
      </c>
      <c r="BA296" s="4">
        <v>441</v>
      </c>
      <c r="BB296" s="4"/>
      <c r="BC296" s="4" t="s">
        <v>4280</v>
      </c>
      <c r="BD296" s="5" t="str">
        <f>HYPERLINK("http://dx.doi.org/10.1177/0034637320968828","http://dx.doi.org/10.1177/0034637320968828")</f>
        <v>http://dx.doi.org/10.1177/0034637320968828</v>
      </c>
      <c r="BE296" s="4"/>
      <c r="BF296" s="4"/>
      <c r="BG296" s="4"/>
      <c r="BH296" s="4"/>
      <c r="BI296" s="4"/>
      <c r="BJ296" s="4" t="s">
        <v>4281</v>
      </c>
      <c r="BK296" s="4"/>
      <c r="BL296" s="4"/>
      <c r="BM296" s="4"/>
      <c r="BN296" s="4"/>
      <c r="BO296" s="4"/>
      <c r="BP296" s="4"/>
      <c r="BQ296" s="4"/>
      <c r="BR296" s="4"/>
      <c r="BS296" s="4"/>
      <c r="BT296" s="4"/>
      <c r="BU296" s="12" t="s">
        <v>7321</v>
      </c>
      <c r="BV296" s="12" t="s">
        <v>7188</v>
      </c>
      <c r="BW296" s="12" t="s">
        <v>7189</v>
      </c>
    </row>
    <row r="297" spans="1:75" ht="12.75" customHeight="1">
      <c r="A297" s="3" t="s">
        <v>63</v>
      </c>
      <c r="B297" s="3" t="s">
        <v>3756</v>
      </c>
      <c r="C297" s="3"/>
      <c r="D297" s="3"/>
      <c r="E297" s="3"/>
      <c r="F297" s="3" t="s">
        <v>3757</v>
      </c>
      <c r="G297" s="3"/>
      <c r="H297" s="3"/>
      <c r="I297" s="3" t="s">
        <v>3758</v>
      </c>
      <c r="J297" s="3" t="s">
        <v>3693</v>
      </c>
      <c r="K297" s="3"/>
      <c r="L297" s="3"/>
      <c r="M297" s="3"/>
      <c r="N297" s="3"/>
      <c r="O297" s="3"/>
      <c r="P297" s="3"/>
      <c r="Q297" s="3"/>
      <c r="R297" s="3"/>
      <c r="S297" s="3"/>
      <c r="T297" s="3" t="s">
        <v>3759</v>
      </c>
      <c r="U297" s="3"/>
      <c r="V297" s="3"/>
      <c r="W297" s="3"/>
      <c r="X297" s="3"/>
      <c r="Y297" s="3" t="s">
        <v>3760</v>
      </c>
      <c r="Z297" s="3" t="s">
        <v>3761</v>
      </c>
      <c r="AA297" s="3"/>
      <c r="AB297" s="3"/>
      <c r="AC297" s="3"/>
      <c r="AD297" s="3"/>
      <c r="AE297" s="3"/>
      <c r="AF297" s="3"/>
      <c r="AG297" s="3"/>
      <c r="AH297" s="3"/>
      <c r="AI297" s="3"/>
      <c r="AJ297" s="3"/>
      <c r="AK297" s="3"/>
      <c r="AL297" s="3"/>
      <c r="AM297" s="3" t="s">
        <v>3695</v>
      </c>
      <c r="AN297" s="3" t="s">
        <v>3696</v>
      </c>
      <c r="AO297" s="3"/>
      <c r="AP297" s="3"/>
      <c r="AQ297" s="3"/>
      <c r="AR297" s="3" t="s">
        <v>121</v>
      </c>
      <c r="AS297" s="3">
        <v>2019</v>
      </c>
      <c r="AT297" s="3">
        <v>19</v>
      </c>
      <c r="AU297" s="3">
        <v>3</v>
      </c>
      <c r="AV297" s="3"/>
      <c r="AW297" s="3"/>
      <c r="AX297" s="3" t="s">
        <v>569</v>
      </c>
      <c r="AY297" s="3"/>
      <c r="AZ297" s="3"/>
      <c r="BA297" s="3"/>
      <c r="BB297" s="3" t="s">
        <v>3762</v>
      </c>
      <c r="BC297" s="3" t="s">
        <v>3763</v>
      </c>
      <c r="BD297" s="15" t="str">
        <f>HYPERLINK("http://dx.doi.org/10.1002/pa.1863","http://dx.doi.org/10.1002/pa.1863")</f>
        <v>http://dx.doi.org/10.1002/pa.1863</v>
      </c>
      <c r="BE297" s="3"/>
      <c r="BF297" s="3"/>
      <c r="BG297" s="3"/>
      <c r="BH297" s="3"/>
      <c r="BI297" s="3"/>
      <c r="BJ297" s="3" t="s">
        <v>3764</v>
      </c>
      <c r="BK297" s="3"/>
      <c r="BL297" s="3"/>
      <c r="BM297" s="3"/>
      <c r="BN297" s="3"/>
      <c r="BO297" s="3"/>
      <c r="BP297" s="3"/>
      <c r="BQ297" s="3"/>
      <c r="BR297" s="3"/>
      <c r="BS297" s="3"/>
      <c r="BT297" s="3"/>
      <c r="BU297" s="1" t="s">
        <v>7342</v>
      </c>
      <c r="BV297" s="2" t="s">
        <v>7188</v>
      </c>
      <c r="BW297" s="2" t="s">
        <v>7189</v>
      </c>
    </row>
    <row r="298" spans="1:75" ht="12.75" customHeight="1">
      <c r="A298" s="4" t="s">
        <v>63</v>
      </c>
      <c r="B298" s="4" t="s">
        <v>4891</v>
      </c>
      <c r="C298" s="4"/>
      <c r="D298" s="4"/>
      <c r="E298" s="4"/>
      <c r="F298" s="4" t="s">
        <v>4892</v>
      </c>
      <c r="G298" s="4"/>
      <c r="H298" s="4"/>
      <c r="I298" s="4" t="s">
        <v>4893</v>
      </c>
      <c r="J298" s="4" t="s">
        <v>2995</v>
      </c>
      <c r="K298" s="4"/>
      <c r="L298" s="4"/>
      <c r="M298" s="4"/>
      <c r="N298" s="4"/>
      <c r="O298" s="4"/>
      <c r="P298" s="4"/>
      <c r="Q298" s="4"/>
      <c r="R298" s="4"/>
      <c r="S298" s="4"/>
      <c r="T298" s="4" t="s">
        <v>4894</v>
      </c>
      <c r="U298" s="4"/>
      <c r="V298" s="4"/>
      <c r="W298" s="4"/>
      <c r="X298" s="4"/>
      <c r="Y298" s="4" t="s">
        <v>4895</v>
      </c>
      <c r="Z298" s="4"/>
      <c r="AA298" s="4"/>
      <c r="AB298" s="4"/>
      <c r="AC298" s="4"/>
      <c r="AD298" s="4"/>
      <c r="AE298" s="4"/>
      <c r="AF298" s="4"/>
      <c r="AG298" s="4"/>
      <c r="AH298" s="4"/>
      <c r="AI298" s="4"/>
      <c r="AJ298" s="4"/>
      <c r="AK298" s="4"/>
      <c r="AL298" s="4"/>
      <c r="AM298" s="4" t="s">
        <v>2997</v>
      </c>
      <c r="AN298" s="4" t="s">
        <v>2998</v>
      </c>
      <c r="AO298" s="4"/>
      <c r="AP298" s="4"/>
      <c r="AQ298" s="4"/>
      <c r="AR298" s="4" t="s">
        <v>65</v>
      </c>
      <c r="AS298" s="4">
        <v>2021</v>
      </c>
      <c r="AT298" s="4">
        <v>50</v>
      </c>
      <c r="AU298" s="4">
        <v>3</v>
      </c>
      <c r="AV298" s="4"/>
      <c r="AW298" s="4"/>
      <c r="AX298" s="4" t="s">
        <v>569</v>
      </c>
      <c r="AY298" s="4"/>
      <c r="AZ298" s="4">
        <v>512</v>
      </c>
      <c r="BA298" s="4">
        <v>532</v>
      </c>
      <c r="BB298" s="4"/>
      <c r="BC298" s="4" t="s">
        <v>4896</v>
      </c>
      <c r="BD298" s="5" t="str">
        <f>HYPERLINK("http://dx.doi.org/10.1017/age.2021.23","http://dx.doi.org/10.1017/age.2021.23")</f>
        <v>http://dx.doi.org/10.1017/age.2021.23</v>
      </c>
      <c r="BE298" s="4"/>
      <c r="BF298" s="4"/>
      <c r="BG298" s="4"/>
      <c r="BH298" s="4"/>
      <c r="BI298" s="4"/>
      <c r="BJ298" s="4" t="s">
        <v>4897</v>
      </c>
      <c r="BK298" s="4"/>
      <c r="BL298" s="4"/>
      <c r="BM298" s="4"/>
      <c r="BN298" s="4"/>
      <c r="BO298" s="4"/>
      <c r="BP298" s="4"/>
      <c r="BQ298" s="4"/>
      <c r="BR298" s="4"/>
      <c r="BS298" s="4"/>
      <c r="BT298" s="4"/>
      <c r="BU298" s="12" t="s">
        <v>7343</v>
      </c>
      <c r="BV298" s="12" t="s">
        <v>7188</v>
      </c>
      <c r="BW298" s="12" t="s">
        <v>7189</v>
      </c>
    </row>
    <row r="299" spans="1:75" ht="12.75" customHeight="1">
      <c r="A299" s="3" t="s">
        <v>63</v>
      </c>
      <c r="B299" s="3" t="s">
        <v>6808</v>
      </c>
      <c r="C299" s="3"/>
      <c r="D299" s="3"/>
      <c r="E299" s="3"/>
      <c r="F299" s="3" t="s">
        <v>6809</v>
      </c>
      <c r="G299" s="3"/>
      <c r="H299" s="3"/>
      <c r="I299" s="3" t="s">
        <v>6810</v>
      </c>
      <c r="J299" s="3" t="s">
        <v>166</v>
      </c>
      <c r="K299" s="3"/>
      <c r="L299" s="3"/>
      <c r="M299" s="3"/>
      <c r="N299" s="3"/>
      <c r="O299" s="3"/>
      <c r="P299" s="3"/>
      <c r="Q299" s="3"/>
      <c r="R299" s="3"/>
      <c r="S299" s="3"/>
      <c r="T299" s="3" t="s">
        <v>6811</v>
      </c>
      <c r="U299" s="3"/>
      <c r="V299" s="3"/>
      <c r="W299" s="3"/>
      <c r="X299" s="3"/>
      <c r="Y299" s="3"/>
      <c r="Z299" s="3"/>
      <c r="AA299" s="3"/>
      <c r="AB299" s="3"/>
      <c r="AC299" s="3"/>
      <c r="AD299" s="3"/>
      <c r="AE299" s="3"/>
      <c r="AF299" s="3"/>
      <c r="AG299" s="3"/>
      <c r="AH299" s="3"/>
      <c r="AI299" s="3"/>
      <c r="AJ299" s="3"/>
      <c r="AK299" s="3"/>
      <c r="AL299" s="3"/>
      <c r="AM299" s="3" t="s">
        <v>170</v>
      </c>
      <c r="AN299" s="3" t="s">
        <v>945</v>
      </c>
      <c r="AO299" s="3"/>
      <c r="AP299" s="3"/>
      <c r="AQ299" s="3"/>
      <c r="AR299" s="3" t="s">
        <v>2083</v>
      </c>
      <c r="AS299" s="3">
        <v>2024</v>
      </c>
      <c r="AT299" s="3">
        <v>197</v>
      </c>
      <c r="AU299" s="3"/>
      <c r="AV299" s="3"/>
      <c r="AW299" s="3"/>
      <c r="AX299" s="3"/>
      <c r="AY299" s="3"/>
      <c r="AZ299" s="3"/>
      <c r="BA299" s="3"/>
      <c r="BB299" s="3">
        <v>107305</v>
      </c>
      <c r="BC299" s="3" t="s">
        <v>6812</v>
      </c>
      <c r="BD299" s="15" t="str">
        <f>HYPERLINK("http://dx.doi.org/10.1016/j.appet.2024.107305","http://dx.doi.org/10.1016/j.appet.2024.107305")</f>
        <v>http://dx.doi.org/10.1016/j.appet.2024.107305</v>
      </c>
      <c r="BE299" s="3"/>
      <c r="BF299" s="3" t="s">
        <v>6813</v>
      </c>
      <c r="BG299" s="3"/>
      <c r="BH299" s="3"/>
      <c r="BI299" s="3">
        <v>38521414</v>
      </c>
      <c r="BJ299" s="3" t="s">
        <v>6814</v>
      </c>
      <c r="BK299" s="3"/>
      <c r="BL299" s="3"/>
      <c r="BM299" s="3"/>
      <c r="BN299" s="3"/>
      <c r="BO299" s="3"/>
      <c r="BP299" s="3"/>
      <c r="BQ299" s="3"/>
      <c r="BR299" s="3"/>
      <c r="BS299" s="3"/>
      <c r="BT299" s="3"/>
      <c r="BU299" s="2" t="s">
        <v>7193</v>
      </c>
      <c r="BV299" s="2" t="s">
        <v>7188</v>
      </c>
      <c r="BW299" s="2" t="s">
        <v>7189</v>
      </c>
    </row>
    <row r="300" spans="1:75" ht="12.75" customHeight="1">
      <c r="A300" s="4" t="s">
        <v>63</v>
      </c>
      <c r="B300" s="4" t="s">
        <v>3341</v>
      </c>
      <c r="C300" s="4"/>
      <c r="D300" s="4"/>
      <c r="E300" s="4"/>
      <c r="F300" s="4" t="s">
        <v>3342</v>
      </c>
      <c r="G300" s="4"/>
      <c r="H300" s="4"/>
      <c r="I300" s="4" t="s">
        <v>3343</v>
      </c>
      <c r="J300" s="4" t="s">
        <v>1558</v>
      </c>
      <c r="K300" s="4"/>
      <c r="L300" s="4"/>
      <c r="M300" s="4"/>
      <c r="N300" s="4"/>
      <c r="O300" s="4"/>
      <c r="P300" s="4"/>
      <c r="Q300" s="4"/>
      <c r="R300" s="4"/>
      <c r="S300" s="4"/>
      <c r="T300" s="4" t="s">
        <v>3344</v>
      </c>
      <c r="U300" s="4"/>
      <c r="V300" s="4"/>
      <c r="W300" s="4"/>
      <c r="X300" s="4"/>
      <c r="Y300" s="4"/>
      <c r="Z300" s="4" t="s">
        <v>3345</v>
      </c>
      <c r="AA300" s="4"/>
      <c r="AB300" s="4"/>
      <c r="AC300" s="4"/>
      <c r="AD300" s="4"/>
      <c r="AE300" s="4"/>
      <c r="AF300" s="4"/>
      <c r="AG300" s="4"/>
      <c r="AH300" s="4"/>
      <c r="AI300" s="4"/>
      <c r="AJ300" s="4"/>
      <c r="AK300" s="4"/>
      <c r="AL300" s="4"/>
      <c r="AM300" s="4" t="s">
        <v>1559</v>
      </c>
      <c r="AN300" s="4" t="s">
        <v>1560</v>
      </c>
      <c r="AO300" s="4"/>
      <c r="AP300" s="4"/>
      <c r="AQ300" s="4"/>
      <c r="AR300" s="4"/>
      <c r="AS300" s="4">
        <v>2018</v>
      </c>
      <c r="AT300" s="4">
        <v>57</v>
      </c>
      <c r="AU300" s="4">
        <v>2</v>
      </c>
      <c r="AV300" s="4"/>
      <c r="AW300" s="4"/>
      <c r="AX300" s="4"/>
      <c r="AY300" s="4"/>
      <c r="AZ300" s="4">
        <v>94</v>
      </c>
      <c r="BA300" s="4">
        <v>108</v>
      </c>
      <c r="BB300" s="4"/>
      <c r="BC300" s="4" t="s">
        <v>3346</v>
      </c>
      <c r="BD300" s="5" t="str">
        <f>HYPERLINK("http://dx.doi.org/10.1080/03670244.2017.1416362","http://dx.doi.org/10.1080/03670244.2017.1416362")</f>
        <v>http://dx.doi.org/10.1080/03670244.2017.1416362</v>
      </c>
      <c r="BE300" s="4"/>
      <c r="BF300" s="4"/>
      <c r="BG300" s="4"/>
      <c r="BH300" s="4"/>
      <c r="BI300" s="4">
        <v>29283673</v>
      </c>
      <c r="BJ300" s="4" t="s">
        <v>3347</v>
      </c>
      <c r="BK300" s="4"/>
      <c r="BL300" s="4"/>
      <c r="BM300" s="4"/>
      <c r="BN300" s="4"/>
      <c r="BO300" s="4"/>
      <c r="BP300" s="4"/>
      <c r="BQ300" s="4"/>
      <c r="BR300" s="4"/>
      <c r="BS300" s="4"/>
      <c r="BT300" s="4"/>
      <c r="BU300" s="12" t="s">
        <v>7344</v>
      </c>
      <c r="BV300" s="12" t="s">
        <v>7188</v>
      </c>
      <c r="BW300" s="12" t="s">
        <v>7189</v>
      </c>
    </row>
    <row r="301" spans="1:75" ht="12.75" customHeight="1">
      <c r="A301" s="3" t="s">
        <v>63</v>
      </c>
      <c r="B301" s="3" t="s">
        <v>6205</v>
      </c>
      <c r="C301" s="3"/>
      <c r="D301" s="3"/>
      <c r="E301" s="3"/>
      <c r="F301" s="3" t="s">
        <v>6206</v>
      </c>
      <c r="G301" s="3"/>
      <c r="H301" s="3"/>
      <c r="I301" s="3" t="s">
        <v>6207</v>
      </c>
      <c r="J301" s="3" t="s">
        <v>6208</v>
      </c>
      <c r="K301" s="3"/>
      <c r="L301" s="3"/>
      <c r="M301" s="3"/>
      <c r="N301" s="3"/>
      <c r="O301" s="3"/>
      <c r="P301" s="3"/>
      <c r="Q301" s="3"/>
      <c r="R301" s="3"/>
      <c r="S301" s="3"/>
      <c r="T301" s="3" t="s">
        <v>6209</v>
      </c>
      <c r="U301" s="3"/>
      <c r="V301" s="3"/>
      <c r="W301" s="3"/>
      <c r="X301" s="3"/>
      <c r="Y301" s="3" t="s">
        <v>6210</v>
      </c>
      <c r="Z301" s="3" t="s">
        <v>6211</v>
      </c>
      <c r="AA301" s="3"/>
      <c r="AB301" s="3"/>
      <c r="AC301" s="3"/>
      <c r="AD301" s="3"/>
      <c r="AE301" s="3"/>
      <c r="AF301" s="3"/>
      <c r="AG301" s="3"/>
      <c r="AH301" s="3"/>
      <c r="AI301" s="3"/>
      <c r="AJ301" s="3"/>
      <c r="AK301" s="3"/>
      <c r="AL301" s="3"/>
      <c r="AM301" s="3" t="s">
        <v>6212</v>
      </c>
      <c r="AN301" s="3" t="s">
        <v>6213</v>
      </c>
      <c r="AO301" s="3"/>
      <c r="AP301" s="3"/>
      <c r="AQ301" s="3"/>
      <c r="AR301" s="3" t="s">
        <v>6214</v>
      </c>
      <c r="AS301" s="3">
        <v>2023</v>
      </c>
      <c r="AT301" s="3">
        <v>2023</v>
      </c>
      <c r="AU301" s="3"/>
      <c r="AV301" s="3"/>
      <c r="AW301" s="3"/>
      <c r="AX301" s="3"/>
      <c r="AY301" s="3"/>
      <c r="AZ301" s="3"/>
      <c r="BA301" s="3"/>
      <c r="BB301" s="3">
        <v>5052613</v>
      </c>
      <c r="BC301" s="3" t="s">
        <v>6215</v>
      </c>
      <c r="BD301" s="15" t="str">
        <f>HYPERLINK("http://dx.doi.org/10.1155/2023/5052613","http://dx.doi.org/10.1155/2023/5052613")</f>
        <v>http://dx.doi.org/10.1155/2023/5052613</v>
      </c>
      <c r="BE301" s="3"/>
      <c r="BF301" s="3"/>
      <c r="BG301" s="3"/>
      <c r="BH301" s="3"/>
      <c r="BI301" s="3">
        <v>37794996</v>
      </c>
      <c r="BJ301" s="3" t="s">
        <v>6216</v>
      </c>
      <c r="BK301" s="3"/>
      <c r="BL301" s="3"/>
      <c r="BM301" s="3"/>
      <c r="BN301" s="3"/>
      <c r="BO301" s="3"/>
      <c r="BP301" s="3"/>
      <c r="BQ301" s="3"/>
      <c r="BR301" s="3"/>
      <c r="BS301" s="3"/>
      <c r="BT301" s="3"/>
      <c r="BU301" s="1" t="s">
        <v>7306</v>
      </c>
      <c r="BV301" s="2" t="s">
        <v>7188</v>
      </c>
      <c r="BW301" s="2" t="s">
        <v>7189</v>
      </c>
    </row>
    <row r="302" spans="1:75" ht="12.75" customHeight="1">
      <c r="A302" s="3" t="s">
        <v>63</v>
      </c>
      <c r="B302" s="3" t="s">
        <v>3765</v>
      </c>
      <c r="C302" s="3"/>
      <c r="D302" s="3"/>
      <c r="E302" s="3"/>
      <c r="F302" s="3" t="s">
        <v>3766</v>
      </c>
      <c r="G302" s="3"/>
      <c r="H302" s="3"/>
      <c r="I302" s="3" t="s">
        <v>3767</v>
      </c>
      <c r="J302" s="3" t="s">
        <v>3768</v>
      </c>
      <c r="K302" s="3"/>
      <c r="L302" s="3"/>
      <c r="M302" s="3"/>
      <c r="N302" s="3"/>
      <c r="O302" s="3"/>
      <c r="P302" s="3"/>
      <c r="Q302" s="3"/>
      <c r="R302" s="3"/>
      <c r="S302" s="3"/>
      <c r="T302" s="3" t="s">
        <v>3769</v>
      </c>
      <c r="U302" s="3"/>
      <c r="V302" s="3"/>
      <c r="W302" s="3"/>
      <c r="X302" s="3"/>
      <c r="Y302" s="3" t="s">
        <v>3770</v>
      </c>
      <c r="Z302" s="3" t="s">
        <v>3771</v>
      </c>
      <c r="AA302" s="3"/>
      <c r="AB302" s="3"/>
      <c r="AC302" s="3"/>
      <c r="AD302" s="3"/>
      <c r="AE302" s="3"/>
      <c r="AF302" s="3"/>
      <c r="AG302" s="3"/>
      <c r="AH302" s="3"/>
      <c r="AI302" s="3"/>
      <c r="AJ302" s="3"/>
      <c r="AK302" s="3"/>
      <c r="AL302" s="3"/>
      <c r="AM302" s="3" t="s">
        <v>3772</v>
      </c>
      <c r="AN302" s="3" t="s">
        <v>3773</v>
      </c>
      <c r="AO302" s="3"/>
      <c r="AP302" s="3"/>
      <c r="AQ302" s="3"/>
      <c r="AR302" s="3"/>
      <c r="AS302" s="3">
        <v>2019</v>
      </c>
      <c r="AT302" s="3">
        <v>54</v>
      </c>
      <c r="AU302" s="3">
        <v>111</v>
      </c>
      <c r="AV302" s="3"/>
      <c r="AW302" s="3"/>
      <c r="AX302" s="3"/>
      <c r="AY302" s="3"/>
      <c r="AZ302" s="3">
        <v>133</v>
      </c>
      <c r="BA302" s="3">
        <v>152</v>
      </c>
      <c r="BB302" s="3"/>
      <c r="BC302" s="3" t="s">
        <v>3774</v>
      </c>
      <c r="BD302" s="15" t="str">
        <f>HYPERLINK("http://dx.doi.org/10.18055/Finis16456","http://dx.doi.org/10.18055/Finis16456")</f>
        <v>http://dx.doi.org/10.18055/Finis16456</v>
      </c>
      <c r="BE302" s="3"/>
      <c r="BF302" s="3"/>
      <c r="BG302" s="3"/>
      <c r="BH302" s="3"/>
      <c r="BI302" s="3"/>
      <c r="BJ302" s="3" t="s">
        <v>3775</v>
      </c>
      <c r="BK302" s="3"/>
      <c r="BL302" s="3"/>
      <c r="BM302" s="3"/>
      <c r="BN302" s="3"/>
      <c r="BO302" s="3"/>
      <c r="BP302" s="3"/>
      <c r="BQ302" s="3"/>
      <c r="BR302" s="3"/>
      <c r="BS302" s="3"/>
      <c r="BT302" s="3"/>
      <c r="BU302" s="2" t="s">
        <v>7345</v>
      </c>
      <c r="BV302" s="2" t="s">
        <v>7316</v>
      </c>
      <c r="BW302" s="2" t="s">
        <v>7189</v>
      </c>
    </row>
    <row r="303" spans="1:75" ht="12.75" customHeight="1">
      <c r="A303" s="3" t="s">
        <v>63</v>
      </c>
      <c r="B303" s="3" t="s">
        <v>2352</v>
      </c>
      <c r="C303" s="3"/>
      <c r="D303" s="3"/>
      <c r="E303" s="3"/>
      <c r="F303" s="3" t="s">
        <v>2353</v>
      </c>
      <c r="G303" s="3"/>
      <c r="H303" s="3"/>
      <c r="I303" s="3" t="s">
        <v>2354</v>
      </c>
      <c r="J303" s="3" t="s">
        <v>2355</v>
      </c>
      <c r="K303" s="3"/>
      <c r="L303" s="3"/>
      <c r="M303" s="3"/>
      <c r="N303" s="3"/>
      <c r="O303" s="3"/>
      <c r="P303" s="3"/>
      <c r="Q303" s="3"/>
      <c r="R303" s="3"/>
      <c r="S303" s="3"/>
      <c r="T303" s="3" t="s">
        <v>2356</v>
      </c>
      <c r="U303" s="3"/>
      <c r="V303" s="3"/>
      <c r="W303" s="3"/>
      <c r="X303" s="3"/>
      <c r="Y303" s="3"/>
      <c r="Z303" s="3"/>
      <c r="AA303" s="3"/>
      <c r="AB303" s="3"/>
      <c r="AC303" s="3"/>
      <c r="AD303" s="3"/>
      <c r="AE303" s="3"/>
      <c r="AF303" s="3"/>
      <c r="AG303" s="3"/>
      <c r="AH303" s="3"/>
      <c r="AI303" s="3"/>
      <c r="AJ303" s="3"/>
      <c r="AK303" s="3"/>
      <c r="AL303" s="3"/>
      <c r="AM303" s="3" t="s">
        <v>2357</v>
      </c>
      <c r="AN303" s="3" t="s">
        <v>2358</v>
      </c>
      <c r="AO303" s="3"/>
      <c r="AP303" s="3"/>
      <c r="AQ303" s="3"/>
      <c r="AR303" s="3"/>
      <c r="AS303" s="3">
        <v>2016</v>
      </c>
      <c r="AT303" s="3">
        <v>125</v>
      </c>
      <c r="AU303" s="3">
        <v>4</v>
      </c>
      <c r="AV303" s="3"/>
      <c r="AW303" s="3"/>
      <c r="AX303" s="3" t="s">
        <v>569</v>
      </c>
      <c r="AY303" s="3"/>
      <c r="AZ303" s="3">
        <v>583</v>
      </c>
      <c r="BA303" s="3">
        <v>606</v>
      </c>
      <c r="BB303" s="3"/>
      <c r="BC303" s="3" t="s">
        <v>2359</v>
      </c>
      <c r="BD303" s="15" t="str">
        <f>HYPERLINK("http://dx.doi.org/10.5026/jgeography.125.583","http://dx.doi.org/10.5026/jgeography.125.583")</f>
        <v>http://dx.doi.org/10.5026/jgeography.125.583</v>
      </c>
      <c r="BE303" s="3"/>
      <c r="BF303" s="3"/>
      <c r="BG303" s="3"/>
      <c r="BH303" s="3"/>
      <c r="BI303" s="3"/>
      <c r="BJ303" s="3" t="s">
        <v>2360</v>
      </c>
      <c r="BK303" s="3"/>
      <c r="BL303" s="3"/>
      <c r="BM303" s="3"/>
      <c r="BN303" s="3"/>
      <c r="BO303" s="3"/>
      <c r="BP303" s="3"/>
      <c r="BQ303" s="3"/>
      <c r="BR303" s="3"/>
      <c r="BS303" s="3"/>
      <c r="BT303" s="3"/>
      <c r="BU303" s="2" t="s">
        <v>7193</v>
      </c>
      <c r="BV303" s="2" t="s">
        <v>5215</v>
      </c>
      <c r="BW303" s="2" t="s">
        <v>7245</v>
      </c>
    </row>
    <row r="304" spans="1:75" ht="12.75" customHeight="1">
      <c r="A304" s="3" t="s">
        <v>63</v>
      </c>
      <c r="B304" s="3" t="s">
        <v>3348</v>
      </c>
      <c r="C304" s="3"/>
      <c r="D304" s="3"/>
      <c r="E304" s="3"/>
      <c r="F304" s="3" t="s">
        <v>3349</v>
      </c>
      <c r="G304" s="3"/>
      <c r="H304" s="3"/>
      <c r="I304" s="3" t="s">
        <v>3350</v>
      </c>
      <c r="J304" s="3" t="s">
        <v>3351</v>
      </c>
      <c r="K304" s="3"/>
      <c r="L304" s="3"/>
      <c r="M304" s="3"/>
      <c r="N304" s="3"/>
      <c r="O304" s="3"/>
      <c r="P304" s="3"/>
      <c r="Q304" s="3"/>
      <c r="R304" s="3"/>
      <c r="S304" s="3"/>
      <c r="T304" s="3" t="s">
        <v>3352</v>
      </c>
      <c r="U304" s="3"/>
      <c r="V304" s="3"/>
      <c r="W304" s="3"/>
      <c r="X304" s="3"/>
      <c r="Y304" s="3"/>
      <c r="Z304" s="3" t="s">
        <v>3353</v>
      </c>
      <c r="AA304" s="3"/>
      <c r="AB304" s="3"/>
      <c r="AC304" s="3"/>
      <c r="AD304" s="3"/>
      <c r="AE304" s="3"/>
      <c r="AF304" s="3"/>
      <c r="AG304" s="3"/>
      <c r="AH304" s="3"/>
      <c r="AI304" s="3"/>
      <c r="AJ304" s="3"/>
      <c r="AK304" s="3"/>
      <c r="AL304" s="3"/>
      <c r="AM304" s="3"/>
      <c r="AN304" s="3" t="s">
        <v>3354</v>
      </c>
      <c r="AO304" s="3"/>
      <c r="AP304" s="3"/>
      <c r="AQ304" s="3"/>
      <c r="AR304" s="3"/>
      <c r="AS304" s="3">
        <v>2018</v>
      </c>
      <c r="AT304" s="3">
        <v>2</v>
      </c>
      <c r="AU304" s="3">
        <v>1</v>
      </c>
      <c r="AV304" s="3"/>
      <c r="AW304" s="3"/>
      <c r="AX304" s="3"/>
      <c r="AY304" s="3"/>
      <c r="AZ304" s="3">
        <v>375</v>
      </c>
      <c r="BA304" s="3">
        <v>383</v>
      </c>
      <c r="BB304" s="3"/>
      <c r="BC304" s="3" t="s">
        <v>3355</v>
      </c>
      <c r="BD304" s="15" t="str">
        <f>HYPERLINK("http://dx.doi.org/10.1089/heq.2018.0003","http://dx.doi.org/10.1089/heq.2018.0003")</f>
        <v>http://dx.doi.org/10.1089/heq.2018.0003</v>
      </c>
      <c r="BE304" s="3"/>
      <c r="BF304" s="3"/>
      <c r="BG304" s="3"/>
      <c r="BH304" s="3"/>
      <c r="BI304" s="3">
        <v>30582097</v>
      </c>
      <c r="BJ304" s="3" t="s">
        <v>3356</v>
      </c>
      <c r="BK304" s="3"/>
      <c r="BL304" s="3"/>
      <c r="BM304" s="3"/>
      <c r="BN304" s="3"/>
      <c r="BO304" s="3"/>
      <c r="BP304" s="3"/>
      <c r="BQ304" s="3"/>
      <c r="BR304" s="3"/>
      <c r="BS304" s="3"/>
      <c r="BT304" s="3"/>
      <c r="BU304" s="1" t="s">
        <v>7304</v>
      </c>
      <c r="BV304" s="2" t="s">
        <v>7188</v>
      </c>
      <c r="BW304" s="2" t="s">
        <v>7189</v>
      </c>
    </row>
    <row r="305" spans="1:75" ht="12.75" customHeight="1">
      <c r="A305" s="6" t="s">
        <v>63</v>
      </c>
      <c r="B305" s="6" t="s">
        <v>247</v>
      </c>
      <c r="C305" s="6"/>
      <c r="D305" s="6"/>
      <c r="E305" s="6"/>
      <c r="F305" s="6" t="s">
        <v>248</v>
      </c>
      <c r="G305" s="6"/>
      <c r="H305" s="6"/>
      <c r="I305" s="6" t="s">
        <v>249</v>
      </c>
      <c r="J305" s="6" t="s">
        <v>250</v>
      </c>
      <c r="K305" s="6"/>
      <c r="L305" s="6"/>
      <c r="M305" s="6"/>
      <c r="N305" s="6"/>
      <c r="O305" s="6"/>
      <c r="P305" s="6"/>
      <c r="Q305" s="6"/>
      <c r="R305" s="6"/>
      <c r="S305" s="6"/>
      <c r="T305" s="6" t="s">
        <v>251</v>
      </c>
      <c r="U305" s="6"/>
      <c r="V305" s="6"/>
      <c r="W305" s="6"/>
      <c r="X305" s="6"/>
      <c r="Y305" s="6" t="s">
        <v>252</v>
      </c>
      <c r="Z305" s="6"/>
      <c r="AA305" s="6"/>
      <c r="AB305" s="6"/>
      <c r="AC305" s="6"/>
      <c r="AD305" s="6"/>
      <c r="AE305" s="6"/>
      <c r="AF305" s="6"/>
      <c r="AG305" s="6"/>
      <c r="AH305" s="6"/>
      <c r="AI305" s="6"/>
      <c r="AJ305" s="6"/>
      <c r="AK305" s="6"/>
      <c r="AL305" s="6"/>
      <c r="AM305" s="6" t="s">
        <v>253</v>
      </c>
      <c r="AN305" s="6"/>
      <c r="AO305" s="6"/>
      <c r="AP305" s="6"/>
      <c r="AQ305" s="6"/>
      <c r="AR305" s="6" t="s">
        <v>254</v>
      </c>
      <c r="AS305" s="6">
        <v>2007</v>
      </c>
      <c r="AT305" s="6">
        <v>26</v>
      </c>
      <c r="AU305" s="6">
        <v>3</v>
      </c>
      <c r="AV305" s="6"/>
      <c r="AW305" s="6"/>
      <c r="AX305" s="6"/>
      <c r="AY305" s="6"/>
      <c r="AZ305" s="6">
        <v>352</v>
      </c>
      <c r="BA305" s="6">
        <v>364</v>
      </c>
      <c r="BB305" s="6"/>
      <c r="BC305" s="6" t="s">
        <v>255</v>
      </c>
      <c r="BD305" s="9" t="str">
        <f>HYPERLINK("http://dx.doi.org/10.1177/0739456X06297795","http://dx.doi.org/10.1177/0739456X06297795")</f>
        <v>http://dx.doi.org/10.1177/0739456X06297795</v>
      </c>
      <c r="BE305" s="6"/>
      <c r="BF305" s="6"/>
      <c r="BG305" s="6"/>
      <c r="BH305" s="6"/>
      <c r="BI305" s="6"/>
      <c r="BJ305" s="6" t="s">
        <v>256</v>
      </c>
      <c r="BK305" s="6"/>
      <c r="BL305" s="6"/>
      <c r="BM305" s="6"/>
      <c r="BN305" s="6"/>
      <c r="BO305" s="6"/>
      <c r="BP305" s="6"/>
      <c r="BQ305" s="6"/>
      <c r="BR305" s="6"/>
      <c r="BS305" s="6"/>
      <c r="BT305" s="6"/>
      <c r="BU305" s="8" t="s">
        <v>7263</v>
      </c>
      <c r="BV305" s="8" t="s">
        <v>7188</v>
      </c>
      <c r="BW305" s="8" t="s">
        <v>7189</v>
      </c>
    </row>
    <row r="306" spans="1:75" ht="12.75" customHeight="1">
      <c r="A306" s="4" t="s">
        <v>63</v>
      </c>
      <c r="B306" s="4" t="s">
        <v>1463</v>
      </c>
      <c r="C306" s="4"/>
      <c r="D306" s="4"/>
      <c r="E306" s="4"/>
      <c r="F306" s="4" t="s">
        <v>1464</v>
      </c>
      <c r="G306" s="4"/>
      <c r="H306" s="4"/>
      <c r="I306" s="4" t="s">
        <v>1465</v>
      </c>
      <c r="J306" s="4" t="s">
        <v>532</v>
      </c>
      <c r="K306" s="4"/>
      <c r="L306" s="4"/>
      <c r="M306" s="4"/>
      <c r="N306" s="4"/>
      <c r="O306" s="4"/>
      <c r="P306" s="4"/>
      <c r="Q306" s="4"/>
      <c r="R306" s="4"/>
      <c r="S306" s="4"/>
      <c r="T306" s="4" t="s">
        <v>1466</v>
      </c>
      <c r="U306" s="4"/>
      <c r="V306" s="4"/>
      <c r="W306" s="4"/>
      <c r="X306" s="4"/>
      <c r="Y306" s="4" t="s">
        <v>1467</v>
      </c>
      <c r="Z306" s="4"/>
      <c r="AA306" s="4"/>
      <c r="AB306" s="4"/>
      <c r="AC306" s="4"/>
      <c r="AD306" s="4"/>
      <c r="AE306" s="4"/>
      <c r="AF306" s="4"/>
      <c r="AG306" s="4"/>
      <c r="AH306" s="4"/>
      <c r="AI306" s="4"/>
      <c r="AJ306" s="4"/>
      <c r="AK306" s="4"/>
      <c r="AL306" s="4"/>
      <c r="AM306" s="4" t="s">
        <v>534</v>
      </c>
      <c r="AN306" s="4" t="s">
        <v>535</v>
      </c>
      <c r="AO306" s="4"/>
      <c r="AP306" s="4"/>
      <c r="AQ306" s="4"/>
      <c r="AR306" s="4" t="s">
        <v>937</v>
      </c>
      <c r="AS306" s="4">
        <v>2014</v>
      </c>
      <c r="AT306" s="4">
        <v>5</v>
      </c>
      <c r="AU306" s="4">
        <v>1</v>
      </c>
      <c r="AV306" s="4"/>
      <c r="AW306" s="4"/>
      <c r="AX306" s="4"/>
      <c r="AY306" s="4"/>
      <c r="AZ306" s="4">
        <v>105</v>
      </c>
      <c r="BA306" s="4">
        <v>127</v>
      </c>
      <c r="BB306" s="4"/>
      <c r="BC306" s="4" t="s">
        <v>1468</v>
      </c>
      <c r="BD306" s="5" t="str">
        <f>HYPERLINK("http://dx.doi.org/10.5304/jafscd.2014.051.010","http://dx.doi.org/10.5304/jafscd.2014.051.010")</f>
        <v>http://dx.doi.org/10.5304/jafscd.2014.051.010</v>
      </c>
      <c r="BE306" s="4"/>
      <c r="BF306" s="4"/>
      <c r="BG306" s="4"/>
      <c r="BH306" s="4"/>
      <c r="BI306" s="4"/>
      <c r="BJ306" s="4" t="s">
        <v>1469</v>
      </c>
      <c r="BK306" s="4"/>
      <c r="BL306" s="4"/>
      <c r="BM306" s="4"/>
      <c r="BN306" s="4"/>
      <c r="BO306" s="4"/>
      <c r="BP306" s="4"/>
      <c r="BQ306" s="4"/>
      <c r="BR306" s="4"/>
      <c r="BS306" s="4"/>
      <c r="BT306" s="4"/>
      <c r="BU306" s="12" t="s">
        <v>7261</v>
      </c>
      <c r="BV306" s="12" t="s">
        <v>7188</v>
      </c>
      <c r="BW306" s="12" t="s">
        <v>7189</v>
      </c>
    </row>
    <row r="307" spans="1:75" ht="12.75" customHeight="1">
      <c r="A307" s="6" t="s">
        <v>63</v>
      </c>
      <c r="B307" s="6" t="s">
        <v>6217</v>
      </c>
      <c r="C307" s="6"/>
      <c r="D307" s="6"/>
      <c r="E307" s="6"/>
      <c r="F307" s="6" t="s">
        <v>6218</v>
      </c>
      <c r="G307" s="6"/>
      <c r="H307" s="6"/>
      <c r="I307" s="6" t="s">
        <v>6219</v>
      </c>
      <c r="J307" s="6" t="s">
        <v>2829</v>
      </c>
      <c r="K307" s="6"/>
      <c r="L307" s="6"/>
      <c r="M307" s="6"/>
      <c r="N307" s="6"/>
      <c r="O307" s="6"/>
      <c r="P307" s="6"/>
      <c r="Q307" s="6"/>
      <c r="R307" s="6"/>
      <c r="S307" s="6"/>
      <c r="T307" s="6" t="s">
        <v>6220</v>
      </c>
      <c r="U307" s="6"/>
      <c r="V307" s="6"/>
      <c r="W307" s="6"/>
      <c r="X307" s="6"/>
      <c r="Y307" s="6" t="s">
        <v>6221</v>
      </c>
      <c r="Z307" s="6" t="s">
        <v>6222</v>
      </c>
      <c r="AA307" s="6"/>
      <c r="AB307" s="6"/>
      <c r="AC307" s="6"/>
      <c r="AD307" s="6"/>
      <c r="AE307" s="6"/>
      <c r="AF307" s="6"/>
      <c r="AG307" s="6"/>
      <c r="AH307" s="6"/>
      <c r="AI307" s="6"/>
      <c r="AJ307" s="6"/>
      <c r="AK307" s="6"/>
      <c r="AL307" s="6"/>
      <c r="AM307" s="6" t="s">
        <v>2833</v>
      </c>
      <c r="AN307" s="6" t="s">
        <v>2834</v>
      </c>
      <c r="AO307" s="6"/>
      <c r="AP307" s="6"/>
      <c r="AQ307" s="6"/>
      <c r="AR307" s="6" t="s">
        <v>78</v>
      </c>
      <c r="AS307" s="6">
        <v>2023</v>
      </c>
      <c r="AT307" s="6">
        <v>135</v>
      </c>
      <c r="AU307" s="6"/>
      <c r="AV307" s="6"/>
      <c r="AW307" s="6"/>
      <c r="AX307" s="6"/>
      <c r="AY307" s="6"/>
      <c r="AZ307" s="6"/>
      <c r="BA307" s="6"/>
      <c r="BB307" s="6">
        <v>102779</v>
      </c>
      <c r="BC307" s="6" t="s">
        <v>6223</v>
      </c>
      <c r="BD307" s="9" t="str">
        <f>HYPERLINK("http://dx.doi.org/10.1016/j.habitatint.2023.102779","http://dx.doi.org/10.1016/j.habitatint.2023.102779")</f>
        <v>http://dx.doi.org/10.1016/j.habitatint.2023.102779</v>
      </c>
      <c r="BE307" s="6"/>
      <c r="BF307" s="6" t="s">
        <v>6224</v>
      </c>
      <c r="BG307" s="6"/>
      <c r="BH307" s="6"/>
      <c r="BI307" s="6"/>
      <c r="BJ307" s="6" t="s">
        <v>6225</v>
      </c>
      <c r="BK307" s="6"/>
      <c r="BL307" s="6"/>
      <c r="BM307" s="6"/>
      <c r="BN307" s="6"/>
      <c r="BO307" s="6"/>
      <c r="BP307" s="6"/>
      <c r="BQ307" s="6"/>
      <c r="BR307" s="6"/>
      <c r="BS307" s="6"/>
      <c r="BT307" s="6"/>
      <c r="BU307" s="8" t="s">
        <v>7229</v>
      </c>
      <c r="BV307" s="8" t="s">
        <v>2039</v>
      </c>
      <c r="BW307" s="8" t="s">
        <v>7189</v>
      </c>
    </row>
    <row r="308" spans="1:75" ht="12.75" customHeight="1">
      <c r="A308" s="4" t="s">
        <v>63</v>
      </c>
      <c r="B308" s="4" t="s">
        <v>6815</v>
      </c>
      <c r="C308" s="4"/>
      <c r="D308" s="4"/>
      <c r="E308" s="4"/>
      <c r="F308" s="4" t="s">
        <v>6816</v>
      </c>
      <c r="G308" s="4"/>
      <c r="H308" s="4"/>
      <c r="I308" s="4" t="s">
        <v>6817</v>
      </c>
      <c r="J308" s="4" t="s">
        <v>6818</v>
      </c>
      <c r="K308" s="4"/>
      <c r="L308" s="4"/>
      <c r="M308" s="4"/>
      <c r="N308" s="4"/>
      <c r="O308" s="4"/>
      <c r="P308" s="4"/>
      <c r="Q308" s="4"/>
      <c r="R308" s="4"/>
      <c r="S308" s="4"/>
      <c r="T308" s="4" t="s">
        <v>6819</v>
      </c>
      <c r="U308" s="4"/>
      <c r="V308" s="4"/>
      <c r="W308" s="4"/>
      <c r="X308" s="4"/>
      <c r="Y308" s="4" t="s">
        <v>6820</v>
      </c>
      <c r="Z308" s="4" t="s">
        <v>6821</v>
      </c>
      <c r="AA308" s="4"/>
      <c r="AB308" s="4"/>
      <c r="AC308" s="4"/>
      <c r="AD308" s="4"/>
      <c r="AE308" s="4"/>
      <c r="AF308" s="4"/>
      <c r="AG308" s="4"/>
      <c r="AH308" s="4"/>
      <c r="AI308" s="4"/>
      <c r="AJ308" s="4"/>
      <c r="AK308" s="4"/>
      <c r="AL308" s="4"/>
      <c r="AM308" s="4"/>
      <c r="AN308" s="4" t="s">
        <v>6822</v>
      </c>
      <c r="AO308" s="4"/>
      <c r="AP308" s="4"/>
      <c r="AQ308" s="4"/>
      <c r="AR308" s="4" t="s">
        <v>6823</v>
      </c>
      <c r="AS308" s="4">
        <v>2024</v>
      </c>
      <c r="AT308" s="4">
        <v>10</v>
      </c>
      <c r="AU308" s="4">
        <v>4</v>
      </c>
      <c r="AV308" s="4"/>
      <c r="AW308" s="4"/>
      <c r="AX308" s="4"/>
      <c r="AY308" s="4"/>
      <c r="AZ308" s="4"/>
      <c r="BA308" s="4"/>
      <c r="BB308" s="4" t="s">
        <v>6824</v>
      </c>
      <c r="BC308" s="4" t="s">
        <v>6825</v>
      </c>
      <c r="BD308" s="5" t="str">
        <f>HYPERLINK("http://dx.doi.org/10.1016/j.heliyon.2024.e25870","http://dx.doi.org/10.1016/j.heliyon.2024.e25870")</f>
        <v>http://dx.doi.org/10.1016/j.heliyon.2024.e25870</v>
      </c>
      <c r="BE308" s="4"/>
      <c r="BF308" s="4" t="s">
        <v>6622</v>
      </c>
      <c r="BG308" s="4"/>
      <c r="BH308" s="4"/>
      <c r="BI308" s="4">
        <v>38390124</v>
      </c>
      <c r="BJ308" s="4" t="s">
        <v>6826</v>
      </c>
      <c r="BK308" s="4"/>
      <c r="BL308" s="4"/>
      <c r="BM308" s="4"/>
      <c r="BN308" s="4"/>
      <c r="BO308" s="4"/>
      <c r="BP308" s="4"/>
      <c r="BQ308" s="4"/>
      <c r="BR308" s="4"/>
      <c r="BS308" s="4"/>
      <c r="BT308" s="4"/>
      <c r="BU308" s="12" t="s">
        <v>7209</v>
      </c>
      <c r="BV308" s="12" t="s">
        <v>7209</v>
      </c>
      <c r="BW308" s="12" t="s">
        <v>7209</v>
      </c>
    </row>
    <row r="309" spans="1:75" ht="12.75" customHeight="1">
      <c r="A309" s="4" t="s">
        <v>63</v>
      </c>
      <c r="B309" s="4" t="s">
        <v>4282</v>
      </c>
      <c r="C309" s="4"/>
      <c r="D309" s="4"/>
      <c r="E309" s="4"/>
      <c r="F309" s="4" t="s">
        <v>4283</v>
      </c>
      <c r="G309" s="4"/>
      <c r="H309" s="4"/>
      <c r="I309" s="4" t="s">
        <v>4284</v>
      </c>
      <c r="J309" s="4" t="s">
        <v>221</v>
      </c>
      <c r="K309" s="4"/>
      <c r="L309" s="4"/>
      <c r="M309" s="4"/>
      <c r="N309" s="4"/>
      <c r="O309" s="4"/>
      <c r="P309" s="4"/>
      <c r="Q309" s="4"/>
      <c r="R309" s="4"/>
      <c r="S309" s="4"/>
      <c r="T309" s="4" t="s">
        <v>4285</v>
      </c>
      <c r="U309" s="4"/>
      <c r="V309" s="4"/>
      <c r="W309" s="4"/>
      <c r="X309" s="4"/>
      <c r="Y309" s="4"/>
      <c r="Z309" s="4" t="s">
        <v>4286</v>
      </c>
      <c r="AA309" s="4"/>
      <c r="AB309" s="4"/>
      <c r="AC309" s="4"/>
      <c r="AD309" s="4"/>
      <c r="AE309" s="4"/>
      <c r="AF309" s="4"/>
      <c r="AG309" s="4"/>
      <c r="AH309" s="4"/>
      <c r="AI309" s="4"/>
      <c r="AJ309" s="4"/>
      <c r="AK309" s="4"/>
      <c r="AL309" s="4"/>
      <c r="AM309" s="4" t="s">
        <v>223</v>
      </c>
      <c r="AN309" s="4" t="s">
        <v>224</v>
      </c>
      <c r="AO309" s="4"/>
      <c r="AP309" s="4"/>
      <c r="AQ309" s="4"/>
      <c r="AR309" s="4" t="s">
        <v>445</v>
      </c>
      <c r="AS309" s="4">
        <v>2020</v>
      </c>
      <c r="AT309" s="4">
        <v>37</v>
      </c>
      <c r="AU309" s="4">
        <v>3</v>
      </c>
      <c r="AV309" s="4"/>
      <c r="AW309" s="4"/>
      <c r="AX309" s="4"/>
      <c r="AY309" s="4"/>
      <c r="AZ309" s="4">
        <v>895</v>
      </c>
      <c r="BA309" s="4">
        <v>906</v>
      </c>
      <c r="BB309" s="4"/>
      <c r="BC309" s="4" t="s">
        <v>4287</v>
      </c>
      <c r="BD309" s="5" t="str">
        <f>HYPERLINK("http://dx.doi.org/10.1007/s10460-020-10029-5","http://dx.doi.org/10.1007/s10460-020-10029-5")</f>
        <v>http://dx.doi.org/10.1007/s10460-020-10029-5</v>
      </c>
      <c r="BE309" s="4"/>
      <c r="BF309" s="4" t="s">
        <v>4288</v>
      </c>
      <c r="BG309" s="4"/>
      <c r="BH309" s="4"/>
      <c r="BI309" s="4"/>
      <c r="BJ309" s="4" t="s">
        <v>4289</v>
      </c>
      <c r="BK309" s="4"/>
      <c r="BL309" s="4"/>
      <c r="BM309" s="4"/>
      <c r="BN309" s="4"/>
      <c r="BO309" s="4"/>
      <c r="BP309" s="4"/>
      <c r="BQ309" s="4"/>
      <c r="BR309" s="4"/>
      <c r="BS309" s="4"/>
      <c r="BT309" s="4"/>
      <c r="BU309" s="12" t="s">
        <v>7193</v>
      </c>
      <c r="BV309" s="12" t="s">
        <v>7267</v>
      </c>
      <c r="BW309" s="12" t="s">
        <v>7189</v>
      </c>
    </row>
    <row r="310" spans="1:75" ht="12.75" customHeight="1">
      <c r="A310" s="4" t="s">
        <v>63</v>
      </c>
      <c r="B310" s="4" t="s">
        <v>5583</v>
      </c>
      <c r="C310" s="4"/>
      <c r="D310" s="4"/>
      <c r="E310" s="4"/>
      <c r="F310" s="4" t="s">
        <v>5584</v>
      </c>
      <c r="G310" s="4"/>
      <c r="H310" s="4"/>
      <c r="I310" s="4" t="s">
        <v>5585</v>
      </c>
      <c r="J310" s="4" t="s">
        <v>5586</v>
      </c>
      <c r="K310" s="4"/>
      <c r="L310" s="4"/>
      <c r="M310" s="4"/>
      <c r="N310" s="4" t="s">
        <v>5587</v>
      </c>
      <c r="O310" s="4" t="s">
        <v>3018</v>
      </c>
      <c r="P310" s="4" t="s">
        <v>5588</v>
      </c>
      <c r="Q310" s="4"/>
      <c r="R310" s="4"/>
      <c r="S310" s="4"/>
      <c r="T310" s="4" t="s">
        <v>5589</v>
      </c>
      <c r="U310" s="4"/>
      <c r="V310" s="4"/>
      <c r="W310" s="4"/>
      <c r="X310" s="4"/>
      <c r="Y310" s="4"/>
      <c r="Z310" s="4"/>
      <c r="AA310" s="4"/>
      <c r="AB310" s="4"/>
      <c r="AC310" s="4"/>
      <c r="AD310" s="4"/>
      <c r="AE310" s="4"/>
      <c r="AF310" s="4"/>
      <c r="AG310" s="4"/>
      <c r="AH310" s="4"/>
      <c r="AI310" s="4"/>
      <c r="AJ310" s="4"/>
      <c r="AK310" s="4"/>
      <c r="AL310" s="4"/>
      <c r="AM310" s="4" t="s">
        <v>5590</v>
      </c>
      <c r="AN310" s="4" t="s">
        <v>5591</v>
      </c>
      <c r="AO310" s="4"/>
      <c r="AP310" s="4"/>
      <c r="AQ310" s="4"/>
      <c r="AR310" s="4" t="s">
        <v>173</v>
      </c>
      <c r="AS310" s="4">
        <v>2022</v>
      </c>
      <c r="AT310" s="4">
        <v>37</v>
      </c>
      <c r="AU310" s="4">
        <v>7</v>
      </c>
      <c r="AV310" s="4"/>
      <c r="AW310" s="4" t="s">
        <v>151</v>
      </c>
      <c r="AX310" s="4"/>
      <c r="AY310" s="4"/>
      <c r="AZ310" s="4" t="s">
        <v>5592</v>
      </c>
      <c r="BA310" s="4" t="s">
        <v>5593</v>
      </c>
      <c r="BB310" s="4"/>
      <c r="BC310" s="4" t="s">
        <v>5594</v>
      </c>
      <c r="BD310" s="5" t="str">
        <f>HYPERLINK("http://dx.doi.org/10.1016/j.arth.2022.02.043","http://dx.doi.org/10.1016/j.arth.2022.02.043")</f>
        <v>http://dx.doi.org/10.1016/j.arth.2022.02.043</v>
      </c>
      <c r="BE310" s="4"/>
      <c r="BF310" s="4" t="s">
        <v>5408</v>
      </c>
      <c r="BG310" s="4"/>
      <c r="BH310" s="4"/>
      <c r="BI310" s="4">
        <v>35272898</v>
      </c>
      <c r="BJ310" s="4" t="s">
        <v>5595</v>
      </c>
      <c r="BK310" s="4"/>
      <c r="BL310" s="4"/>
      <c r="BM310" s="4"/>
      <c r="BN310" s="4"/>
      <c r="BO310" s="4"/>
      <c r="BP310" s="4"/>
      <c r="BQ310" s="4"/>
      <c r="BR310" s="4"/>
      <c r="BS310" s="4"/>
      <c r="BT310" s="4"/>
      <c r="BU310" s="12" t="s">
        <v>7193</v>
      </c>
      <c r="BV310" s="12" t="s">
        <v>7188</v>
      </c>
      <c r="BW310" s="12" t="s">
        <v>7189</v>
      </c>
    </row>
    <row r="311" spans="1:75" ht="12.75" customHeight="1">
      <c r="A311" s="3" t="s">
        <v>63</v>
      </c>
      <c r="B311" s="3" t="s">
        <v>6827</v>
      </c>
      <c r="C311" s="3"/>
      <c r="D311" s="3"/>
      <c r="E311" s="3"/>
      <c r="F311" s="3" t="s">
        <v>6828</v>
      </c>
      <c r="G311" s="3"/>
      <c r="H311" s="3"/>
      <c r="I311" s="3" t="s">
        <v>6829</v>
      </c>
      <c r="J311" s="3" t="s">
        <v>166</v>
      </c>
      <c r="K311" s="3"/>
      <c r="L311" s="3"/>
      <c r="M311" s="3"/>
      <c r="N311" s="3"/>
      <c r="O311" s="3"/>
      <c r="P311" s="3"/>
      <c r="Q311" s="3"/>
      <c r="R311" s="3"/>
      <c r="S311" s="3"/>
      <c r="T311" s="3" t="s">
        <v>6830</v>
      </c>
      <c r="U311" s="3"/>
      <c r="V311" s="3"/>
      <c r="W311" s="3"/>
      <c r="X311" s="3"/>
      <c r="Y311" s="3"/>
      <c r="Z311" s="3" t="s">
        <v>6831</v>
      </c>
      <c r="AA311" s="3"/>
      <c r="AB311" s="3"/>
      <c r="AC311" s="3"/>
      <c r="AD311" s="3"/>
      <c r="AE311" s="3"/>
      <c r="AF311" s="3"/>
      <c r="AG311" s="3"/>
      <c r="AH311" s="3"/>
      <c r="AI311" s="3"/>
      <c r="AJ311" s="3"/>
      <c r="AK311" s="3"/>
      <c r="AL311" s="3"/>
      <c r="AM311" s="3" t="s">
        <v>170</v>
      </c>
      <c r="AN311" s="3" t="s">
        <v>945</v>
      </c>
      <c r="AO311" s="3"/>
      <c r="AP311" s="3"/>
      <c r="AQ311" s="3"/>
      <c r="AR311" s="3" t="s">
        <v>6832</v>
      </c>
      <c r="AS311" s="3">
        <v>2024</v>
      </c>
      <c r="AT311" s="3">
        <v>198</v>
      </c>
      <c r="AU311" s="3"/>
      <c r="AV311" s="3"/>
      <c r="AW311" s="3"/>
      <c r="AX311" s="3"/>
      <c r="AY311" s="3"/>
      <c r="AZ311" s="3"/>
      <c r="BA311" s="3"/>
      <c r="BB311" s="3">
        <v>107353</v>
      </c>
      <c r="BC311" s="3" t="s">
        <v>6833</v>
      </c>
      <c r="BD311" s="15" t="str">
        <f>HYPERLINK("http://dx.doi.org/10.1016/j.appet.2024.107353","http://dx.doi.org/10.1016/j.appet.2024.107353")</f>
        <v>http://dx.doi.org/10.1016/j.appet.2024.107353</v>
      </c>
      <c r="BE311" s="3"/>
      <c r="BF311" s="3" t="s">
        <v>6605</v>
      </c>
      <c r="BG311" s="3"/>
      <c r="BH311" s="3"/>
      <c r="BI311" s="3">
        <v>38609011</v>
      </c>
      <c r="BJ311" s="3" t="s">
        <v>6834</v>
      </c>
      <c r="BK311" s="3"/>
      <c r="BL311" s="3"/>
      <c r="BM311" s="3"/>
      <c r="BN311" s="3"/>
      <c r="BO311" s="3"/>
      <c r="BP311" s="3"/>
      <c r="BQ311" s="3"/>
      <c r="BR311" s="3"/>
      <c r="BS311" s="3"/>
      <c r="BT311" s="3"/>
      <c r="BU311" s="1" t="s">
        <v>7304</v>
      </c>
      <c r="BV311" s="2" t="s">
        <v>7188</v>
      </c>
      <c r="BW311" s="2" t="s">
        <v>7189</v>
      </c>
    </row>
    <row r="312" spans="1:75" ht="12.75" customHeight="1">
      <c r="A312" s="3" t="s">
        <v>63</v>
      </c>
      <c r="B312" s="3" t="s">
        <v>3776</v>
      </c>
      <c r="C312" s="3"/>
      <c r="D312" s="3"/>
      <c r="E312" s="3"/>
      <c r="F312" s="3" t="s">
        <v>3777</v>
      </c>
      <c r="G312" s="3"/>
      <c r="H312" s="3"/>
      <c r="I312" s="3" t="s">
        <v>3778</v>
      </c>
      <c r="J312" s="3" t="s">
        <v>2043</v>
      </c>
      <c r="K312" s="3"/>
      <c r="L312" s="3"/>
      <c r="M312" s="3"/>
      <c r="N312" s="3"/>
      <c r="O312" s="3"/>
      <c r="P312" s="3"/>
      <c r="Q312" s="3"/>
      <c r="R312" s="3"/>
      <c r="S312" s="3"/>
      <c r="T312" s="3" t="s">
        <v>3779</v>
      </c>
      <c r="U312" s="3"/>
      <c r="V312" s="3"/>
      <c r="W312" s="3"/>
      <c r="X312" s="3"/>
      <c r="Y312" s="3" t="s">
        <v>3780</v>
      </c>
      <c r="Z312" s="3" t="s">
        <v>3781</v>
      </c>
      <c r="AA312" s="3"/>
      <c r="AB312" s="3"/>
      <c r="AC312" s="3"/>
      <c r="AD312" s="3"/>
      <c r="AE312" s="3"/>
      <c r="AF312" s="3"/>
      <c r="AG312" s="3"/>
      <c r="AH312" s="3"/>
      <c r="AI312" s="3"/>
      <c r="AJ312" s="3"/>
      <c r="AK312" s="3"/>
      <c r="AL312" s="3"/>
      <c r="AM312" s="3" t="s">
        <v>2046</v>
      </c>
      <c r="AN312" s="3" t="s">
        <v>2047</v>
      </c>
      <c r="AO312" s="3"/>
      <c r="AP312" s="3"/>
      <c r="AQ312" s="3"/>
      <c r="AR312" s="3" t="s">
        <v>65</v>
      </c>
      <c r="AS312" s="3">
        <v>2019</v>
      </c>
      <c r="AT312" s="3">
        <v>110</v>
      </c>
      <c r="AU312" s="3">
        <v>6</v>
      </c>
      <c r="AV312" s="3"/>
      <c r="AW312" s="3"/>
      <c r="AX312" s="3"/>
      <c r="AY312" s="3"/>
      <c r="AZ312" s="3">
        <v>805</v>
      </c>
      <c r="BA312" s="3">
        <v>815</v>
      </c>
      <c r="BB312" s="3"/>
      <c r="BC312" s="3" t="s">
        <v>3782</v>
      </c>
      <c r="BD312" s="15" t="str">
        <f>HYPERLINK("http://dx.doi.org/10.17269/s41997-019-00239-8","http://dx.doi.org/10.17269/s41997-019-00239-8")</f>
        <v>http://dx.doi.org/10.17269/s41997-019-00239-8</v>
      </c>
      <c r="BE312" s="3"/>
      <c r="BF312" s="3"/>
      <c r="BG312" s="3"/>
      <c r="BH312" s="3"/>
      <c r="BI312" s="3">
        <v>31452113</v>
      </c>
      <c r="BJ312" s="3" t="s">
        <v>3783</v>
      </c>
      <c r="BK312" s="3"/>
      <c r="BL312" s="3"/>
      <c r="BM312" s="3"/>
      <c r="BN312" s="3"/>
      <c r="BO312" s="3"/>
      <c r="BP312" s="3"/>
      <c r="BQ312" s="3"/>
      <c r="BR312" s="3"/>
      <c r="BS312" s="3"/>
      <c r="BT312" s="3"/>
      <c r="BU312" s="1" t="s">
        <v>7248</v>
      </c>
      <c r="BV312" s="2" t="s">
        <v>2039</v>
      </c>
      <c r="BW312" s="2" t="s">
        <v>7189</v>
      </c>
    </row>
    <row r="313" spans="1:75" ht="12.75" customHeight="1">
      <c r="A313" s="4" t="s">
        <v>63</v>
      </c>
      <c r="B313" s="4" t="s">
        <v>1080</v>
      </c>
      <c r="C313" s="4"/>
      <c r="D313" s="4"/>
      <c r="E313" s="4"/>
      <c r="F313" s="4" t="s">
        <v>1081</v>
      </c>
      <c r="G313" s="4"/>
      <c r="H313" s="4"/>
      <c r="I313" s="4" t="s">
        <v>1082</v>
      </c>
      <c r="J313" s="4" t="s">
        <v>1083</v>
      </c>
      <c r="K313" s="4"/>
      <c r="L313" s="4"/>
      <c r="M313" s="4"/>
      <c r="N313" s="4"/>
      <c r="O313" s="4"/>
      <c r="P313" s="4"/>
      <c r="Q313" s="4"/>
      <c r="R313" s="4"/>
      <c r="S313" s="4"/>
      <c r="T313" s="4" t="s">
        <v>1084</v>
      </c>
      <c r="U313" s="4"/>
      <c r="V313" s="4"/>
      <c r="W313" s="4"/>
      <c r="X313" s="4"/>
      <c r="Y313" s="4" t="s">
        <v>1085</v>
      </c>
      <c r="Z313" s="4" t="s">
        <v>1086</v>
      </c>
      <c r="AA313" s="4"/>
      <c r="AB313" s="4"/>
      <c r="AC313" s="4"/>
      <c r="AD313" s="4"/>
      <c r="AE313" s="4"/>
      <c r="AF313" s="4"/>
      <c r="AG313" s="4"/>
      <c r="AH313" s="4"/>
      <c r="AI313" s="4"/>
      <c r="AJ313" s="4"/>
      <c r="AK313" s="4"/>
      <c r="AL313" s="4"/>
      <c r="AM313" s="4" t="s">
        <v>1087</v>
      </c>
      <c r="AN313" s="4" t="s">
        <v>1088</v>
      </c>
      <c r="AO313" s="4"/>
      <c r="AP313" s="4"/>
      <c r="AQ313" s="4"/>
      <c r="AR313" s="4"/>
      <c r="AS313" s="4">
        <v>2013</v>
      </c>
      <c r="AT313" s="4">
        <v>57</v>
      </c>
      <c r="AU313" s="4">
        <v>3</v>
      </c>
      <c r="AV313" s="4"/>
      <c r="AW313" s="4"/>
      <c r="AX313" s="4"/>
      <c r="AY313" s="4"/>
      <c r="AZ313" s="4">
        <v>139</v>
      </c>
      <c r="BA313" s="4">
        <v>154</v>
      </c>
      <c r="BB313" s="4"/>
      <c r="BC313" s="4"/>
      <c r="BD313" s="4"/>
      <c r="BE313" s="4"/>
      <c r="BF313" s="4"/>
      <c r="BG313" s="4"/>
      <c r="BH313" s="4"/>
      <c r="BI313" s="4"/>
      <c r="BJ313" s="4" t="s">
        <v>1089</v>
      </c>
      <c r="BK313" s="4"/>
      <c r="BL313" s="4"/>
      <c r="BM313" s="4"/>
      <c r="BN313" s="4"/>
      <c r="BO313" s="4"/>
      <c r="BP313" s="4"/>
      <c r="BQ313" s="4"/>
      <c r="BR313" s="4"/>
      <c r="BS313" s="4"/>
      <c r="BT313" s="4"/>
      <c r="BU313" s="12" t="s">
        <v>7346</v>
      </c>
      <c r="BV313" s="12" t="s">
        <v>7234</v>
      </c>
      <c r="BW313" s="12" t="s">
        <v>7205</v>
      </c>
    </row>
    <row r="314" spans="1:75" ht="12.75" customHeight="1">
      <c r="A314" s="6" t="s">
        <v>63</v>
      </c>
      <c r="B314" s="6" t="s">
        <v>2867</v>
      </c>
      <c r="C314" s="6"/>
      <c r="D314" s="6"/>
      <c r="E314" s="6"/>
      <c r="F314" s="6" t="s">
        <v>2868</v>
      </c>
      <c r="G314" s="6"/>
      <c r="H314" s="6"/>
      <c r="I314" s="6" t="s">
        <v>2869</v>
      </c>
      <c r="J314" s="6" t="s">
        <v>2870</v>
      </c>
      <c r="K314" s="6"/>
      <c r="L314" s="6"/>
      <c r="M314" s="6"/>
      <c r="N314" s="6"/>
      <c r="O314" s="6"/>
      <c r="P314" s="6"/>
      <c r="Q314" s="6"/>
      <c r="R314" s="6"/>
      <c r="S314" s="6"/>
      <c r="T314" s="6" t="s">
        <v>2871</v>
      </c>
      <c r="U314" s="6"/>
      <c r="V314" s="6"/>
      <c r="W314" s="6"/>
      <c r="X314" s="6"/>
      <c r="Y314" s="6"/>
      <c r="Z314" s="6"/>
      <c r="AA314" s="6"/>
      <c r="AB314" s="6"/>
      <c r="AC314" s="6"/>
      <c r="AD314" s="6"/>
      <c r="AE314" s="6"/>
      <c r="AF314" s="6"/>
      <c r="AG314" s="6"/>
      <c r="AH314" s="6"/>
      <c r="AI314" s="6"/>
      <c r="AJ314" s="6"/>
      <c r="AK314" s="6"/>
      <c r="AL314" s="6"/>
      <c r="AM314" s="6" t="s">
        <v>2872</v>
      </c>
      <c r="AN314" s="6" t="s">
        <v>2873</v>
      </c>
      <c r="AO314" s="6"/>
      <c r="AP314" s="6"/>
      <c r="AQ314" s="6"/>
      <c r="AR314" s="6" t="s">
        <v>82</v>
      </c>
      <c r="AS314" s="6">
        <v>2017</v>
      </c>
      <c r="AT314" s="6">
        <v>95</v>
      </c>
      <c r="AU314" s="6">
        <v>3</v>
      </c>
      <c r="AV314" s="6"/>
      <c r="AW314" s="6"/>
      <c r="AX314" s="6"/>
      <c r="AY314" s="6"/>
      <c r="AZ314" s="6">
        <v>1285</v>
      </c>
      <c r="BA314" s="6">
        <v>1309</v>
      </c>
      <c r="BB314" s="6"/>
      <c r="BC314" s="6" t="s">
        <v>2874</v>
      </c>
      <c r="BD314" s="9" t="str">
        <f>HYPERLINK("http://dx.doi.org/10.1093/sf/sox001","http://dx.doi.org/10.1093/sf/sox001")</f>
        <v>http://dx.doi.org/10.1093/sf/sox001</v>
      </c>
      <c r="BE314" s="6"/>
      <c r="BF314" s="6"/>
      <c r="BG314" s="6"/>
      <c r="BH314" s="6"/>
      <c r="BI314" s="6"/>
      <c r="BJ314" s="6" t="s">
        <v>2875</v>
      </c>
      <c r="BK314" s="6"/>
      <c r="BL314" s="6"/>
      <c r="BM314" s="6"/>
      <c r="BN314" s="6"/>
      <c r="BO314" s="6"/>
      <c r="BP314" s="6"/>
      <c r="BQ314" s="6"/>
      <c r="BR314" s="6"/>
      <c r="BS314" s="6"/>
      <c r="BT314" s="6"/>
      <c r="BU314" s="8" t="s">
        <v>7347</v>
      </c>
      <c r="BV314" s="8" t="s">
        <v>7188</v>
      </c>
      <c r="BW314" s="8" t="s">
        <v>7189</v>
      </c>
    </row>
    <row r="315" spans="1:75" ht="12.75" customHeight="1">
      <c r="A315" s="6" t="s">
        <v>63</v>
      </c>
      <c r="B315" s="6" t="s">
        <v>2876</v>
      </c>
      <c r="C315" s="6"/>
      <c r="D315" s="6"/>
      <c r="E315" s="6"/>
      <c r="F315" s="6" t="s">
        <v>2877</v>
      </c>
      <c r="G315" s="6"/>
      <c r="H315" s="6"/>
      <c r="I315" s="6" t="s">
        <v>2878</v>
      </c>
      <c r="J315" s="6" t="s">
        <v>434</v>
      </c>
      <c r="K315" s="6"/>
      <c r="L315" s="6"/>
      <c r="M315" s="6"/>
      <c r="N315" s="6"/>
      <c r="O315" s="6"/>
      <c r="P315" s="6"/>
      <c r="Q315" s="6"/>
      <c r="R315" s="6"/>
      <c r="S315" s="6"/>
      <c r="T315" s="6" t="s">
        <v>2879</v>
      </c>
      <c r="U315" s="6"/>
      <c r="V315" s="6"/>
      <c r="W315" s="6"/>
      <c r="X315" s="6"/>
      <c r="Y315" s="6" t="s">
        <v>2880</v>
      </c>
      <c r="Z315" s="6" t="s">
        <v>2881</v>
      </c>
      <c r="AA315" s="6"/>
      <c r="AB315" s="6"/>
      <c r="AC315" s="6"/>
      <c r="AD315" s="6"/>
      <c r="AE315" s="6"/>
      <c r="AF315" s="6"/>
      <c r="AG315" s="6"/>
      <c r="AH315" s="6"/>
      <c r="AI315" s="6"/>
      <c r="AJ315" s="6"/>
      <c r="AK315" s="6"/>
      <c r="AL315" s="6"/>
      <c r="AM315" s="6" t="s">
        <v>436</v>
      </c>
      <c r="AN315" s="6" t="s">
        <v>568</v>
      </c>
      <c r="AO315" s="6"/>
      <c r="AP315" s="6"/>
      <c r="AQ315" s="6"/>
      <c r="AR315" s="6" t="s">
        <v>66</v>
      </c>
      <c r="AS315" s="6">
        <v>2017</v>
      </c>
      <c r="AT315" s="6">
        <v>83</v>
      </c>
      <c r="AU315" s="6"/>
      <c r="AV315" s="6"/>
      <c r="AW315" s="6"/>
      <c r="AX315" s="6"/>
      <c r="AY315" s="6"/>
      <c r="AZ315" s="6">
        <v>1</v>
      </c>
      <c r="BA315" s="6">
        <v>12</v>
      </c>
      <c r="BB315" s="6"/>
      <c r="BC315" s="6" t="s">
        <v>2882</v>
      </c>
      <c r="BD315" s="9" t="str">
        <f>HYPERLINK("http://dx.doi.org/10.1016/j.apgeog.2017.02.015","http://dx.doi.org/10.1016/j.apgeog.2017.02.015")</f>
        <v>http://dx.doi.org/10.1016/j.apgeog.2017.02.015</v>
      </c>
      <c r="BE315" s="6"/>
      <c r="BF315" s="6"/>
      <c r="BG315" s="6"/>
      <c r="BH315" s="6"/>
      <c r="BI315" s="6"/>
      <c r="BJ315" s="6" t="s">
        <v>2883</v>
      </c>
      <c r="BK315" s="6"/>
      <c r="BL315" s="6"/>
      <c r="BM315" s="6"/>
      <c r="BN315" s="6"/>
      <c r="BO315" s="6"/>
      <c r="BP315" s="6"/>
      <c r="BQ315" s="6"/>
      <c r="BR315" s="6"/>
      <c r="BS315" s="6"/>
      <c r="BT315" s="6"/>
      <c r="BU315" s="8" t="s">
        <v>7348</v>
      </c>
      <c r="BV315" s="8" t="s">
        <v>7349</v>
      </c>
      <c r="BW315" s="8" t="s">
        <v>7205</v>
      </c>
    </row>
    <row r="316" spans="1:75" ht="12.75" customHeight="1">
      <c r="A316" s="4" t="s">
        <v>63</v>
      </c>
      <c r="B316" s="4" t="s">
        <v>2884</v>
      </c>
      <c r="C316" s="4"/>
      <c r="D316" s="4"/>
      <c r="E316" s="4"/>
      <c r="F316" s="4" t="s">
        <v>2885</v>
      </c>
      <c r="G316" s="4"/>
      <c r="H316" s="4"/>
      <c r="I316" s="4" t="s">
        <v>2886</v>
      </c>
      <c r="J316" s="4" t="s">
        <v>1142</v>
      </c>
      <c r="K316" s="4"/>
      <c r="L316" s="4"/>
      <c r="M316" s="4"/>
      <c r="N316" s="4"/>
      <c r="O316" s="4"/>
      <c r="P316" s="4"/>
      <c r="Q316" s="4"/>
      <c r="R316" s="4"/>
      <c r="S316" s="4"/>
      <c r="T316" s="4" t="s">
        <v>2887</v>
      </c>
      <c r="U316" s="4"/>
      <c r="V316" s="4"/>
      <c r="W316" s="4"/>
      <c r="X316" s="4"/>
      <c r="Y316" s="4" t="s">
        <v>2888</v>
      </c>
      <c r="Z316" s="4"/>
      <c r="AA316" s="4"/>
      <c r="AB316" s="4"/>
      <c r="AC316" s="4"/>
      <c r="AD316" s="4"/>
      <c r="AE316" s="4"/>
      <c r="AF316" s="4"/>
      <c r="AG316" s="4"/>
      <c r="AH316" s="4"/>
      <c r="AI316" s="4"/>
      <c r="AJ316" s="4"/>
      <c r="AK316" s="4"/>
      <c r="AL316" s="4"/>
      <c r="AM316" s="4"/>
      <c r="AN316" s="4" t="s">
        <v>1144</v>
      </c>
      <c r="AO316" s="4"/>
      <c r="AP316" s="4"/>
      <c r="AQ316" s="4"/>
      <c r="AR316" s="4" t="s">
        <v>445</v>
      </c>
      <c r="AS316" s="4">
        <v>2017</v>
      </c>
      <c r="AT316" s="4">
        <v>14</v>
      </c>
      <c r="AU316" s="4">
        <v>9</v>
      </c>
      <c r="AV316" s="4"/>
      <c r="AW316" s="4"/>
      <c r="AX316" s="4"/>
      <c r="AY316" s="4"/>
      <c r="AZ316" s="4"/>
      <c r="BA316" s="4"/>
      <c r="BB316" s="4">
        <v>1075</v>
      </c>
      <c r="BC316" s="4" t="s">
        <v>2889</v>
      </c>
      <c r="BD316" s="5" t="str">
        <f>HYPERLINK("http://dx.doi.org/10.3390/ijerph14091075","http://dx.doi.org/10.3390/ijerph14091075")</f>
        <v>http://dx.doi.org/10.3390/ijerph14091075</v>
      </c>
      <c r="BE316" s="4"/>
      <c r="BF316" s="4"/>
      <c r="BG316" s="4"/>
      <c r="BH316" s="4"/>
      <c r="BI316" s="4">
        <v>28926937</v>
      </c>
      <c r="BJ316" s="4" t="s">
        <v>2890</v>
      </c>
      <c r="BK316" s="4"/>
      <c r="BL316" s="4"/>
      <c r="BM316" s="4"/>
      <c r="BN316" s="4"/>
      <c r="BO316" s="4"/>
      <c r="BP316" s="4"/>
      <c r="BQ316" s="4"/>
      <c r="BR316" s="4"/>
      <c r="BS316" s="4"/>
      <c r="BT316" s="4"/>
      <c r="BU316" s="12" t="s">
        <v>7247</v>
      </c>
      <c r="BV316" s="12" t="s">
        <v>7188</v>
      </c>
      <c r="BW316" s="12" t="s">
        <v>7189</v>
      </c>
    </row>
    <row r="317" spans="1:75" ht="12.75" customHeight="1">
      <c r="A317" s="3" t="s">
        <v>63</v>
      </c>
      <c r="B317" s="3" t="s">
        <v>3784</v>
      </c>
      <c r="C317" s="3"/>
      <c r="D317" s="3"/>
      <c r="E317" s="3"/>
      <c r="F317" s="3" t="s">
        <v>3785</v>
      </c>
      <c r="G317" s="3"/>
      <c r="H317" s="3"/>
      <c r="I317" s="3" t="s">
        <v>3786</v>
      </c>
      <c r="J317" s="3" t="s">
        <v>3693</v>
      </c>
      <c r="K317" s="3"/>
      <c r="L317" s="3"/>
      <c r="M317" s="3"/>
      <c r="N317" s="3"/>
      <c r="O317" s="3"/>
      <c r="P317" s="3"/>
      <c r="Q317" s="3"/>
      <c r="R317" s="3"/>
      <c r="S317" s="3"/>
      <c r="T317" s="3" t="s">
        <v>3787</v>
      </c>
      <c r="U317" s="3"/>
      <c r="V317" s="3"/>
      <c r="W317" s="3"/>
      <c r="X317" s="3"/>
      <c r="Y317" s="3" t="s">
        <v>3788</v>
      </c>
      <c r="Z317" s="3" t="s">
        <v>3789</v>
      </c>
      <c r="AA317" s="3"/>
      <c r="AB317" s="3"/>
      <c r="AC317" s="3"/>
      <c r="AD317" s="3"/>
      <c r="AE317" s="3"/>
      <c r="AF317" s="3"/>
      <c r="AG317" s="3"/>
      <c r="AH317" s="3"/>
      <c r="AI317" s="3"/>
      <c r="AJ317" s="3"/>
      <c r="AK317" s="3"/>
      <c r="AL317" s="3"/>
      <c r="AM317" s="3" t="s">
        <v>3695</v>
      </c>
      <c r="AN317" s="3" t="s">
        <v>3696</v>
      </c>
      <c r="AO317" s="3"/>
      <c r="AP317" s="3"/>
      <c r="AQ317" s="3"/>
      <c r="AR317" s="3" t="s">
        <v>121</v>
      </c>
      <c r="AS317" s="3">
        <v>2019</v>
      </c>
      <c r="AT317" s="3">
        <v>19</v>
      </c>
      <c r="AU317" s="3">
        <v>3</v>
      </c>
      <c r="AV317" s="3"/>
      <c r="AW317" s="3"/>
      <c r="AX317" s="3" t="s">
        <v>569</v>
      </c>
      <c r="AY317" s="3"/>
      <c r="AZ317" s="3"/>
      <c r="BA317" s="3"/>
      <c r="BB317" s="3" t="s">
        <v>3790</v>
      </c>
      <c r="BC317" s="3" t="s">
        <v>3791</v>
      </c>
      <c r="BD317" s="15" t="str">
        <f>HYPERLINK("http://dx.doi.org/10.1002/pa.1874","http://dx.doi.org/10.1002/pa.1874")</f>
        <v>http://dx.doi.org/10.1002/pa.1874</v>
      </c>
      <c r="BE317" s="3"/>
      <c r="BF317" s="3"/>
      <c r="BG317" s="3"/>
      <c r="BH317" s="3"/>
      <c r="BI317" s="3"/>
      <c r="BJ317" s="3" t="s">
        <v>3792</v>
      </c>
      <c r="BK317" s="3"/>
      <c r="BL317" s="3"/>
      <c r="BM317" s="3"/>
      <c r="BN317" s="3"/>
      <c r="BO317" s="3"/>
      <c r="BP317" s="3"/>
      <c r="BQ317" s="3"/>
      <c r="BR317" s="3"/>
      <c r="BS317" s="3"/>
      <c r="BT317" s="3"/>
      <c r="BU317" s="1" t="s">
        <v>7235</v>
      </c>
      <c r="BV317" s="2" t="s">
        <v>7188</v>
      </c>
      <c r="BW317" s="2" t="s">
        <v>7189</v>
      </c>
    </row>
    <row r="318" spans="1:75" ht="12.75" customHeight="1">
      <c r="A318" s="3" t="s">
        <v>63</v>
      </c>
      <c r="B318" s="3" t="s">
        <v>3357</v>
      </c>
      <c r="C318" s="3"/>
      <c r="D318" s="3"/>
      <c r="E318" s="3"/>
      <c r="F318" s="3" t="s">
        <v>3358</v>
      </c>
      <c r="G318" s="3"/>
      <c r="H318" s="3"/>
      <c r="I318" s="3" t="s">
        <v>3359</v>
      </c>
      <c r="J318" s="3" t="s">
        <v>423</v>
      </c>
      <c r="K318" s="3"/>
      <c r="L318" s="3"/>
      <c r="M318" s="3"/>
      <c r="N318" s="3"/>
      <c r="O318" s="3"/>
      <c r="P318" s="3"/>
      <c r="Q318" s="3"/>
      <c r="R318" s="3"/>
      <c r="S318" s="3"/>
      <c r="T318" s="3" t="s">
        <v>3360</v>
      </c>
      <c r="U318" s="3"/>
      <c r="V318" s="3"/>
      <c r="W318" s="3"/>
      <c r="X318" s="3"/>
      <c r="Y318" s="3" t="s">
        <v>3361</v>
      </c>
      <c r="Z318" s="3" t="s">
        <v>3362</v>
      </c>
      <c r="AA318" s="3"/>
      <c r="AB318" s="3"/>
      <c r="AC318" s="3"/>
      <c r="AD318" s="3"/>
      <c r="AE318" s="3"/>
      <c r="AF318" s="3"/>
      <c r="AG318" s="3"/>
      <c r="AH318" s="3"/>
      <c r="AI318" s="3"/>
      <c r="AJ318" s="3"/>
      <c r="AK318" s="3"/>
      <c r="AL318" s="3"/>
      <c r="AM318" s="3" t="s">
        <v>427</v>
      </c>
      <c r="AN318" s="3" t="s">
        <v>428</v>
      </c>
      <c r="AO318" s="3"/>
      <c r="AP318" s="3"/>
      <c r="AQ318" s="3"/>
      <c r="AR318" s="3"/>
      <c r="AS318" s="3">
        <v>2018</v>
      </c>
      <c r="AT318" s="3">
        <v>13</v>
      </c>
      <c r="AU318" s="3">
        <v>2</v>
      </c>
      <c r="AV318" s="3"/>
      <c r="AW318" s="3"/>
      <c r="AX318" s="3"/>
      <c r="AY318" s="3"/>
      <c r="AZ318" s="3">
        <v>154</v>
      </c>
      <c r="BA318" s="3">
        <v>179</v>
      </c>
      <c r="BB318" s="3"/>
      <c r="BC318" s="3" t="s">
        <v>3363</v>
      </c>
      <c r="BD318" s="15" t="str">
        <f>HYPERLINK("http://dx.doi.org/10.1080/19320248.2017.1315324","http://dx.doi.org/10.1080/19320248.2017.1315324")</f>
        <v>http://dx.doi.org/10.1080/19320248.2017.1315324</v>
      </c>
      <c r="BE318" s="3"/>
      <c r="BF318" s="3"/>
      <c r="BG318" s="3"/>
      <c r="BH318" s="3"/>
      <c r="BI318" s="3"/>
      <c r="BJ318" s="3" t="s">
        <v>3364</v>
      </c>
      <c r="BK318" s="3"/>
      <c r="BL318" s="3"/>
      <c r="BM318" s="3"/>
      <c r="BN318" s="3"/>
      <c r="BO318" s="3"/>
      <c r="BP318" s="3"/>
      <c r="BQ318" s="3"/>
      <c r="BR318" s="3"/>
      <c r="BS318" s="3"/>
      <c r="BT318" s="3"/>
      <c r="BU318" s="1" t="s">
        <v>7350</v>
      </c>
      <c r="BV318" s="2" t="s">
        <v>7188</v>
      </c>
      <c r="BW318" s="2" t="s">
        <v>7189</v>
      </c>
    </row>
    <row r="319" spans="1:75" ht="12.75" customHeight="1">
      <c r="A319" s="6" t="s">
        <v>63</v>
      </c>
      <c r="B319" s="6" t="s">
        <v>3793</v>
      </c>
      <c r="C319" s="6"/>
      <c r="D319" s="6"/>
      <c r="E319" s="6"/>
      <c r="F319" s="6" t="s">
        <v>3794</v>
      </c>
      <c r="G319" s="6"/>
      <c r="H319" s="6"/>
      <c r="I319" s="6" t="s">
        <v>3795</v>
      </c>
      <c r="J319" s="6" t="s">
        <v>3693</v>
      </c>
      <c r="K319" s="6"/>
      <c r="L319" s="6"/>
      <c r="M319" s="6"/>
      <c r="N319" s="6"/>
      <c r="O319" s="6"/>
      <c r="P319" s="6"/>
      <c r="Q319" s="6"/>
      <c r="R319" s="6"/>
      <c r="S319" s="6"/>
      <c r="T319" s="6" t="s">
        <v>3796</v>
      </c>
      <c r="U319" s="6"/>
      <c r="V319" s="6"/>
      <c r="W319" s="6"/>
      <c r="X319" s="6"/>
      <c r="Y319" s="6" t="s">
        <v>3797</v>
      </c>
      <c r="Z319" s="6" t="s">
        <v>3798</v>
      </c>
      <c r="AA319" s="6"/>
      <c r="AB319" s="6"/>
      <c r="AC319" s="6"/>
      <c r="AD319" s="6"/>
      <c r="AE319" s="6"/>
      <c r="AF319" s="6"/>
      <c r="AG319" s="6"/>
      <c r="AH319" s="6"/>
      <c r="AI319" s="6"/>
      <c r="AJ319" s="6"/>
      <c r="AK319" s="6"/>
      <c r="AL319" s="6"/>
      <c r="AM319" s="6" t="s">
        <v>3695</v>
      </c>
      <c r="AN319" s="6" t="s">
        <v>3696</v>
      </c>
      <c r="AO319" s="6"/>
      <c r="AP319" s="6"/>
      <c r="AQ319" s="6"/>
      <c r="AR319" s="6" t="s">
        <v>121</v>
      </c>
      <c r="AS319" s="6">
        <v>2019</v>
      </c>
      <c r="AT319" s="6">
        <v>19</v>
      </c>
      <c r="AU319" s="6">
        <v>3</v>
      </c>
      <c r="AV319" s="6"/>
      <c r="AW319" s="6"/>
      <c r="AX319" s="6" t="s">
        <v>569</v>
      </c>
      <c r="AY319" s="6"/>
      <c r="AZ319" s="6"/>
      <c r="BA319" s="6"/>
      <c r="BB319" s="6" t="s">
        <v>3799</v>
      </c>
      <c r="BC319" s="6" t="s">
        <v>3800</v>
      </c>
      <c r="BD319" s="9" t="str">
        <f>HYPERLINK("http://dx.doi.org/10.1002/pa.1851","http://dx.doi.org/10.1002/pa.1851")</f>
        <v>http://dx.doi.org/10.1002/pa.1851</v>
      </c>
      <c r="BE319" s="6"/>
      <c r="BF319" s="6"/>
      <c r="BG319" s="6"/>
      <c r="BH319" s="6"/>
      <c r="BI319" s="6"/>
      <c r="BJ319" s="6" t="s">
        <v>3801</v>
      </c>
      <c r="BK319" s="6"/>
      <c r="BL319" s="6"/>
      <c r="BM319" s="6"/>
      <c r="BN319" s="6"/>
      <c r="BO319" s="6"/>
      <c r="BP319" s="6"/>
      <c r="BQ319" s="6"/>
      <c r="BR319" s="6"/>
      <c r="BS319" s="6"/>
      <c r="BT319" s="6"/>
      <c r="BU319" s="8" t="s">
        <v>7351</v>
      </c>
      <c r="BV319" s="8" t="s">
        <v>7188</v>
      </c>
      <c r="BW319" s="8" t="s">
        <v>7189</v>
      </c>
    </row>
    <row r="320" spans="1:75" ht="12.75" customHeight="1">
      <c r="A320" s="6" t="s">
        <v>63</v>
      </c>
      <c r="B320" s="6" t="s">
        <v>6835</v>
      </c>
      <c r="C320" s="6"/>
      <c r="D320" s="6"/>
      <c r="E320" s="6"/>
      <c r="F320" s="6" t="s">
        <v>6836</v>
      </c>
      <c r="G320" s="6"/>
      <c r="H320" s="6"/>
      <c r="I320" s="6" t="s">
        <v>6837</v>
      </c>
      <c r="J320" s="6" t="s">
        <v>6838</v>
      </c>
      <c r="K320" s="6"/>
      <c r="L320" s="6"/>
      <c r="M320" s="6"/>
      <c r="N320" s="6"/>
      <c r="O320" s="6"/>
      <c r="P320" s="6"/>
      <c r="Q320" s="6"/>
      <c r="R320" s="6"/>
      <c r="S320" s="6"/>
      <c r="T320" s="6" t="s">
        <v>6839</v>
      </c>
      <c r="U320" s="6"/>
      <c r="V320" s="6"/>
      <c r="W320" s="6"/>
      <c r="X320" s="6"/>
      <c r="Y320" s="6"/>
      <c r="Z320" s="6"/>
      <c r="AA320" s="6"/>
      <c r="AB320" s="6"/>
      <c r="AC320" s="6"/>
      <c r="AD320" s="6"/>
      <c r="AE320" s="6"/>
      <c r="AF320" s="6"/>
      <c r="AG320" s="6"/>
      <c r="AH320" s="6"/>
      <c r="AI320" s="6"/>
      <c r="AJ320" s="6"/>
      <c r="AK320" s="6"/>
      <c r="AL320" s="6"/>
      <c r="AM320" s="6" t="s">
        <v>6840</v>
      </c>
      <c r="AN320" s="6" t="s">
        <v>6841</v>
      </c>
      <c r="AO320" s="6"/>
      <c r="AP320" s="6"/>
      <c r="AQ320" s="6"/>
      <c r="AR320" s="6" t="s">
        <v>82</v>
      </c>
      <c r="AS320" s="6">
        <v>2024</v>
      </c>
      <c r="AT320" s="6">
        <v>7</v>
      </c>
      <c r="AU320" s="6">
        <v>1</v>
      </c>
      <c r="AV320" s="6"/>
      <c r="AW320" s="6"/>
      <c r="AX320" s="6"/>
      <c r="AY320" s="6"/>
      <c r="AZ320" s="6">
        <v>1</v>
      </c>
      <c r="BA320" s="6">
        <v>8</v>
      </c>
      <c r="BB320" s="6"/>
      <c r="BC320" s="6" t="s">
        <v>6842</v>
      </c>
      <c r="BD320" s="9" t="str">
        <f>HYPERLINK("http://dx.doi.org/10.1007/s41996-023-00130-2","http://dx.doi.org/10.1007/s41996-023-00130-2")</f>
        <v>http://dx.doi.org/10.1007/s41996-023-00130-2</v>
      </c>
      <c r="BE320" s="6"/>
      <c r="BF320" s="6"/>
      <c r="BG320" s="6"/>
      <c r="BH320" s="6"/>
      <c r="BI320" s="6"/>
      <c r="BJ320" s="6" t="s">
        <v>6843</v>
      </c>
      <c r="BK320" s="6"/>
      <c r="BL320" s="6"/>
      <c r="BM320" s="6"/>
      <c r="BN320" s="6"/>
      <c r="BO320" s="6"/>
      <c r="BP320" s="6"/>
      <c r="BQ320" s="6"/>
      <c r="BR320" s="6"/>
      <c r="BS320" s="6"/>
      <c r="BT320" s="6"/>
      <c r="BU320" s="8" t="s">
        <v>7281</v>
      </c>
      <c r="BV320" s="8" t="s">
        <v>7188</v>
      </c>
      <c r="BW320" s="8" t="s">
        <v>7189</v>
      </c>
    </row>
    <row r="321" spans="1:75" ht="12.75" customHeight="1">
      <c r="A321" s="6" t="s">
        <v>63</v>
      </c>
      <c r="B321" s="6" t="s">
        <v>2892</v>
      </c>
      <c r="C321" s="6"/>
      <c r="D321" s="6"/>
      <c r="E321" s="6"/>
      <c r="F321" s="6" t="s">
        <v>2893</v>
      </c>
      <c r="G321" s="6"/>
      <c r="H321" s="6"/>
      <c r="I321" s="6" t="s">
        <v>2894</v>
      </c>
      <c r="J321" s="6" t="s">
        <v>184</v>
      </c>
      <c r="K321" s="6"/>
      <c r="L321" s="6"/>
      <c r="M321" s="6"/>
      <c r="N321" s="6"/>
      <c r="O321" s="6"/>
      <c r="P321" s="6"/>
      <c r="Q321" s="6"/>
      <c r="R321" s="6"/>
      <c r="S321" s="6"/>
      <c r="T321" s="6" t="s">
        <v>2895</v>
      </c>
      <c r="U321" s="6"/>
      <c r="V321" s="6"/>
      <c r="W321" s="6"/>
      <c r="X321" s="6"/>
      <c r="Y321" s="6"/>
      <c r="Z321" s="6"/>
      <c r="AA321" s="6"/>
      <c r="AB321" s="6"/>
      <c r="AC321" s="6"/>
      <c r="AD321" s="6"/>
      <c r="AE321" s="6"/>
      <c r="AF321" s="6"/>
      <c r="AG321" s="6"/>
      <c r="AH321" s="6"/>
      <c r="AI321" s="6"/>
      <c r="AJ321" s="6"/>
      <c r="AK321" s="6"/>
      <c r="AL321" s="6"/>
      <c r="AM321" s="6" t="s">
        <v>186</v>
      </c>
      <c r="AN321" s="6" t="s">
        <v>760</v>
      </c>
      <c r="AO321" s="6"/>
      <c r="AP321" s="6"/>
      <c r="AQ321" s="6"/>
      <c r="AR321" s="6"/>
      <c r="AS321" s="6">
        <v>2017</v>
      </c>
      <c r="AT321" s="6">
        <v>99</v>
      </c>
      <c r="AU321" s="6">
        <v>1</v>
      </c>
      <c r="AV321" s="6"/>
      <c r="AW321" s="6"/>
      <c r="AX321" s="6"/>
      <c r="AY321" s="6"/>
      <c r="AZ321" s="6">
        <v>94</v>
      </c>
      <c r="BA321" s="6">
        <v>105</v>
      </c>
      <c r="BB321" s="6"/>
      <c r="BC321" s="6" t="s">
        <v>2896</v>
      </c>
      <c r="BD321" s="9" t="str">
        <f>HYPERLINK("http://dx.doi.org/10.1080/04353684.2016.1277076","http://dx.doi.org/10.1080/04353684.2016.1277076")</f>
        <v>http://dx.doi.org/10.1080/04353684.2016.1277076</v>
      </c>
      <c r="BE321" s="6"/>
      <c r="BF321" s="6"/>
      <c r="BG321" s="6"/>
      <c r="BH321" s="6"/>
      <c r="BI321" s="6"/>
      <c r="BJ321" s="6" t="s">
        <v>2897</v>
      </c>
      <c r="BK321" s="6"/>
      <c r="BL321" s="6"/>
      <c r="BM321" s="6"/>
      <c r="BN321" s="6"/>
      <c r="BO321" s="6"/>
      <c r="BP321" s="6"/>
      <c r="BQ321" s="6"/>
      <c r="BR321" s="6"/>
      <c r="BS321" s="6"/>
      <c r="BT321" s="6"/>
      <c r="BU321" s="8" t="s">
        <v>7193</v>
      </c>
      <c r="BV321" s="8" t="s">
        <v>2891</v>
      </c>
      <c r="BW321" s="8" t="s">
        <v>7205</v>
      </c>
    </row>
    <row r="322" spans="1:75" ht="12.75" customHeight="1">
      <c r="A322" s="3" t="s">
        <v>63</v>
      </c>
      <c r="B322" s="3" t="s">
        <v>614</v>
      </c>
      <c r="C322" s="3"/>
      <c r="D322" s="3"/>
      <c r="E322" s="3"/>
      <c r="F322" s="3" t="s">
        <v>615</v>
      </c>
      <c r="G322" s="3"/>
      <c r="H322" s="3"/>
      <c r="I322" s="3" t="s">
        <v>616</v>
      </c>
      <c r="J322" s="3" t="s">
        <v>239</v>
      </c>
      <c r="K322" s="3"/>
      <c r="L322" s="3"/>
      <c r="M322" s="3"/>
      <c r="N322" s="3"/>
      <c r="O322" s="3"/>
      <c r="P322" s="3"/>
      <c r="Q322" s="3"/>
      <c r="R322" s="3"/>
      <c r="S322" s="3"/>
      <c r="T322" s="3" t="s">
        <v>617</v>
      </c>
      <c r="U322" s="3"/>
      <c r="V322" s="3"/>
      <c r="W322" s="3"/>
      <c r="X322" s="3"/>
      <c r="Y322" s="3" t="s">
        <v>286</v>
      </c>
      <c r="Z322" s="3" t="s">
        <v>618</v>
      </c>
      <c r="AA322" s="3"/>
      <c r="AB322" s="3"/>
      <c r="AC322" s="3"/>
      <c r="AD322" s="3"/>
      <c r="AE322" s="3"/>
      <c r="AF322" s="3"/>
      <c r="AG322" s="3"/>
      <c r="AH322" s="3"/>
      <c r="AI322" s="3"/>
      <c r="AJ322" s="3"/>
      <c r="AK322" s="3"/>
      <c r="AL322" s="3"/>
      <c r="AM322" s="3" t="s">
        <v>243</v>
      </c>
      <c r="AN322" s="3"/>
      <c r="AO322" s="3"/>
      <c r="AP322" s="3"/>
      <c r="AQ322" s="3"/>
      <c r="AR322" s="3" t="s">
        <v>619</v>
      </c>
      <c r="AS322" s="3">
        <v>2011</v>
      </c>
      <c r="AT322" s="3">
        <v>10</v>
      </c>
      <c r="AU322" s="3"/>
      <c r="AV322" s="3"/>
      <c r="AW322" s="3"/>
      <c r="AX322" s="3"/>
      <c r="AY322" s="3"/>
      <c r="AZ322" s="3"/>
      <c r="BA322" s="3"/>
      <c r="BB322" s="3">
        <v>34</v>
      </c>
      <c r="BC322" s="3" t="s">
        <v>620</v>
      </c>
      <c r="BD322" s="15" t="str">
        <f>HYPERLINK("http://dx.doi.org/10.1186/1476-072X-10-34","http://dx.doi.org/10.1186/1476-072X-10-34")</f>
        <v>http://dx.doi.org/10.1186/1476-072X-10-34</v>
      </c>
      <c r="BE322" s="3"/>
      <c r="BF322" s="3"/>
      <c r="BG322" s="3"/>
      <c r="BH322" s="3"/>
      <c r="BI322" s="3">
        <v>21575162</v>
      </c>
      <c r="BJ322" s="3" t="s">
        <v>621</v>
      </c>
      <c r="BK322" s="3"/>
      <c r="BL322" s="3"/>
      <c r="BM322" s="3"/>
      <c r="BN322" s="3"/>
      <c r="BO322" s="3"/>
      <c r="BP322" s="3"/>
      <c r="BQ322" s="3"/>
      <c r="BR322" s="3"/>
      <c r="BS322" s="3"/>
      <c r="BT322" s="3"/>
      <c r="BU322" s="13" t="s">
        <v>7249</v>
      </c>
      <c r="BV322" s="2" t="s">
        <v>2039</v>
      </c>
      <c r="BW322" s="2" t="s">
        <v>7189</v>
      </c>
    </row>
    <row r="323" spans="1:75" ht="12.75" customHeight="1">
      <c r="A323" s="4" t="s">
        <v>63</v>
      </c>
      <c r="B323" s="4" t="s">
        <v>5596</v>
      </c>
      <c r="C323" s="4"/>
      <c r="D323" s="4"/>
      <c r="E323" s="4"/>
      <c r="F323" s="4" t="s">
        <v>5597</v>
      </c>
      <c r="G323" s="4"/>
      <c r="H323" s="4"/>
      <c r="I323" s="4" t="s">
        <v>5598</v>
      </c>
      <c r="J323" s="4" t="s">
        <v>2207</v>
      </c>
      <c r="K323" s="4"/>
      <c r="L323" s="4"/>
      <c r="M323" s="4"/>
      <c r="N323" s="4"/>
      <c r="O323" s="4"/>
      <c r="P323" s="4"/>
      <c r="Q323" s="4"/>
      <c r="R323" s="4"/>
      <c r="S323" s="4"/>
      <c r="T323" s="4" t="s">
        <v>5599</v>
      </c>
      <c r="U323" s="4"/>
      <c r="V323" s="4"/>
      <c r="W323" s="4"/>
      <c r="X323" s="4"/>
      <c r="Y323" s="4"/>
      <c r="Z323" s="4" t="s">
        <v>5600</v>
      </c>
      <c r="AA323" s="4"/>
      <c r="AB323" s="4"/>
      <c r="AC323" s="4"/>
      <c r="AD323" s="4"/>
      <c r="AE323" s="4"/>
      <c r="AF323" s="4"/>
      <c r="AG323" s="4"/>
      <c r="AH323" s="4"/>
      <c r="AI323" s="4"/>
      <c r="AJ323" s="4"/>
      <c r="AK323" s="4"/>
      <c r="AL323" s="4"/>
      <c r="AM323" s="4" t="s">
        <v>2210</v>
      </c>
      <c r="AN323" s="4" t="s">
        <v>2211</v>
      </c>
      <c r="AO323" s="4"/>
      <c r="AP323" s="4"/>
      <c r="AQ323" s="4"/>
      <c r="AR323" s="4" t="s">
        <v>65</v>
      </c>
      <c r="AS323" s="4">
        <v>2022</v>
      </c>
      <c r="AT323" s="4">
        <v>87</v>
      </c>
      <c r="AU323" s="4">
        <v>6</v>
      </c>
      <c r="AV323" s="4"/>
      <c r="AW323" s="4"/>
      <c r="AX323" s="4"/>
      <c r="AY323" s="4"/>
      <c r="AZ323" s="4">
        <v>5229</v>
      </c>
      <c r="BA323" s="4">
        <v>5249</v>
      </c>
      <c r="BB323" s="4"/>
      <c r="BC323" s="4" t="s">
        <v>5601</v>
      </c>
      <c r="BD323" s="5" t="str">
        <f>HYPERLINK("http://dx.doi.org/10.1007/s10708-021-10568-2","http://dx.doi.org/10.1007/s10708-021-10568-2")</f>
        <v>http://dx.doi.org/10.1007/s10708-021-10568-2</v>
      </c>
      <c r="BE323" s="4"/>
      <c r="BF323" s="4" t="s">
        <v>5521</v>
      </c>
      <c r="BG323" s="4"/>
      <c r="BH323" s="4"/>
      <c r="BI323" s="4"/>
      <c r="BJ323" s="4" t="s">
        <v>5602</v>
      </c>
      <c r="BK323" s="4"/>
      <c r="BL323" s="4"/>
      <c r="BM323" s="4"/>
      <c r="BN323" s="4"/>
      <c r="BO323" s="4"/>
      <c r="BP323" s="4"/>
      <c r="BQ323" s="4"/>
      <c r="BR323" s="4"/>
      <c r="BS323" s="4"/>
      <c r="BT323" s="4"/>
      <c r="BU323" s="12" t="s">
        <v>7352</v>
      </c>
      <c r="BV323" s="12" t="s">
        <v>7188</v>
      </c>
      <c r="BW323" s="12" t="s">
        <v>7189</v>
      </c>
    </row>
    <row r="324" spans="1:75" ht="12.75" customHeight="1">
      <c r="A324" s="6" t="s">
        <v>63</v>
      </c>
      <c r="B324" s="6" t="s">
        <v>455</v>
      </c>
      <c r="C324" s="6"/>
      <c r="D324" s="6"/>
      <c r="E324" s="6"/>
      <c r="F324" s="6" t="s">
        <v>456</v>
      </c>
      <c r="G324" s="6"/>
      <c r="H324" s="6"/>
      <c r="I324" s="6" t="s">
        <v>457</v>
      </c>
      <c r="J324" s="6" t="s">
        <v>87</v>
      </c>
      <c r="K324" s="6"/>
      <c r="L324" s="6"/>
      <c r="M324" s="6"/>
      <c r="N324" s="6"/>
      <c r="O324" s="6"/>
      <c r="P324" s="6"/>
      <c r="Q324" s="6"/>
      <c r="R324" s="6"/>
      <c r="S324" s="6"/>
      <c r="T324" s="6" t="s">
        <v>458</v>
      </c>
      <c r="U324" s="6"/>
      <c r="V324" s="6"/>
      <c r="W324" s="6"/>
      <c r="X324" s="6"/>
      <c r="Y324" s="6" t="s">
        <v>459</v>
      </c>
      <c r="Z324" s="6" t="s">
        <v>460</v>
      </c>
      <c r="AA324" s="6"/>
      <c r="AB324" s="6"/>
      <c r="AC324" s="6"/>
      <c r="AD324" s="6"/>
      <c r="AE324" s="6"/>
      <c r="AF324" s="6"/>
      <c r="AG324" s="6"/>
      <c r="AH324" s="6"/>
      <c r="AI324" s="6"/>
      <c r="AJ324" s="6"/>
      <c r="AK324" s="6"/>
      <c r="AL324" s="6"/>
      <c r="AM324" s="6" t="s">
        <v>91</v>
      </c>
      <c r="AN324" s="6" t="s">
        <v>113</v>
      </c>
      <c r="AO324" s="6"/>
      <c r="AP324" s="6"/>
      <c r="AQ324" s="6"/>
      <c r="AR324" s="6" t="s">
        <v>66</v>
      </c>
      <c r="AS324" s="6">
        <v>2010</v>
      </c>
      <c r="AT324" s="6">
        <v>47</v>
      </c>
      <c r="AU324" s="6">
        <v>7</v>
      </c>
      <c r="AV324" s="6"/>
      <c r="AW324" s="6"/>
      <c r="AX324" s="6"/>
      <c r="AY324" s="6"/>
      <c r="AZ324" s="6">
        <v>1415</v>
      </c>
      <c r="BA324" s="6">
        <v>1438</v>
      </c>
      <c r="BB324" s="6"/>
      <c r="BC324" s="6" t="s">
        <v>461</v>
      </c>
      <c r="BD324" s="9" t="str">
        <f>HYPERLINK("http://dx.doi.org/10.1177/0042098009353626","http://dx.doi.org/10.1177/0042098009353626")</f>
        <v>http://dx.doi.org/10.1177/0042098009353626</v>
      </c>
      <c r="BE324" s="6"/>
      <c r="BF324" s="6"/>
      <c r="BG324" s="6"/>
      <c r="BH324" s="6"/>
      <c r="BI324" s="6"/>
      <c r="BJ324" s="6" t="s">
        <v>462</v>
      </c>
      <c r="BK324" s="6"/>
      <c r="BL324" s="6"/>
      <c r="BM324" s="6"/>
      <c r="BN324" s="6"/>
      <c r="BO324" s="6"/>
      <c r="BP324" s="6"/>
      <c r="BQ324" s="6"/>
      <c r="BR324" s="6"/>
      <c r="BS324" s="6"/>
      <c r="BT324" s="6"/>
      <c r="BU324" s="8" t="s">
        <v>7353</v>
      </c>
      <c r="BV324" s="8" t="s">
        <v>2039</v>
      </c>
      <c r="BW324" s="8" t="s">
        <v>7189</v>
      </c>
    </row>
    <row r="325" spans="1:75" ht="12.75" customHeight="1">
      <c r="A325" s="6" t="s">
        <v>63</v>
      </c>
      <c r="B325" s="6" t="s">
        <v>6226</v>
      </c>
      <c r="C325" s="6"/>
      <c r="D325" s="6"/>
      <c r="E325" s="6"/>
      <c r="F325" s="6" t="s">
        <v>6227</v>
      </c>
      <c r="G325" s="6"/>
      <c r="H325" s="6"/>
      <c r="I325" s="6" t="s">
        <v>6228</v>
      </c>
      <c r="J325" s="6" t="s">
        <v>6229</v>
      </c>
      <c r="K325" s="6"/>
      <c r="L325" s="6"/>
      <c r="M325" s="6"/>
      <c r="N325" s="6"/>
      <c r="O325" s="6"/>
      <c r="P325" s="6"/>
      <c r="Q325" s="6"/>
      <c r="R325" s="6"/>
      <c r="S325" s="6"/>
      <c r="T325" s="6" t="s">
        <v>6230</v>
      </c>
      <c r="U325" s="6"/>
      <c r="V325" s="6"/>
      <c r="W325" s="6"/>
      <c r="X325" s="6"/>
      <c r="Y325" s="6"/>
      <c r="Z325" s="6"/>
      <c r="AA325" s="6"/>
      <c r="AB325" s="6"/>
      <c r="AC325" s="6"/>
      <c r="AD325" s="6"/>
      <c r="AE325" s="6"/>
      <c r="AF325" s="6"/>
      <c r="AG325" s="6"/>
      <c r="AH325" s="6"/>
      <c r="AI325" s="6"/>
      <c r="AJ325" s="6"/>
      <c r="AK325" s="6"/>
      <c r="AL325" s="6"/>
      <c r="AM325" s="6" t="s">
        <v>6231</v>
      </c>
      <c r="AN325" s="6" t="s">
        <v>6232</v>
      </c>
      <c r="AO325" s="6"/>
      <c r="AP325" s="6"/>
      <c r="AQ325" s="6"/>
      <c r="AR325" s="6" t="s">
        <v>4540</v>
      </c>
      <c r="AS325" s="6">
        <v>2023</v>
      </c>
      <c r="AT325" s="6">
        <v>77</v>
      </c>
      <c r="AU325" s="6">
        <v>2</v>
      </c>
      <c r="AV325" s="6"/>
      <c r="AW325" s="6"/>
      <c r="AX325" s="6" t="s">
        <v>569</v>
      </c>
      <c r="AY325" s="6"/>
      <c r="AZ325" s="6">
        <v>364</v>
      </c>
      <c r="BA325" s="6">
        <v>372</v>
      </c>
      <c r="BB325" s="6"/>
      <c r="BC325" s="6" t="s">
        <v>6233</v>
      </c>
      <c r="BD325" s="9" t="str">
        <f>HYPERLINK("http://dx.doi.org/10.1080/10464883.2023.2233383","http://dx.doi.org/10.1080/10464883.2023.2233383")</f>
        <v>http://dx.doi.org/10.1080/10464883.2023.2233383</v>
      </c>
      <c r="BE325" s="6"/>
      <c r="BF325" s="6"/>
      <c r="BG325" s="6"/>
      <c r="BH325" s="6"/>
      <c r="BI325" s="6"/>
      <c r="BJ325" s="6" t="s">
        <v>6234</v>
      </c>
      <c r="BK325" s="6"/>
      <c r="BL325" s="6"/>
      <c r="BM325" s="6"/>
      <c r="BN325" s="6"/>
      <c r="BO325" s="6"/>
      <c r="BP325" s="6"/>
      <c r="BQ325" s="6"/>
      <c r="BR325" s="6"/>
      <c r="BS325" s="6"/>
      <c r="BT325" s="6"/>
      <c r="BU325" s="8" t="s">
        <v>7286</v>
      </c>
      <c r="BV325" s="8" t="s">
        <v>7188</v>
      </c>
      <c r="BW325" s="8" t="s">
        <v>7189</v>
      </c>
    </row>
    <row r="326" spans="1:75" ht="12.75" customHeight="1">
      <c r="A326" s="4" t="s">
        <v>63</v>
      </c>
      <c r="B326" s="4" t="s">
        <v>810</v>
      </c>
      <c r="C326" s="4"/>
      <c r="D326" s="4"/>
      <c r="E326" s="4"/>
      <c r="F326" s="4" t="s">
        <v>811</v>
      </c>
      <c r="G326" s="4"/>
      <c r="H326" s="4"/>
      <c r="I326" s="4" t="s">
        <v>812</v>
      </c>
      <c r="J326" s="4" t="s">
        <v>813</v>
      </c>
      <c r="K326" s="4"/>
      <c r="L326" s="4"/>
      <c r="M326" s="4"/>
      <c r="N326" s="4"/>
      <c r="O326" s="4"/>
      <c r="P326" s="4"/>
      <c r="Q326" s="4"/>
      <c r="R326" s="4"/>
      <c r="S326" s="4"/>
      <c r="T326" s="4" t="s">
        <v>814</v>
      </c>
      <c r="U326" s="4"/>
      <c r="V326" s="4"/>
      <c r="W326" s="4"/>
      <c r="X326" s="4"/>
      <c r="Y326" s="4"/>
      <c r="Z326" s="4"/>
      <c r="AA326" s="4"/>
      <c r="AB326" s="4"/>
      <c r="AC326" s="4"/>
      <c r="AD326" s="4"/>
      <c r="AE326" s="4"/>
      <c r="AF326" s="4"/>
      <c r="AG326" s="4"/>
      <c r="AH326" s="4"/>
      <c r="AI326" s="4"/>
      <c r="AJ326" s="4"/>
      <c r="AK326" s="4"/>
      <c r="AL326" s="4"/>
      <c r="AM326" s="4" t="s">
        <v>815</v>
      </c>
      <c r="AN326" s="4" t="s">
        <v>816</v>
      </c>
      <c r="AO326" s="4"/>
      <c r="AP326" s="4"/>
      <c r="AQ326" s="4"/>
      <c r="AR326" s="4" t="s">
        <v>133</v>
      </c>
      <c r="AS326" s="4">
        <v>2012</v>
      </c>
      <c r="AT326" s="4">
        <v>42</v>
      </c>
      <c r="AU326" s="4" t="s">
        <v>174</v>
      </c>
      <c r="AV326" s="4"/>
      <c r="AW326" s="4"/>
      <c r="AX326" s="4"/>
      <c r="AY326" s="4"/>
      <c r="AZ326" s="4">
        <v>269</v>
      </c>
      <c r="BA326" s="4">
        <v>285</v>
      </c>
      <c r="BB326" s="4"/>
      <c r="BC326" s="4" t="s">
        <v>817</v>
      </c>
      <c r="BD326" s="5" t="str">
        <f>HYPERLINK("http://dx.doi.org/10.1016/j.regsciurbeco.2011.09.005","http://dx.doi.org/10.1016/j.regsciurbeco.2011.09.005")</f>
        <v>http://dx.doi.org/10.1016/j.regsciurbeco.2011.09.005</v>
      </c>
      <c r="BE326" s="4"/>
      <c r="BF326" s="4"/>
      <c r="BG326" s="4"/>
      <c r="BH326" s="4"/>
      <c r="BI326" s="4"/>
      <c r="BJ326" s="4" t="s">
        <v>818</v>
      </c>
      <c r="BK326" s="4"/>
      <c r="BL326" s="4"/>
      <c r="BM326" s="4"/>
      <c r="BN326" s="4"/>
      <c r="BO326" s="4"/>
      <c r="BP326" s="4"/>
      <c r="BQ326" s="4"/>
      <c r="BR326" s="4"/>
      <c r="BS326" s="4"/>
      <c r="BT326" s="4"/>
      <c r="BU326" s="12" t="s">
        <v>7201</v>
      </c>
      <c r="BV326" s="12" t="s">
        <v>7188</v>
      </c>
      <c r="BW326" s="12" t="s">
        <v>7189</v>
      </c>
    </row>
    <row r="327" spans="1:75" ht="12.75" customHeight="1">
      <c r="A327" s="3" t="s">
        <v>63</v>
      </c>
      <c r="B327" s="3" t="s">
        <v>1847</v>
      </c>
      <c r="C327" s="3"/>
      <c r="D327" s="3"/>
      <c r="E327" s="3"/>
      <c r="F327" s="3" t="s">
        <v>1848</v>
      </c>
      <c r="G327" s="3"/>
      <c r="H327" s="3"/>
      <c r="I327" s="3" t="s">
        <v>1849</v>
      </c>
      <c r="J327" s="3" t="s">
        <v>1378</v>
      </c>
      <c r="K327" s="3"/>
      <c r="L327" s="3"/>
      <c r="M327" s="3"/>
      <c r="N327" s="3"/>
      <c r="O327" s="3"/>
      <c r="P327" s="3"/>
      <c r="Q327" s="3"/>
      <c r="R327" s="3"/>
      <c r="S327" s="3"/>
      <c r="T327" s="3" t="s">
        <v>1850</v>
      </c>
      <c r="U327" s="3"/>
      <c r="V327" s="3"/>
      <c r="W327" s="3"/>
      <c r="X327" s="3"/>
      <c r="Y327" s="3"/>
      <c r="Z327" s="3" t="s">
        <v>1851</v>
      </c>
      <c r="AA327" s="3"/>
      <c r="AB327" s="3"/>
      <c r="AC327" s="3"/>
      <c r="AD327" s="3"/>
      <c r="AE327" s="3"/>
      <c r="AF327" s="3"/>
      <c r="AG327" s="3"/>
      <c r="AH327" s="3"/>
      <c r="AI327" s="3"/>
      <c r="AJ327" s="3"/>
      <c r="AK327" s="3"/>
      <c r="AL327" s="3"/>
      <c r="AM327" s="3" t="s">
        <v>1381</v>
      </c>
      <c r="AN327" s="3" t="s">
        <v>1382</v>
      </c>
      <c r="AO327" s="3"/>
      <c r="AP327" s="3"/>
      <c r="AQ327" s="3"/>
      <c r="AR327" s="3" t="s">
        <v>65</v>
      </c>
      <c r="AS327" s="3">
        <v>2015</v>
      </c>
      <c r="AT327" s="3">
        <v>39</v>
      </c>
      <c r="AU327" s="3">
        <v>6</v>
      </c>
      <c r="AV327" s="3"/>
      <c r="AW327" s="3"/>
      <c r="AX327" s="3"/>
      <c r="AY327" s="3"/>
      <c r="AZ327" s="3">
        <v>800</v>
      </c>
      <c r="BA327" s="3">
        <v>808</v>
      </c>
      <c r="BB327" s="3"/>
      <c r="BC327" s="3" t="s">
        <v>1852</v>
      </c>
      <c r="BD327" s="15" t="str">
        <f>HYPERLINK("http://dx.doi.org/10.1177/0309132514562997","http://dx.doi.org/10.1177/0309132514562997")</f>
        <v>http://dx.doi.org/10.1177/0309132514562997</v>
      </c>
      <c r="BE327" s="3"/>
      <c r="BF327" s="3"/>
      <c r="BG327" s="3"/>
      <c r="BH327" s="3"/>
      <c r="BI327" s="3"/>
      <c r="BJ327" s="3" t="s">
        <v>1853</v>
      </c>
      <c r="BK327" s="3"/>
      <c r="BL327" s="3"/>
      <c r="BM327" s="3"/>
      <c r="BN327" s="3"/>
      <c r="BO327" s="3"/>
      <c r="BP327" s="3"/>
      <c r="BQ327" s="3"/>
      <c r="BR327" s="3"/>
      <c r="BS327" s="3"/>
      <c r="BT327" s="3"/>
      <c r="BU327" s="1" t="s">
        <v>7235</v>
      </c>
      <c r="BV327" s="2" t="s">
        <v>7188</v>
      </c>
      <c r="BW327" s="2" t="s">
        <v>7189</v>
      </c>
    </row>
    <row r="328" spans="1:75" ht="12" customHeight="1">
      <c r="A328" s="4" t="s">
        <v>63</v>
      </c>
      <c r="B328" s="4" t="s">
        <v>3365</v>
      </c>
      <c r="C328" s="4"/>
      <c r="D328" s="4"/>
      <c r="E328" s="4"/>
      <c r="F328" s="4" t="s">
        <v>3366</v>
      </c>
      <c r="G328" s="4"/>
      <c r="H328" s="4"/>
      <c r="I328" s="4" t="s">
        <v>3367</v>
      </c>
      <c r="J328" s="4" t="s">
        <v>380</v>
      </c>
      <c r="K328" s="4"/>
      <c r="L328" s="4"/>
      <c r="M328" s="4"/>
      <c r="N328" s="4"/>
      <c r="O328" s="4"/>
      <c r="P328" s="4"/>
      <c r="Q328" s="4"/>
      <c r="R328" s="4"/>
      <c r="S328" s="4"/>
      <c r="T328" s="4" t="s">
        <v>3368</v>
      </c>
      <c r="U328" s="4"/>
      <c r="V328" s="4"/>
      <c r="W328" s="4"/>
      <c r="X328" s="4"/>
      <c r="Y328" s="4"/>
      <c r="Z328" s="4"/>
      <c r="AA328" s="4"/>
      <c r="AB328" s="4"/>
      <c r="AC328" s="4"/>
      <c r="AD328" s="4"/>
      <c r="AE328" s="4"/>
      <c r="AF328" s="4"/>
      <c r="AG328" s="4"/>
      <c r="AH328" s="4"/>
      <c r="AI328" s="4"/>
      <c r="AJ328" s="4"/>
      <c r="AK328" s="4"/>
      <c r="AL328" s="4"/>
      <c r="AM328" s="4" t="s">
        <v>382</v>
      </c>
      <c r="AN328" s="4" t="s">
        <v>383</v>
      </c>
      <c r="AO328" s="4"/>
      <c r="AP328" s="4"/>
      <c r="AQ328" s="4"/>
      <c r="AR328" s="4" t="s">
        <v>82</v>
      </c>
      <c r="AS328" s="4">
        <v>2018</v>
      </c>
      <c r="AT328" s="4">
        <v>50</v>
      </c>
      <c r="AU328" s="4"/>
      <c r="AV328" s="4"/>
      <c r="AW328" s="4"/>
      <c r="AX328" s="4"/>
      <c r="AY328" s="4"/>
      <c r="AZ328" s="4">
        <v>89</v>
      </c>
      <c r="BA328" s="4">
        <v>97</v>
      </c>
      <c r="BB328" s="4"/>
      <c r="BC328" s="4" t="s">
        <v>3369</v>
      </c>
      <c r="BD328" s="5" t="str">
        <f>HYPERLINK("http://dx.doi.org/10.1016/j.healthplace.2018.01.003","http://dx.doi.org/10.1016/j.healthplace.2018.01.003")</f>
        <v>http://dx.doi.org/10.1016/j.healthplace.2018.01.003</v>
      </c>
      <c r="BE328" s="4"/>
      <c r="BF328" s="4"/>
      <c r="BG328" s="4"/>
      <c r="BH328" s="4"/>
      <c r="BI328" s="4">
        <v>29414426</v>
      </c>
      <c r="BJ328" s="4" t="s">
        <v>3370</v>
      </c>
      <c r="BK328" s="4"/>
      <c r="BL328" s="4"/>
      <c r="BM328" s="4"/>
      <c r="BN328" s="4"/>
      <c r="BO328" s="4"/>
      <c r="BP328" s="4"/>
      <c r="BQ328" s="4"/>
      <c r="BR328" s="4"/>
      <c r="BS328" s="4"/>
      <c r="BT328" s="4"/>
      <c r="BU328" s="12" t="s">
        <v>3018</v>
      </c>
      <c r="BV328" s="12" t="s">
        <v>7188</v>
      </c>
      <c r="BW328" s="12" t="s">
        <v>7189</v>
      </c>
    </row>
    <row r="329" spans="1:75" ht="12.75" customHeight="1">
      <c r="A329" s="4" t="s">
        <v>63</v>
      </c>
      <c r="B329" s="4" t="s">
        <v>6844</v>
      </c>
      <c r="C329" s="4"/>
      <c r="D329" s="4"/>
      <c r="E329" s="4"/>
      <c r="F329" s="4" t="s">
        <v>6845</v>
      </c>
      <c r="G329" s="4"/>
      <c r="H329" s="4"/>
      <c r="I329" s="4" t="s">
        <v>6846</v>
      </c>
      <c r="J329" s="4" t="s">
        <v>6847</v>
      </c>
      <c r="K329" s="4"/>
      <c r="L329" s="4"/>
      <c r="M329" s="4"/>
      <c r="N329" s="4"/>
      <c r="O329" s="4"/>
      <c r="P329" s="4"/>
      <c r="Q329" s="4"/>
      <c r="R329" s="4"/>
      <c r="S329" s="4"/>
      <c r="T329" s="4" t="s">
        <v>6848</v>
      </c>
      <c r="U329" s="4"/>
      <c r="V329" s="4"/>
      <c r="W329" s="4"/>
      <c r="X329" s="4"/>
      <c r="Y329" s="4"/>
      <c r="Z329" s="4"/>
      <c r="AA329" s="4"/>
      <c r="AB329" s="4"/>
      <c r="AC329" s="4"/>
      <c r="AD329" s="4"/>
      <c r="AE329" s="4"/>
      <c r="AF329" s="4"/>
      <c r="AG329" s="4"/>
      <c r="AH329" s="4"/>
      <c r="AI329" s="4"/>
      <c r="AJ329" s="4"/>
      <c r="AK329" s="4"/>
      <c r="AL329" s="4"/>
      <c r="AM329" s="4"/>
      <c r="AN329" s="4" t="s">
        <v>6849</v>
      </c>
      <c r="AO329" s="4"/>
      <c r="AP329" s="4"/>
      <c r="AQ329" s="4"/>
      <c r="AR329" s="4" t="s">
        <v>173</v>
      </c>
      <c r="AS329" s="4">
        <v>2024</v>
      </c>
      <c r="AT329" s="4">
        <v>13</v>
      </c>
      <c r="AU329" s="4">
        <v>13</v>
      </c>
      <c r="AV329" s="4"/>
      <c r="AW329" s="4"/>
      <c r="AX329" s="4"/>
      <c r="AY329" s="4"/>
      <c r="AZ329" s="4"/>
      <c r="BA329" s="4"/>
      <c r="BB329" s="4">
        <v>2013</v>
      </c>
      <c r="BC329" s="4" t="s">
        <v>6850</v>
      </c>
      <c r="BD329" s="5" t="str">
        <f>HYPERLINK("http://dx.doi.org/10.3390/foods13132013","http://dx.doi.org/10.3390/foods13132013")</f>
        <v>http://dx.doi.org/10.3390/foods13132013</v>
      </c>
      <c r="BE329" s="4"/>
      <c r="BF329" s="4"/>
      <c r="BG329" s="4"/>
      <c r="BH329" s="4"/>
      <c r="BI329" s="4">
        <v>38998519</v>
      </c>
      <c r="BJ329" s="4" t="s">
        <v>6851</v>
      </c>
      <c r="BK329" s="4"/>
      <c r="BL329" s="4"/>
      <c r="BM329" s="4"/>
      <c r="BN329" s="4"/>
      <c r="BO329" s="4"/>
      <c r="BP329" s="4"/>
      <c r="BQ329" s="4"/>
      <c r="BR329" s="4"/>
      <c r="BS329" s="4"/>
      <c r="BT329" s="4"/>
      <c r="BU329" s="12" t="s">
        <v>7193</v>
      </c>
      <c r="BV329" s="12" t="s">
        <v>7188</v>
      </c>
      <c r="BW329" s="12" t="s">
        <v>7189</v>
      </c>
    </row>
    <row r="330" spans="1:75" ht="12.75" customHeight="1">
      <c r="A330" s="6" t="s">
        <v>63</v>
      </c>
      <c r="B330" s="6" t="s">
        <v>819</v>
      </c>
      <c r="C330" s="6"/>
      <c r="D330" s="6"/>
      <c r="E330" s="6"/>
      <c r="F330" s="6" t="s">
        <v>820</v>
      </c>
      <c r="G330" s="6"/>
      <c r="H330" s="6"/>
      <c r="I330" s="6" t="s">
        <v>821</v>
      </c>
      <c r="J330" s="6" t="s">
        <v>822</v>
      </c>
      <c r="K330" s="6"/>
      <c r="L330" s="6"/>
      <c r="M330" s="6"/>
      <c r="N330" s="6"/>
      <c r="O330" s="6"/>
      <c r="P330" s="6"/>
      <c r="Q330" s="6"/>
      <c r="R330" s="6"/>
      <c r="S330" s="6"/>
      <c r="T330" s="6" t="s">
        <v>823</v>
      </c>
      <c r="U330" s="6"/>
      <c r="V330" s="6"/>
      <c r="W330" s="6"/>
      <c r="X330" s="6"/>
      <c r="Y330" s="6"/>
      <c r="Z330" s="6"/>
      <c r="AA330" s="6"/>
      <c r="AB330" s="6"/>
      <c r="AC330" s="6"/>
      <c r="AD330" s="6"/>
      <c r="AE330" s="6"/>
      <c r="AF330" s="6"/>
      <c r="AG330" s="6"/>
      <c r="AH330" s="6"/>
      <c r="AI330" s="6"/>
      <c r="AJ330" s="6"/>
      <c r="AK330" s="6"/>
      <c r="AL330" s="6"/>
      <c r="AM330" s="6" t="s">
        <v>824</v>
      </c>
      <c r="AN330" s="6" t="s">
        <v>825</v>
      </c>
      <c r="AO330" s="6"/>
      <c r="AP330" s="6"/>
      <c r="AQ330" s="6"/>
      <c r="AR330" s="6" t="s">
        <v>445</v>
      </c>
      <c r="AS330" s="6">
        <v>2012</v>
      </c>
      <c r="AT330" s="6">
        <v>15</v>
      </c>
      <c r="AU330" s="6">
        <v>3</v>
      </c>
      <c r="AV330" s="6"/>
      <c r="AW330" s="6"/>
      <c r="AX330" s="6"/>
      <c r="AY330" s="6"/>
      <c r="AZ330" s="6">
        <v>395</v>
      </c>
      <c r="BA330" s="6">
        <v>414</v>
      </c>
      <c r="BB330" s="6"/>
      <c r="BC330" s="6" t="s">
        <v>826</v>
      </c>
      <c r="BD330" s="9" t="str">
        <f>HYPERLINK("http://dx.doi.org/10.2752/175174412X13276629245849","http://dx.doi.org/10.2752/175174412X13276629245849")</f>
        <v>http://dx.doi.org/10.2752/175174412X13276629245849</v>
      </c>
      <c r="BE330" s="6"/>
      <c r="BF330" s="6"/>
      <c r="BG330" s="6"/>
      <c r="BH330" s="6"/>
      <c r="BI330" s="6"/>
      <c r="BJ330" s="6" t="s">
        <v>827</v>
      </c>
      <c r="BK330" s="6"/>
      <c r="BL330" s="6"/>
      <c r="BM330" s="6"/>
      <c r="BN330" s="6"/>
      <c r="BO330" s="6"/>
      <c r="BP330" s="6"/>
      <c r="BQ330" s="6"/>
      <c r="BR330" s="6"/>
      <c r="BS330" s="6"/>
      <c r="BT330" s="6"/>
      <c r="BU330" s="8" t="s">
        <v>7354</v>
      </c>
      <c r="BV330" s="8" t="s">
        <v>7188</v>
      </c>
      <c r="BW330" s="8" t="s">
        <v>7189</v>
      </c>
    </row>
    <row r="331" spans="1:75" ht="12.75" customHeight="1">
      <c r="A331" s="6" t="s">
        <v>63</v>
      </c>
      <c r="B331" s="6" t="s">
        <v>128</v>
      </c>
      <c r="C331" s="6"/>
      <c r="D331" s="6"/>
      <c r="E331" s="6"/>
      <c r="F331" s="6" t="s">
        <v>128</v>
      </c>
      <c r="G331" s="6"/>
      <c r="H331" s="6"/>
      <c r="I331" s="6" t="s">
        <v>129</v>
      </c>
      <c r="J331" s="6" t="s">
        <v>130</v>
      </c>
      <c r="K331" s="6"/>
      <c r="L331" s="6"/>
      <c r="M331" s="6"/>
      <c r="N331" s="6"/>
      <c r="O331" s="6"/>
      <c r="P331" s="6"/>
      <c r="Q331" s="6"/>
      <c r="R331" s="6"/>
      <c r="S331" s="6"/>
      <c r="T331" s="6" t="s">
        <v>131</v>
      </c>
      <c r="U331" s="6"/>
      <c r="V331" s="6"/>
      <c r="W331" s="6"/>
      <c r="X331" s="6"/>
      <c r="Y331" s="6" t="s">
        <v>89</v>
      </c>
      <c r="Z331" s="6" t="s">
        <v>90</v>
      </c>
      <c r="AA331" s="6"/>
      <c r="AB331" s="6"/>
      <c r="AC331" s="6"/>
      <c r="AD331" s="6"/>
      <c r="AE331" s="6"/>
      <c r="AF331" s="6"/>
      <c r="AG331" s="6"/>
      <c r="AH331" s="6"/>
      <c r="AI331" s="6"/>
      <c r="AJ331" s="6"/>
      <c r="AK331" s="6"/>
      <c r="AL331" s="6"/>
      <c r="AM331" s="6" t="s">
        <v>132</v>
      </c>
      <c r="AN331" s="6"/>
      <c r="AO331" s="6"/>
      <c r="AP331" s="6"/>
      <c r="AQ331" s="6"/>
      <c r="AR331" s="6" t="s">
        <v>133</v>
      </c>
      <c r="AS331" s="6">
        <v>2003</v>
      </c>
      <c r="AT331" s="6">
        <v>35</v>
      </c>
      <c r="AU331" s="6">
        <v>1</v>
      </c>
      <c r="AV331" s="6"/>
      <c r="AW331" s="6"/>
      <c r="AX331" s="6"/>
      <c r="AY331" s="6"/>
      <c r="AZ331" s="6">
        <v>151</v>
      </c>
      <c r="BA331" s="6">
        <v>188</v>
      </c>
      <c r="BB331" s="6"/>
      <c r="BC331" s="6" t="s">
        <v>134</v>
      </c>
      <c r="BD331" s="9" t="str">
        <f>HYPERLINK("http://dx.doi.org/10.1068/a35150","http://dx.doi.org/10.1068/a35150")</f>
        <v>http://dx.doi.org/10.1068/a35150</v>
      </c>
      <c r="BE331" s="6"/>
      <c r="BF331" s="6"/>
      <c r="BG331" s="6"/>
      <c r="BH331" s="6"/>
      <c r="BI331" s="6"/>
      <c r="BJ331" s="6" t="s">
        <v>135</v>
      </c>
      <c r="BK331" s="6"/>
      <c r="BL331" s="6"/>
      <c r="BM331" s="6"/>
      <c r="BN331" s="6"/>
      <c r="BO331" s="6"/>
      <c r="BP331" s="6"/>
      <c r="BQ331" s="6"/>
      <c r="BR331" s="6"/>
      <c r="BS331" s="6"/>
      <c r="BT331" s="6"/>
      <c r="BU331" s="8" t="s">
        <v>7183</v>
      </c>
      <c r="BV331" s="8" t="s">
        <v>7214</v>
      </c>
      <c r="BW331" s="8" t="s">
        <v>7205</v>
      </c>
    </row>
    <row r="332" spans="1:75" ht="12.75" customHeight="1">
      <c r="A332" s="3" t="s">
        <v>63</v>
      </c>
      <c r="B332" s="3" t="s">
        <v>2361</v>
      </c>
      <c r="C332" s="3"/>
      <c r="D332" s="3"/>
      <c r="E332" s="3"/>
      <c r="F332" s="3" t="s">
        <v>2362</v>
      </c>
      <c r="G332" s="3"/>
      <c r="H332" s="3"/>
      <c r="I332" s="3" t="s">
        <v>2363</v>
      </c>
      <c r="J332" s="3" t="s">
        <v>822</v>
      </c>
      <c r="K332" s="3"/>
      <c r="L332" s="3"/>
      <c r="M332" s="3"/>
      <c r="N332" s="3"/>
      <c r="O332" s="3"/>
      <c r="P332" s="3"/>
      <c r="Q332" s="3"/>
      <c r="R332" s="3"/>
      <c r="S332" s="3"/>
      <c r="T332" s="3" t="s">
        <v>2364</v>
      </c>
      <c r="U332" s="3"/>
      <c r="V332" s="3"/>
      <c r="W332" s="3"/>
      <c r="X332" s="3"/>
      <c r="Y332" s="3"/>
      <c r="Z332" s="3"/>
      <c r="AA332" s="3"/>
      <c r="AB332" s="3"/>
      <c r="AC332" s="3"/>
      <c r="AD332" s="3"/>
      <c r="AE332" s="3"/>
      <c r="AF332" s="3"/>
      <c r="AG332" s="3"/>
      <c r="AH332" s="3"/>
      <c r="AI332" s="3"/>
      <c r="AJ332" s="3"/>
      <c r="AK332" s="3"/>
      <c r="AL332" s="3"/>
      <c r="AM332" s="3" t="s">
        <v>824</v>
      </c>
      <c r="AN332" s="3" t="s">
        <v>825</v>
      </c>
      <c r="AO332" s="3"/>
      <c r="AP332" s="3"/>
      <c r="AQ332" s="3"/>
      <c r="AR332" s="3"/>
      <c r="AS332" s="3">
        <v>2016</v>
      </c>
      <c r="AT332" s="3">
        <v>19</v>
      </c>
      <c r="AU332" s="3">
        <v>1</v>
      </c>
      <c r="AV332" s="3"/>
      <c r="AW332" s="3"/>
      <c r="AX332" s="3" t="s">
        <v>569</v>
      </c>
      <c r="AY332" s="3"/>
      <c r="AZ332" s="3">
        <v>171</v>
      </c>
      <c r="BA332" s="3">
        <v>194</v>
      </c>
      <c r="BB332" s="3"/>
      <c r="BC332" s="3" t="s">
        <v>2365</v>
      </c>
      <c r="BD332" s="15" t="str">
        <f>HYPERLINK("http://dx.doi.org/10.1080/15528014.2016.1145010","http://dx.doi.org/10.1080/15528014.2016.1145010")</f>
        <v>http://dx.doi.org/10.1080/15528014.2016.1145010</v>
      </c>
      <c r="BE332" s="3"/>
      <c r="BF332" s="3"/>
      <c r="BG332" s="3"/>
      <c r="BH332" s="3"/>
      <c r="BI332" s="3"/>
      <c r="BJ332" s="3" t="s">
        <v>2366</v>
      </c>
      <c r="BK332" s="3"/>
      <c r="BL332" s="3"/>
      <c r="BM332" s="3"/>
      <c r="BN332" s="3"/>
      <c r="BO332" s="3"/>
      <c r="BP332" s="3"/>
      <c r="BQ332" s="3"/>
      <c r="BR332" s="3"/>
      <c r="BS332" s="3"/>
      <c r="BT332" s="3"/>
      <c r="BU332" s="1" t="s">
        <v>7199</v>
      </c>
      <c r="BV332" s="2" t="s">
        <v>7188</v>
      </c>
      <c r="BW332" s="2" t="s">
        <v>7189</v>
      </c>
    </row>
    <row r="333" spans="1:75" ht="12.75" customHeight="1">
      <c r="A333" s="4" t="s">
        <v>63</v>
      </c>
      <c r="B333" s="4" t="s">
        <v>463</v>
      </c>
      <c r="C333" s="4"/>
      <c r="D333" s="4"/>
      <c r="E333" s="4"/>
      <c r="F333" s="4" t="s">
        <v>464</v>
      </c>
      <c r="G333" s="4"/>
      <c r="H333" s="4"/>
      <c r="I333" s="4" t="s">
        <v>465</v>
      </c>
      <c r="J333" s="4" t="s">
        <v>380</v>
      </c>
      <c r="K333" s="4"/>
      <c r="L333" s="4"/>
      <c r="M333" s="4"/>
      <c r="N333" s="4"/>
      <c r="O333" s="4"/>
      <c r="P333" s="4"/>
      <c r="Q333" s="4"/>
      <c r="R333" s="4"/>
      <c r="S333" s="4"/>
      <c r="T333" s="4" t="s">
        <v>466</v>
      </c>
      <c r="U333" s="4"/>
      <c r="V333" s="4"/>
      <c r="W333" s="4"/>
      <c r="X333" s="4"/>
      <c r="Y333" s="4" t="s">
        <v>467</v>
      </c>
      <c r="Z333" s="4" t="s">
        <v>468</v>
      </c>
      <c r="AA333" s="4"/>
      <c r="AB333" s="4"/>
      <c r="AC333" s="4"/>
      <c r="AD333" s="4"/>
      <c r="AE333" s="4"/>
      <c r="AF333" s="4"/>
      <c r="AG333" s="4"/>
      <c r="AH333" s="4"/>
      <c r="AI333" s="4"/>
      <c r="AJ333" s="4"/>
      <c r="AK333" s="4"/>
      <c r="AL333" s="4"/>
      <c r="AM333" s="4" t="s">
        <v>382</v>
      </c>
      <c r="AN333" s="4" t="s">
        <v>383</v>
      </c>
      <c r="AO333" s="4"/>
      <c r="AP333" s="4"/>
      <c r="AQ333" s="4"/>
      <c r="AR333" s="4" t="s">
        <v>445</v>
      </c>
      <c r="AS333" s="4">
        <v>2010</v>
      </c>
      <c r="AT333" s="4">
        <v>16</v>
      </c>
      <c r="AU333" s="4">
        <v>5</v>
      </c>
      <c r="AV333" s="4"/>
      <c r="AW333" s="4"/>
      <c r="AX333" s="4"/>
      <c r="AY333" s="4"/>
      <c r="AZ333" s="4">
        <v>934</v>
      </c>
      <c r="BA333" s="4">
        <v>941</v>
      </c>
      <c r="BB333" s="4"/>
      <c r="BC333" s="4" t="s">
        <v>469</v>
      </c>
      <c r="BD333" s="5" t="str">
        <f>HYPERLINK("http://dx.doi.org/10.1016/j.healthplace.2010.05.007","http://dx.doi.org/10.1016/j.healthplace.2010.05.007")</f>
        <v>http://dx.doi.org/10.1016/j.healthplace.2010.05.007</v>
      </c>
      <c r="BE333" s="4"/>
      <c r="BF333" s="4"/>
      <c r="BG333" s="4"/>
      <c r="BH333" s="4"/>
      <c r="BI333" s="4">
        <v>20570547</v>
      </c>
      <c r="BJ333" s="4" t="s">
        <v>470</v>
      </c>
      <c r="BK333" s="4"/>
      <c r="BL333" s="4"/>
      <c r="BM333" s="4"/>
      <c r="BN333" s="4"/>
      <c r="BO333" s="4"/>
      <c r="BP333" s="4"/>
      <c r="BQ333" s="4"/>
      <c r="BR333" s="4"/>
      <c r="BS333" s="4"/>
      <c r="BT333" s="4"/>
      <c r="BU333" s="12" t="s">
        <v>7355</v>
      </c>
      <c r="BV333" s="12" t="s">
        <v>7300</v>
      </c>
      <c r="BW333" s="12" t="s">
        <v>7301</v>
      </c>
    </row>
    <row r="334" spans="1:75" ht="12.75" customHeight="1">
      <c r="A334" s="6" t="s">
        <v>63</v>
      </c>
      <c r="B334" s="6" t="s">
        <v>471</v>
      </c>
      <c r="C334" s="6"/>
      <c r="D334" s="6"/>
      <c r="E334" s="6"/>
      <c r="F334" s="6" t="s">
        <v>472</v>
      </c>
      <c r="G334" s="6"/>
      <c r="H334" s="6"/>
      <c r="I334" s="6" t="s">
        <v>473</v>
      </c>
      <c r="J334" s="6" t="s">
        <v>474</v>
      </c>
      <c r="K334" s="6"/>
      <c r="L334" s="6"/>
      <c r="M334" s="6"/>
      <c r="N334" s="6"/>
      <c r="O334" s="6"/>
      <c r="P334" s="6"/>
      <c r="Q334" s="6"/>
      <c r="R334" s="6"/>
      <c r="S334" s="6"/>
      <c r="T334" s="6" t="s">
        <v>475</v>
      </c>
      <c r="U334" s="6"/>
      <c r="V334" s="6"/>
      <c r="W334" s="6"/>
      <c r="X334" s="6"/>
      <c r="Y334" s="6" t="s">
        <v>476</v>
      </c>
      <c r="Z334" s="6" t="s">
        <v>477</v>
      </c>
      <c r="AA334" s="6"/>
      <c r="AB334" s="6"/>
      <c r="AC334" s="6"/>
      <c r="AD334" s="6"/>
      <c r="AE334" s="6"/>
      <c r="AF334" s="6"/>
      <c r="AG334" s="6"/>
      <c r="AH334" s="6"/>
      <c r="AI334" s="6"/>
      <c r="AJ334" s="6"/>
      <c r="AK334" s="6"/>
      <c r="AL334" s="6"/>
      <c r="AM334" s="6" t="s">
        <v>478</v>
      </c>
      <c r="AN334" s="6" t="s">
        <v>479</v>
      </c>
      <c r="AO334" s="6"/>
      <c r="AP334" s="6"/>
      <c r="AQ334" s="6"/>
      <c r="AR334" s="6" t="s">
        <v>92</v>
      </c>
      <c r="AS334" s="6">
        <v>2010</v>
      </c>
      <c r="AT334" s="6">
        <v>86</v>
      </c>
      <c r="AU334" s="6">
        <v>4</v>
      </c>
      <c r="AV334" s="6"/>
      <c r="AW334" s="6"/>
      <c r="AX334" s="6"/>
      <c r="AY334" s="6"/>
      <c r="AZ334" s="6">
        <v>409</v>
      </c>
      <c r="BA334" s="6">
        <v>430</v>
      </c>
      <c r="BB334" s="6"/>
      <c r="BC334" s="6" t="s">
        <v>480</v>
      </c>
      <c r="BD334" s="9" t="str">
        <f>HYPERLINK("http://dx.doi.org/10.1111/j.1944-8287.2010.01084.x","http://dx.doi.org/10.1111/j.1944-8287.2010.01084.x")</f>
        <v>http://dx.doi.org/10.1111/j.1944-8287.2010.01084.x</v>
      </c>
      <c r="BE334" s="6"/>
      <c r="BF334" s="6"/>
      <c r="BG334" s="6"/>
      <c r="BH334" s="6"/>
      <c r="BI334" s="6">
        <v>21117330</v>
      </c>
      <c r="BJ334" s="6" t="s">
        <v>481</v>
      </c>
      <c r="BK334" s="6"/>
      <c r="BL334" s="6"/>
      <c r="BM334" s="6"/>
      <c r="BN334" s="6"/>
      <c r="BO334" s="6"/>
      <c r="BP334" s="6"/>
      <c r="BQ334" s="6"/>
      <c r="BR334" s="6"/>
      <c r="BS334" s="6"/>
      <c r="BT334" s="6"/>
      <c r="BU334" s="8" t="s">
        <v>7251</v>
      </c>
      <c r="BV334" s="8" t="s">
        <v>7188</v>
      </c>
      <c r="BW334" s="8" t="s">
        <v>7189</v>
      </c>
    </row>
    <row r="335" spans="1:75" ht="12.75" customHeight="1">
      <c r="A335" s="3" t="s">
        <v>63</v>
      </c>
      <c r="B335" s="3" t="s">
        <v>5603</v>
      </c>
      <c r="C335" s="3"/>
      <c r="D335" s="3"/>
      <c r="E335" s="3"/>
      <c r="F335" s="3" t="s">
        <v>5604</v>
      </c>
      <c r="G335" s="3"/>
      <c r="H335" s="3"/>
      <c r="I335" s="3" t="s">
        <v>5605</v>
      </c>
      <c r="J335" s="3" t="s">
        <v>5606</v>
      </c>
      <c r="K335" s="3"/>
      <c r="L335" s="3"/>
      <c r="M335" s="3"/>
      <c r="N335" s="3"/>
      <c r="O335" s="3"/>
      <c r="P335" s="3"/>
      <c r="Q335" s="3"/>
      <c r="R335" s="3"/>
      <c r="S335" s="3"/>
      <c r="T335" s="3" t="s">
        <v>5607</v>
      </c>
      <c r="U335" s="3"/>
      <c r="V335" s="3"/>
      <c r="W335" s="3"/>
      <c r="X335" s="3"/>
      <c r="Y335" s="3"/>
      <c r="Z335" s="3" t="s">
        <v>5608</v>
      </c>
      <c r="AA335" s="3"/>
      <c r="AB335" s="3"/>
      <c r="AC335" s="3"/>
      <c r="AD335" s="3"/>
      <c r="AE335" s="3"/>
      <c r="AF335" s="3"/>
      <c r="AG335" s="3"/>
      <c r="AH335" s="3"/>
      <c r="AI335" s="3"/>
      <c r="AJ335" s="3"/>
      <c r="AK335" s="3"/>
      <c r="AL335" s="3"/>
      <c r="AM335" s="3" t="s">
        <v>5609</v>
      </c>
      <c r="AN335" s="3" t="s">
        <v>5610</v>
      </c>
      <c r="AO335" s="3"/>
      <c r="AP335" s="3"/>
      <c r="AQ335" s="3"/>
      <c r="AR335" s="3" t="s">
        <v>65</v>
      </c>
      <c r="AS335" s="3">
        <v>2022</v>
      </c>
      <c r="AT335" s="3">
        <v>29</v>
      </c>
      <c r="AU335" s="3">
        <v>2</v>
      </c>
      <c r="AV335" s="3"/>
      <c r="AW335" s="3"/>
      <c r="AX335" s="3"/>
      <c r="AY335" s="3"/>
      <c r="AZ335" s="3">
        <v>285</v>
      </c>
      <c r="BA335" s="3">
        <v>307</v>
      </c>
      <c r="BB335" s="3"/>
      <c r="BC335" s="3" t="s">
        <v>5611</v>
      </c>
      <c r="BD335" s="15" t="str">
        <f>HYPERLINK("http://dx.doi.org/10.18778/1231-1952.29.2.15","http://dx.doi.org/10.18778/1231-1952.29.2.15")</f>
        <v>http://dx.doi.org/10.18778/1231-1952.29.2.15</v>
      </c>
      <c r="BE335" s="3"/>
      <c r="BF335" s="3"/>
      <c r="BG335" s="3"/>
      <c r="BH335" s="3"/>
      <c r="BI335" s="3"/>
      <c r="BJ335" s="3" t="s">
        <v>5612</v>
      </c>
      <c r="BK335" s="3"/>
      <c r="BL335" s="3"/>
      <c r="BM335" s="3"/>
      <c r="BN335" s="3"/>
      <c r="BO335" s="3"/>
      <c r="BP335" s="3"/>
      <c r="BQ335" s="3"/>
      <c r="BR335" s="3"/>
      <c r="BS335" s="3"/>
      <c r="BT335" s="3"/>
      <c r="BU335" s="1" t="s">
        <v>7356</v>
      </c>
      <c r="BV335" s="1" t="s">
        <v>7356</v>
      </c>
      <c r="BW335" s="2" t="s">
        <v>7205</v>
      </c>
    </row>
    <row r="336" spans="1:75" ht="12.75" customHeight="1">
      <c r="A336" s="4" t="s">
        <v>63</v>
      </c>
      <c r="B336" s="4" t="s">
        <v>2367</v>
      </c>
      <c r="C336" s="4"/>
      <c r="D336" s="4"/>
      <c r="E336" s="4"/>
      <c r="F336" s="4" t="s">
        <v>2368</v>
      </c>
      <c r="G336" s="4"/>
      <c r="H336" s="4"/>
      <c r="I336" s="4" t="s">
        <v>2369</v>
      </c>
      <c r="J336" s="4" t="s">
        <v>434</v>
      </c>
      <c r="K336" s="4"/>
      <c r="L336" s="4"/>
      <c r="M336" s="4"/>
      <c r="N336" s="4"/>
      <c r="O336" s="4"/>
      <c r="P336" s="4"/>
      <c r="Q336" s="4"/>
      <c r="R336" s="4"/>
      <c r="S336" s="4"/>
      <c r="T336" s="4" t="s">
        <v>2370</v>
      </c>
      <c r="U336" s="4"/>
      <c r="V336" s="4"/>
      <c r="W336" s="4"/>
      <c r="X336" s="4"/>
      <c r="Y336" s="4"/>
      <c r="Z336" s="4"/>
      <c r="AA336" s="4"/>
      <c r="AB336" s="4"/>
      <c r="AC336" s="4"/>
      <c r="AD336" s="4"/>
      <c r="AE336" s="4"/>
      <c r="AF336" s="4"/>
      <c r="AG336" s="4"/>
      <c r="AH336" s="4"/>
      <c r="AI336" s="4"/>
      <c r="AJ336" s="4"/>
      <c r="AK336" s="4"/>
      <c r="AL336" s="4"/>
      <c r="AM336" s="4" t="s">
        <v>436</v>
      </c>
      <c r="AN336" s="4" t="s">
        <v>568</v>
      </c>
      <c r="AO336" s="4"/>
      <c r="AP336" s="4"/>
      <c r="AQ336" s="4"/>
      <c r="AR336" s="4" t="s">
        <v>67</v>
      </c>
      <c r="AS336" s="4">
        <v>2016</v>
      </c>
      <c r="AT336" s="4">
        <v>67</v>
      </c>
      <c r="AU336" s="4"/>
      <c r="AV336" s="4"/>
      <c r="AW336" s="4"/>
      <c r="AX336" s="4"/>
      <c r="AY336" s="4"/>
      <c r="AZ336" s="4">
        <v>119</v>
      </c>
      <c r="BA336" s="4">
        <v>128</v>
      </c>
      <c r="BB336" s="4"/>
      <c r="BC336" s="4" t="s">
        <v>2371</v>
      </c>
      <c r="BD336" s="5" t="str">
        <f>HYPERLINK("http://dx.doi.org/10.1016/j.apgeog.2015.12.010","http://dx.doi.org/10.1016/j.apgeog.2015.12.010")</f>
        <v>http://dx.doi.org/10.1016/j.apgeog.2015.12.010</v>
      </c>
      <c r="BE336" s="4"/>
      <c r="BF336" s="4"/>
      <c r="BG336" s="4"/>
      <c r="BH336" s="4"/>
      <c r="BI336" s="4"/>
      <c r="BJ336" s="4" t="s">
        <v>2372</v>
      </c>
      <c r="BK336" s="4"/>
      <c r="BL336" s="4"/>
      <c r="BM336" s="4"/>
      <c r="BN336" s="4"/>
      <c r="BO336" s="4"/>
      <c r="BP336" s="4"/>
      <c r="BQ336" s="4"/>
      <c r="BR336" s="4"/>
      <c r="BS336" s="4"/>
      <c r="BT336" s="4"/>
      <c r="BU336" s="12" t="s">
        <v>7191</v>
      </c>
      <c r="BV336" s="12" t="s">
        <v>7188</v>
      </c>
      <c r="BW336" s="12" t="s">
        <v>7189</v>
      </c>
    </row>
    <row r="337" spans="1:75" ht="12.75" customHeight="1">
      <c r="A337" s="6" t="s">
        <v>63</v>
      </c>
      <c r="B337" s="6" t="s">
        <v>1091</v>
      </c>
      <c r="C337" s="6"/>
      <c r="D337" s="6"/>
      <c r="E337" s="6"/>
      <c r="F337" s="6" t="s">
        <v>1092</v>
      </c>
      <c r="G337" s="6"/>
      <c r="H337" s="6"/>
      <c r="I337" s="6" t="s">
        <v>1093</v>
      </c>
      <c r="J337" s="6" t="s">
        <v>1094</v>
      </c>
      <c r="K337" s="6"/>
      <c r="L337" s="6"/>
      <c r="M337" s="6"/>
      <c r="N337" s="6"/>
      <c r="O337" s="6"/>
      <c r="P337" s="6"/>
      <c r="Q337" s="6"/>
      <c r="R337" s="6"/>
      <c r="S337" s="6"/>
      <c r="T337" s="6" t="s">
        <v>1095</v>
      </c>
      <c r="U337" s="6"/>
      <c r="V337" s="6"/>
      <c r="W337" s="6"/>
      <c r="X337" s="6"/>
      <c r="Y337" s="6" t="s">
        <v>1096</v>
      </c>
      <c r="Z337" s="6"/>
      <c r="AA337" s="6"/>
      <c r="AB337" s="6"/>
      <c r="AC337" s="6"/>
      <c r="AD337" s="6"/>
      <c r="AE337" s="6"/>
      <c r="AF337" s="6"/>
      <c r="AG337" s="6"/>
      <c r="AH337" s="6"/>
      <c r="AI337" s="6"/>
      <c r="AJ337" s="6"/>
      <c r="AK337" s="6"/>
      <c r="AL337" s="6"/>
      <c r="AM337" s="6" t="s">
        <v>1097</v>
      </c>
      <c r="AN337" s="6" t="s">
        <v>1098</v>
      </c>
      <c r="AO337" s="6"/>
      <c r="AP337" s="6"/>
      <c r="AQ337" s="6"/>
      <c r="AR337" s="6"/>
      <c r="AS337" s="6">
        <v>2013</v>
      </c>
      <c r="AT337" s="6">
        <v>16</v>
      </c>
      <c r="AU337" s="6">
        <v>1</v>
      </c>
      <c r="AV337" s="6"/>
      <c r="AW337" s="6"/>
      <c r="AX337" s="6" t="s">
        <v>569</v>
      </c>
      <c r="AY337" s="6"/>
      <c r="AZ337" s="6">
        <v>36</v>
      </c>
      <c r="BA337" s="6">
        <v>52</v>
      </c>
      <c r="BB337" s="6"/>
      <c r="BC337" s="6" t="s">
        <v>1099</v>
      </c>
      <c r="BD337" s="9" t="str">
        <f>HYPERLINK("http://dx.doi.org/10.1080/10522158.2012.736080","http://dx.doi.org/10.1080/10522158.2012.736080")</f>
        <v>http://dx.doi.org/10.1080/10522158.2012.736080</v>
      </c>
      <c r="BE337" s="6"/>
      <c r="BF337" s="6"/>
      <c r="BG337" s="6"/>
      <c r="BH337" s="6"/>
      <c r="BI337" s="6"/>
      <c r="BJ337" s="6" t="s">
        <v>1100</v>
      </c>
      <c r="BK337" s="6"/>
      <c r="BL337" s="6"/>
      <c r="BM337" s="6"/>
      <c r="BN337" s="6"/>
      <c r="BO337" s="6"/>
      <c r="BP337" s="6"/>
      <c r="BQ337" s="6"/>
      <c r="BR337" s="6"/>
      <c r="BS337" s="6"/>
      <c r="BT337" s="6"/>
      <c r="BU337" s="8" t="s">
        <v>7193</v>
      </c>
      <c r="BV337" s="8" t="s">
        <v>7188</v>
      </c>
      <c r="BW337" s="8" t="s">
        <v>7189</v>
      </c>
    </row>
    <row r="338" spans="1:75" ht="12.75" customHeight="1">
      <c r="A338" s="3" t="s">
        <v>63</v>
      </c>
      <c r="B338" s="3" t="s">
        <v>1854</v>
      </c>
      <c r="C338" s="3"/>
      <c r="D338" s="3"/>
      <c r="E338" s="3"/>
      <c r="F338" s="3" t="s">
        <v>1855</v>
      </c>
      <c r="G338" s="3"/>
      <c r="H338" s="3"/>
      <c r="I338" s="3" t="s">
        <v>1856</v>
      </c>
      <c r="J338" s="3" t="s">
        <v>1857</v>
      </c>
      <c r="K338" s="3"/>
      <c r="L338" s="3"/>
      <c r="M338" s="3"/>
      <c r="N338" s="3"/>
      <c r="O338" s="3"/>
      <c r="P338" s="3"/>
      <c r="Q338" s="3"/>
      <c r="R338" s="3"/>
      <c r="S338" s="3"/>
      <c r="T338" s="3" t="s">
        <v>1858</v>
      </c>
      <c r="U338" s="3"/>
      <c r="V338" s="3"/>
      <c r="W338" s="3"/>
      <c r="X338" s="3"/>
      <c r="Y338" s="3" t="s">
        <v>1859</v>
      </c>
      <c r="Z338" s="3" t="s">
        <v>1860</v>
      </c>
      <c r="AA338" s="3"/>
      <c r="AB338" s="3"/>
      <c r="AC338" s="3"/>
      <c r="AD338" s="3"/>
      <c r="AE338" s="3"/>
      <c r="AF338" s="3"/>
      <c r="AG338" s="3"/>
      <c r="AH338" s="3"/>
      <c r="AI338" s="3"/>
      <c r="AJ338" s="3"/>
      <c r="AK338" s="3"/>
      <c r="AL338" s="3"/>
      <c r="AM338" s="3" t="s">
        <v>1861</v>
      </c>
      <c r="AN338" s="3" t="s">
        <v>1862</v>
      </c>
      <c r="AO338" s="3"/>
      <c r="AP338" s="3"/>
      <c r="AQ338" s="3"/>
      <c r="AR338" s="3"/>
      <c r="AS338" s="3">
        <v>2015</v>
      </c>
      <c r="AT338" s="3">
        <v>34</v>
      </c>
      <c r="AU338" s="3">
        <v>1</v>
      </c>
      <c r="AV338" s="3"/>
      <c r="AW338" s="3"/>
      <c r="AX338" s="3" t="s">
        <v>569</v>
      </c>
      <c r="AY338" s="3"/>
      <c r="AZ338" s="3">
        <v>36</v>
      </c>
      <c r="BA338" s="3">
        <v>54</v>
      </c>
      <c r="BB338" s="3"/>
      <c r="BC338" s="3" t="s">
        <v>1863</v>
      </c>
      <c r="BD338" s="15" t="str">
        <f>HYPERLINK("http://dx.doi.org/10.1080/19376812.2014.1003307","http://dx.doi.org/10.1080/19376812.2014.1003307")</f>
        <v>http://dx.doi.org/10.1080/19376812.2014.1003307</v>
      </c>
      <c r="BE338" s="3"/>
      <c r="BF338" s="3"/>
      <c r="BG338" s="3"/>
      <c r="BH338" s="3"/>
      <c r="BI338" s="3"/>
      <c r="BJ338" s="3" t="s">
        <v>1864</v>
      </c>
      <c r="BK338" s="3"/>
      <c r="BL338" s="3"/>
      <c r="BM338" s="3"/>
      <c r="BN338" s="3"/>
      <c r="BO338" s="3"/>
      <c r="BP338" s="3"/>
      <c r="BQ338" s="3"/>
      <c r="BR338" s="3"/>
      <c r="BS338" s="3"/>
      <c r="BT338" s="3"/>
      <c r="BU338" s="13" t="s">
        <v>7250</v>
      </c>
      <c r="BV338" s="2" t="s">
        <v>7227</v>
      </c>
      <c r="BW338" s="2" t="s">
        <v>7228</v>
      </c>
    </row>
    <row r="339" spans="1:75" ht="12.75" customHeight="1">
      <c r="A339" s="4" t="s">
        <v>63</v>
      </c>
      <c r="B339" s="4" t="s">
        <v>647</v>
      </c>
      <c r="C339" s="4"/>
      <c r="D339" s="4"/>
      <c r="E339" s="4"/>
      <c r="F339" s="4" t="s">
        <v>648</v>
      </c>
      <c r="G339" s="4"/>
      <c r="H339" s="4"/>
      <c r="I339" s="4" t="s">
        <v>828</v>
      </c>
      <c r="J339" s="4" t="s">
        <v>502</v>
      </c>
      <c r="K339" s="4"/>
      <c r="L339" s="4"/>
      <c r="M339" s="4"/>
      <c r="N339" s="4"/>
      <c r="O339" s="4"/>
      <c r="P339" s="4"/>
      <c r="Q339" s="4"/>
      <c r="R339" s="4"/>
      <c r="S339" s="4"/>
      <c r="T339" s="4" t="s">
        <v>829</v>
      </c>
      <c r="U339" s="4"/>
      <c r="V339" s="4"/>
      <c r="W339" s="4"/>
      <c r="X339" s="4"/>
      <c r="Y339" s="4" t="s">
        <v>830</v>
      </c>
      <c r="Z339" s="4" t="s">
        <v>653</v>
      </c>
      <c r="AA339" s="4"/>
      <c r="AB339" s="4"/>
      <c r="AC339" s="4"/>
      <c r="AD339" s="4"/>
      <c r="AE339" s="4"/>
      <c r="AF339" s="4"/>
      <c r="AG339" s="4"/>
      <c r="AH339" s="4"/>
      <c r="AI339" s="4"/>
      <c r="AJ339" s="4"/>
      <c r="AK339" s="4"/>
      <c r="AL339" s="4"/>
      <c r="AM339" s="4" t="s">
        <v>506</v>
      </c>
      <c r="AN339" s="4" t="s">
        <v>507</v>
      </c>
      <c r="AO339" s="4"/>
      <c r="AP339" s="4"/>
      <c r="AQ339" s="4"/>
      <c r="AR339" s="4" t="s">
        <v>92</v>
      </c>
      <c r="AS339" s="4">
        <v>2012</v>
      </c>
      <c r="AT339" s="4">
        <v>89</v>
      </c>
      <c r="AU339" s="4">
        <v>5</v>
      </c>
      <c r="AV339" s="4"/>
      <c r="AW339" s="4"/>
      <c r="AX339" s="4"/>
      <c r="AY339" s="4"/>
      <c r="AZ339" s="4">
        <v>733</v>
      </c>
      <c r="BA339" s="4">
        <v>745</v>
      </c>
      <c r="BB339" s="4"/>
      <c r="BC339" s="4" t="s">
        <v>831</v>
      </c>
      <c r="BD339" s="5" t="str">
        <f>HYPERLINK("http://dx.doi.org/10.1007/s11524-012-9677-7","http://dx.doi.org/10.1007/s11524-012-9677-7")</f>
        <v>http://dx.doi.org/10.1007/s11524-012-9677-7</v>
      </c>
      <c r="BE339" s="4"/>
      <c r="BF339" s="4"/>
      <c r="BG339" s="4"/>
      <c r="BH339" s="4"/>
      <c r="BI339" s="4">
        <v>22648452</v>
      </c>
      <c r="BJ339" s="4" t="s">
        <v>832</v>
      </c>
      <c r="BK339" s="4"/>
      <c r="BL339" s="4"/>
      <c r="BM339" s="4"/>
      <c r="BN339" s="4"/>
      <c r="BO339" s="4"/>
      <c r="BP339" s="4"/>
      <c r="BQ339" s="4"/>
      <c r="BR339" s="4"/>
      <c r="BS339" s="4"/>
      <c r="BT339" s="4"/>
      <c r="BU339" s="12" t="s">
        <v>7357</v>
      </c>
      <c r="BV339" s="12" t="s">
        <v>7188</v>
      </c>
      <c r="BW339" s="12" t="s">
        <v>7189</v>
      </c>
    </row>
    <row r="340" spans="1:75" ht="12.75" customHeight="1">
      <c r="A340" s="3" t="s">
        <v>63</v>
      </c>
      <c r="B340" s="3" t="s">
        <v>1865</v>
      </c>
      <c r="C340" s="3"/>
      <c r="D340" s="3"/>
      <c r="E340" s="3"/>
      <c r="F340" s="3" t="s">
        <v>1866</v>
      </c>
      <c r="G340" s="3"/>
      <c r="H340" s="3"/>
      <c r="I340" s="3" t="s">
        <v>1867</v>
      </c>
      <c r="J340" s="3" t="s">
        <v>532</v>
      </c>
      <c r="K340" s="3"/>
      <c r="L340" s="3"/>
      <c r="M340" s="3"/>
      <c r="N340" s="3"/>
      <c r="O340" s="3"/>
      <c r="P340" s="3"/>
      <c r="Q340" s="3"/>
      <c r="R340" s="3"/>
      <c r="S340" s="3"/>
      <c r="T340" s="3" t="s">
        <v>1868</v>
      </c>
      <c r="U340" s="3"/>
      <c r="V340" s="3"/>
      <c r="W340" s="3"/>
      <c r="X340" s="3"/>
      <c r="Y340" s="3"/>
      <c r="Z340" s="3"/>
      <c r="AA340" s="3"/>
      <c r="AB340" s="3"/>
      <c r="AC340" s="3"/>
      <c r="AD340" s="3"/>
      <c r="AE340" s="3"/>
      <c r="AF340" s="3"/>
      <c r="AG340" s="3"/>
      <c r="AH340" s="3"/>
      <c r="AI340" s="3"/>
      <c r="AJ340" s="3"/>
      <c r="AK340" s="3"/>
      <c r="AL340" s="3"/>
      <c r="AM340" s="3" t="s">
        <v>534</v>
      </c>
      <c r="AN340" s="3" t="s">
        <v>535</v>
      </c>
      <c r="AO340" s="3"/>
      <c r="AP340" s="3"/>
      <c r="AQ340" s="3"/>
      <c r="AR340" s="3" t="s">
        <v>937</v>
      </c>
      <c r="AS340" s="3">
        <v>2015</v>
      </c>
      <c r="AT340" s="3">
        <v>6</v>
      </c>
      <c r="AU340" s="3">
        <v>1</v>
      </c>
      <c r="AV340" s="3"/>
      <c r="AW340" s="3"/>
      <c r="AX340" s="3"/>
      <c r="AY340" s="3"/>
      <c r="AZ340" s="3">
        <v>131</v>
      </c>
      <c r="BA340" s="3">
        <v>146</v>
      </c>
      <c r="BB340" s="3"/>
      <c r="BC340" s="3" t="s">
        <v>1869</v>
      </c>
      <c r="BD340" s="15" t="str">
        <f>HYPERLINK("http://dx.doi.org/10.5304/jafscd.2015.061.012","http://dx.doi.org/10.5304/jafscd.2015.061.012")</f>
        <v>http://dx.doi.org/10.5304/jafscd.2015.061.012</v>
      </c>
      <c r="BE340" s="3"/>
      <c r="BF340" s="3"/>
      <c r="BG340" s="3"/>
      <c r="BH340" s="3"/>
      <c r="BI340" s="3"/>
      <c r="BJ340" s="3" t="s">
        <v>1870</v>
      </c>
      <c r="BK340" s="3"/>
      <c r="BL340" s="3"/>
      <c r="BM340" s="3"/>
      <c r="BN340" s="3"/>
      <c r="BO340" s="3"/>
      <c r="BP340" s="3"/>
      <c r="BQ340" s="3"/>
      <c r="BR340" s="3"/>
      <c r="BS340" s="3"/>
      <c r="BT340" s="3"/>
      <c r="BU340" s="1" t="s">
        <v>7281</v>
      </c>
      <c r="BV340" s="2" t="s">
        <v>7188</v>
      </c>
      <c r="BW340" s="2" t="s">
        <v>7189</v>
      </c>
    </row>
    <row r="341" spans="1:75" ht="12.75" customHeight="1">
      <c r="A341" s="6" t="s">
        <v>63</v>
      </c>
      <c r="B341" s="6" t="s">
        <v>2898</v>
      </c>
      <c r="C341" s="6"/>
      <c r="D341" s="6"/>
      <c r="E341" s="6"/>
      <c r="F341" s="6" t="s">
        <v>2899</v>
      </c>
      <c r="G341" s="6"/>
      <c r="H341" s="6"/>
      <c r="I341" s="6" t="s">
        <v>2900</v>
      </c>
      <c r="J341" s="6" t="s">
        <v>2901</v>
      </c>
      <c r="K341" s="6"/>
      <c r="L341" s="6"/>
      <c r="M341" s="6"/>
      <c r="N341" s="6"/>
      <c r="O341" s="6"/>
      <c r="P341" s="6"/>
      <c r="Q341" s="6"/>
      <c r="R341" s="6"/>
      <c r="S341" s="6"/>
      <c r="T341" s="6" t="s">
        <v>2902</v>
      </c>
      <c r="U341" s="6"/>
      <c r="V341" s="6"/>
      <c r="W341" s="6"/>
      <c r="X341" s="6"/>
      <c r="Y341" s="6"/>
      <c r="Z341" s="6" t="s">
        <v>2903</v>
      </c>
      <c r="AA341" s="6"/>
      <c r="AB341" s="6"/>
      <c r="AC341" s="6"/>
      <c r="AD341" s="6"/>
      <c r="AE341" s="6"/>
      <c r="AF341" s="6"/>
      <c r="AG341" s="6"/>
      <c r="AH341" s="6"/>
      <c r="AI341" s="6"/>
      <c r="AJ341" s="6"/>
      <c r="AK341" s="6"/>
      <c r="AL341" s="6"/>
      <c r="AM341" s="6" t="s">
        <v>2904</v>
      </c>
      <c r="AN341" s="6" t="s">
        <v>2905</v>
      </c>
      <c r="AO341" s="6"/>
      <c r="AP341" s="6"/>
      <c r="AQ341" s="6"/>
      <c r="AR341" s="6" t="s">
        <v>279</v>
      </c>
      <c r="AS341" s="6">
        <v>2017</v>
      </c>
      <c r="AT341" s="6">
        <v>57</v>
      </c>
      <c r="AU341" s="6">
        <v>2</v>
      </c>
      <c r="AV341" s="6"/>
      <c r="AW341" s="6"/>
      <c r="AX341" s="6"/>
      <c r="AY341" s="6"/>
      <c r="AZ341" s="6">
        <v>151</v>
      </c>
      <c r="BA341" s="6">
        <v>178</v>
      </c>
      <c r="BB341" s="6"/>
      <c r="BC341" s="6" t="s">
        <v>2906</v>
      </c>
      <c r="BD341" s="9" t="str">
        <f>HYPERLINK("http://dx.doi.org/10.1353/sgo.2017.0015","http://dx.doi.org/10.1353/sgo.2017.0015")</f>
        <v>http://dx.doi.org/10.1353/sgo.2017.0015</v>
      </c>
      <c r="BE341" s="6"/>
      <c r="BF341" s="6"/>
      <c r="BG341" s="6"/>
      <c r="BH341" s="6"/>
      <c r="BI341" s="6"/>
      <c r="BJ341" s="6" t="s">
        <v>2907</v>
      </c>
      <c r="BK341" s="6"/>
      <c r="BL341" s="6"/>
      <c r="BM341" s="6"/>
      <c r="BN341" s="6"/>
      <c r="BO341" s="6"/>
      <c r="BP341" s="6"/>
      <c r="BQ341" s="6"/>
      <c r="BR341" s="6"/>
      <c r="BS341" s="6"/>
      <c r="BT341" s="6"/>
      <c r="BU341" s="8" t="s">
        <v>7225</v>
      </c>
      <c r="BV341" s="8" t="s">
        <v>7188</v>
      </c>
      <c r="BW341" s="8" t="s">
        <v>7189</v>
      </c>
    </row>
    <row r="342" spans="1:75" ht="12.75" customHeight="1">
      <c r="A342" s="3" t="s">
        <v>63</v>
      </c>
      <c r="B342" s="3" t="s">
        <v>116</v>
      </c>
      <c r="C342" s="3"/>
      <c r="D342" s="3"/>
      <c r="E342" s="3"/>
      <c r="F342" s="3" t="s">
        <v>116</v>
      </c>
      <c r="G342" s="3"/>
      <c r="H342" s="3"/>
      <c r="I342" s="3" t="s">
        <v>117</v>
      </c>
      <c r="J342" s="3" t="s">
        <v>87</v>
      </c>
      <c r="K342" s="3"/>
      <c r="L342" s="3"/>
      <c r="M342" s="3"/>
      <c r="N342" s="3"/>
      <c r="O342" s="3"/>
      <c r="P342" s="3"/>
      <c r="Q342" s="3"/>
      <c r="R342" s="3"/>
      <c r="S342" s="3"/>
      <c r="T342" s="3" t="s">
        <v>118</v>
      </c>
      <c r="U342" s="3"/>
      <c r="V342" s="3"/>
      <c r="W342" s="3"/>
      <c r="X342" s="3"/>
      <c r="Y342" s="3"/>
      <c r="Z342" s="3"/>
      <c r="AA342" s="3"/>
      <c r="AB342" s="3"/>
      <c r="AC342" s="3"/>
      <c r="AD342" s="3"/>
      <c r="AE342" s="3"/>
      <c r="AF342" s="3"/>
      <c r="AG342" s="3"/>
      <c r="AH342" s="3"/>
      <c r="AI342" s="3"/>
      <c r="AJ342" s="3"/>
      <c r="AK342" s="3"/>
      <c r="AL342" s="3"/>
      <c r="AM342" s="3" t="s">
        <v>91</v>
      </c>
      <c r="AN342" s="3" t="s">
        <v>113</v>
      </c>
      <c r="AO342" s="3"/>
      <c r="AP342" s="3"/>
      <c r="AQ342" s="3"/>
      <c r="AR342" s="3" t="s">
        <v>92</v>
      </c>
      <c r="AS342" s="3">
        <v>2002</v>
      </c>
      <c r="AT342" s="3">
        <v>39</v>
      </c>
      <c r="AU342" s="3">
        <v>11</v>
      </c>
      <c r="AV342" s="3"/>
      <c r="AW342" s="3"/>
      <c r="AX342" s="3"/>
      <c r="AY342" s="3"/>
      <c r="AZ342" s="3">
        <v>2041</v>
      </c>
      <c r="BA342" s="3">
        <v>2060</v>
      </c>
      <c r="BB342" s="3"/>
      <c r="BC342" s="3" t="s">
        <v>119</v>
      </c>
      <c r="BD342" s="15" t="str">
        <f>HYPERLINK("http://dx.doi.org/10.1080/0042098022000011353","http://dx.doi.org/10.1080/0042098022000011353")</f>
        <v>http://dx.doi.org/10.1080/0042098022000011353</v>
      </c>
      <c r="BE342" s="3"/>
      <c r="BF342" s="3"/>
      <c r="BG342" s="3"/>
      <c r="BH342" s="3"/>
      <c r="BI342" s="3"/>
      <c r="BJ342" s="3" t="s">
        <v>120</v>
      </c>
      <c r="BK342" s="3"/>
      <c r="BL342" s="3"/>
      <c r="BM342" s="3"/>
      <c r="BN342" s="3"/>
      <c r="BO342" s="3"/>
      <c r="BP342" s="3"/>
      <c r="BQ342" s="3"/>
      <c r="BR342" s="3"/>
      <c r="BS342" s="3"/>
      <c r="BT342" s="3"/>
      <c r="BU342" s="13" t="s">
        <v>7358</v>
      </c>
      <c r="BV342" s="2" t="s">
        <v>7214</v>
      </c>
      <c r="BW342" s="2" t="s">
        <v>7205</v>
      </c>
    </row>
    <row r="343" spans="1:75" ht="12.75" customHeight="1">
      <c r="A343" s="3" t="s">
        <v>63</v>
      </c>
      <c r="B343" s="3" t="s">
        <v>4898</v>
      </c>
      <c r="C343" s="3"/>
      <c r="D343" s="3"/>
      <c r="E343" s="3"/>
      <c r="F343" s="3" t="s">
        <v>4899</v>
      </c>
      <c r="G343" s="3"/>
      <c r="H343" s="3"/>
      <c r="I343" s="3" t="s">
        <v>4900</v>
      </c>
      <c r="J343" s="3" t="s">
        <v>4901</v>
      </c>
      <c r="K343" s="3"/>
      <c r="L343" s="3"/>
      <c r="M343" s="3"/>
      <c r="N343" s="3"/>
      <c r="O343" s="3"/>
      <c r="P343" s="3"/>
      <c r="Q343" s="3"/>
      <c r="R343" s="3"/>
      <c r="S343" s="3"/>
      <c r="T343" s="3" t="s">
        <v>4902</v>
      </c>
      <c r="U343" s="3"/>
      <c r="V343" s="3"/>
      <c r="W343" s="3"/>
      <c r="X343" s="3"/>
      <c r="Y343" s="3"/>
      <c r="Z343" s="3" t="s">
        <v>4903</v>
      </c>
      <c r="AA343" s="3"/>
      <c r="AB343" s="3"/>
      <c r="AC343" s="3"/>
      <c r="AD343" s="3"/>
      <c r="AE343" s="3"/>
      <c r="AF343" s="3"/>
      <c r="AG343" s="3"/>
      <c r="AH343" s="3"/>
      <c r="AI343" s="3"/>
      <c r="AJ343" s="3"/>
      <c r="AK343" s="3"/>
      <c r="AL343" s="3"/>
      <c r="AM343" s="3" t="s">
        <v>4904</v>
      </c>
      <c r="AN343" s="3" t="s">
        <v>4905</v>
      </c>
      <c r="AO343" s="3"/>
      <c r="AP343" s="3"/>
      <c r="AQ343" s="3"/>
      <c r="AR343" s="3" t="s">
        <v>65</v>
      </c>
      <c r="AS343" s="3">
        <v>2021</v>
      </c>
      <c r="AT343" s="3">
        <v>27</v>
      </c>
      <c r="AU343" s="3">
        <v>4</v>
      </c>
      <c r="AV343" s="3"/>
      <c r="AW343" s="3"/>
      <c r="AX343" s="3"/>
      <c r="AY343" s="3"/>
      <c r="AZ343" s="3">
        <v>381</v>
      </c>
      <c r="BA343" s="3">
        <v>386</v>
      </c>
      <c r="BB343" s="3"/>
      <c r="BC343" s="3" t="s">
        <v>4906</v>
      </c>
      <c r="BD343" s="15" t="str">
        <f>HYPERLINK("http://dx.doi.org/10.1177/0260106021992663","http://dx.doi.org/10.1177/0260106021992663")</f>
        <v>http://dx.doi.org/10.1177/0260106021992663</v>
      </c>
      <c r="BE343" s="3"/>
      <c r="BF343" s="3"/>
      <c r="BG343" s="3"/>
      <c r="BH343" s="3"/>
      <c r="BI343" s="3">
        <v>33781117</v>
      </c>
      <c r="BJ343" s="3" t="s">
        <v>4907</v>
      </c>
      <c r="BK343" s="3"/>
      <c r="BL343" s="3"/>
      <c r="BM343" s="3"/>
      <c r="BN343" s="3"/>
      <c r="BO343" s="3"/>
      <c r="BP343" s="3"/>
      <c r="BQ343" s="3"/>
      <c r="BR343" s="3"/>
      <c r="BS343" s="3"/>
      <c r="BT343" s="3"/>
      <c r="BU343" s="1" t="s">
        <v>7281</v>
      </c>
      <c r="BV343" s="2" t="s">
        <v>7188</v>
      </c>
      <c r="BW343" s="2" t="s">
        <v>7189</v>
      </c>
    </row>
    <row r="344" spans="1:75" ht="12.75" customHeight="1">
      <c r="A344" s="4" t="s">
        <v>63</v>
      </c>
      <c r="B344" s="4" t="s">
        <v>1101</v>
      </c>
      <c r="C344" s="4"/>
      <c r="D344" s="4"/>
      <c r="E344" s="4"/>
      <c r="F344" s="4" t="s">
        <v>1102</v>
      </c>
      <c r="G344" s="4"/>
      <c r="H344" s="4"/>
      <c r="I344" s="4" t="s">
        <v>1103</v>
      </c>
      <c r="J344" s="4" t="s">
        <v>1104</v>
      </c>
      <c r="K344" s="4"/>
      <c r="L344" s="4"/>
      <c r="M344" s="4"/>
      <c r="N344" s="4"/>
      <c r="O344" s="4"/>
      <c r="P344" s="4"/>
      <c r="Q344" s="4"/>
      <c r="R344" s="4"/>
      <c r="S344" s="4"/>
      <c r="T344" s="4" t="s">
        <v>1105</v>
      </c>
      <c r="U344" s="4"/>
      <c r="V344" s="4"/>
      <c r="W344" s="4"/>
      <c r="X344" s="4"/>
      <c r="Y344" s="4"/>
      <c r="Z344" s="4"/>
      <c r="AA344" s="4"/>
      <c r="AB344" s="4"/>
      <c r="AC344" s="4"/>
      <c r="AD344" s="4"/>
      <c r="AE344" s="4"/>
      <c r="AF344" s="4"/>
      <c r="AG344" s="4"/>
      <c r="AH344" s="4"/>
      <c r="AI344" s="4"/>
      <c r="AJ344" s="4"/>
      <c r="AK344" s="4"/>
      <c r="AL344" s="4"/>
      <c r="AM344" s="4" t="s">
        <v>1106</v>
      </c>
      <c r="AN344" s="4" t="s">
        <v>1107</v>
      </c>
      <c r="AO344" s="4"/>
      <c r="AP344" s="4"/>
      <c r="AQ344" s="4"/>
      <c r="AR344" s="4" t="s">
        <v>121</v>
      </c>
      <c r="AS344" s="4">
        <v>2013</v>
      </c>
      <c r="AT344" s="4">
        <v>48</v>
      </c>
      <c r="AU344" s="4"/>
      <c r="AV344" s="4"/>
      <c r="AW344" s="4"/>
      <c r="AX344" s="4"/>
      <c r="AY344" s="4"/>
      <c r="AZ344" s="4">
        <v>126</v>
      </c>
      <c r="BA344" s="4">
        <v>135</v>
      </c>
      <c r="BB344" s="4"/>
      <c r="BC344" s="4" t="s">
        <v>1108</v>
      </c>
      <c r="BD344" s="5" t="str">
        <f>HYPERLINK("http://dx.doi.org/10.1016/j.geoforum.2013.04.021","http://dx.doi.org/10.1016/j.geoforum.2013.04.021")</f>
        <v>http://dx.doi.org/10.1016/j.geoforum.2013.04.021</v>
      </c>
      <c r="BE344" s="4"/>
      <c r="BF344" s="4"/>
      <c r="BG344" s="4"/>
      <c r="BH344" s="4"/>
      <c r="BI344" s="4"/>
      <c r="BJ344" s="4" t="s">
        <v>1109</v>
      </c>
      <c r="BK344" s="4"/>
      <c r="BL344" s="4"/>
      <c r="BM344" s="4"/>
      <c r="BN344" s="4"/>
      <c r="BO344" s="4"/>
      <c r="BP344" s="4"/>
      <c r="BQ344" s="4"/>
      <c r="BR344" s="4"/>
      <c r="BS344" s="4"/>
      <c r="BT344" s="4"/>
      <c r="BU344" s="12" t="s">
        <v>7359</v>
      </c>
      <c r="BV344" s="12" t="s">
        <v>7188</v>
      </c>
      <c r="BW344" s="12" t="s">
        <v>7189</v>
      </c>
    </row>
    <row r="345" spans="1:75" ht="12.75" customHeight="1">
      <c r="A345" s="6" t="s">
        <v>63</v>
      </c>
      <c r="B345" s="6" t="s">
        <v>3802</v>
      </c>
      <c r="C345" s="6"/>
      <c r="D345" s="6"/>
      <c r="E345" s="6"/>
      <c r="F345" s="6" t="s">
        <v>3803</v>
      </c>
      <c r="G345" s="6"/>
      <c r="H345" s="6"/>
      <c r="I345" s="6" t="s">
        <v>3804</v>
      </c>
      <c r="J345" s="6" t="s">
        <v>3693</v>
      </c>
      <c r="K345" s="6"/>
      <c r="L345" s="6"/>
      <c r="M345" s="6"/>
      <c r="N345" s="6"/>
      <c r="O345" s="6"/>
      <c r="P345" s="6"/>
      <c r="Q345" s="6"/>
      <c r="R345" s="6"/>
      <c r="S345" s="6"/>
      <c r="T345" s="6" t="s">
        <v>3805</v>
      </c>
      <c r="U345" s="6"/>
      <c r="V345" s="6"/>
      <c r="W345" s="6"/>
      <c r="X345" s="6"/>
      <c r="Y345" s="6" t="s">
        <v>3806</v>
      </c>
      <c r="Z345" s="6"/>
      <c r="AA345" s="6"/>
      <c r="AB345" s="6"/>
      <c r="AC345" s="6"/>
      <c r="AD345" s="6"/>
      <c r="AE345" s="6"/>
      <c r="AF345" s="6"/>
      <c r="AG345" s="6"/>
      <c r="AH345" s="6"/>
      <c r="AI345" s="6"/>
      <c r="AJ345" s="6"/>
      <c r="AK345" s="6"/>
      <c r="AL345" s="6"/>
      <c r="AM345" s="6" t="s">
        <v>3695</v>
      </c>
      <c r="AN345" s="6" t="s">
        <v>3696</v>
      </c>
      <c r="AO345" s="6"/>
      <c r="AP345" s="6"/>
      <c r="AQ345" s="6"/>
      <c r="AR345" s="6" t="s">
        <v>121</v>
      </c>
      <c r="AS345" s="6">
        <v>2019</v>
      </c>
      <c r="AT345" s="6">
        <v>19</v>
      </c>
      <c r="AU345" s="6">
        <v>3</v>
      </c>
      <c r="AV345" s="6"/>
      <c r="AW345" s="6"/>
      <c r="AX345" s="6" t="s">
        <v>569</v>
      </c>
      <c r="AY345" s="6"/>
      <c r="AZ345" s="6"/>
      <c r="BA345" s="6"/>
      <c r="BB345" s="6" t="s">
        <v>3807</v>
      </c>
      <c r="BC345" s="6" t="s">
        <v>3808</v>
      </c>
      <c r="BD345" s="9" t="str">
        <f>HYPERLINK("http://dx.doi.org/10.1002/pa.1894","http://dx.doi.org/10.1002/pa.1894")</f>
        <v>http://dx.doi.org/10.1002/pa.1894</v>
      </c>
      <c r="BE345" s="6"/>
      <c r="BF345" s="6"/>
      <c r="BG345" s="6"/>
      <c r="BH345" s="6"/>
      <c r="BI345" s="6"/>
      <c r="BJ345" s="6" t="s">
        <v>3809</v>
      </c>
      <c r="BK345" s="6"/>
      <c r="BL345" s="6"/>
      <c r="BM345" s="6"/>
      <c r="BN345" s="6"/>
      <c r="BO345" s="6"/>
      <c r="BP345" s="6"/>
      <c r="BQ345" s="6"/>
      <c r="BR345" s="6"/>
      <c r="BS345" s="6"/>
      <c r="BT345" s="6"/>
      <c r="BU345" s="8" t="s">
        <v>7360</v>
      </c>
      <c r="BV345" s="8" t="s">
        <v>3516</v>
      </c>
      <c r="BW345" s="8" t="s">
        <v>7196</v>
      </c>
    </row>
    <row r="346" spans="1:75" ht="12.75" customHeight="1">
      <c r="A346" s="3" t="s">
        <v>63</v>
      </c>
      <c r="B346" s="3" t="s">
        <v>2373</v>
      </c>
      <c r="C346" s="3"/>
      <c r="D346" s="3"/>
      <c r="E346" s="3"/>
      <c r="F346" s="3" t="s">
        <v>2374</v>
      </c>
      <c r="G346" s="3"/>
      <c r="H346" s="3"/>
      <c r="I346" s="3" t="s">
        <v>2375</v>
      </c>
      <c r="J346" s="3" t="s">
        <v>905</v>
      </c>
      <c r="K346" s="3"/>
      <c r="L346" s="3"/>
      <c r="M346" s="3"/>
      <c r="N346" s="3"/>
      <c r="O346" s="3"/>
      <c r="P346" s="3"/>
      <c r="Q346" s="3"/>
      <c r="R346" s="3"/>
      <c r="S346" s="3"/>
      <c r="T346" s="3" t="s">
        <v>2376</v>
      </c>
      <c r="U346" s="3"/>
      <c r="V346" s="3"/>
      <c r="W346" s="3"/>
      <c r="X346" s="3"/>
      <c r="Y346" s="3"/>
      <c r="Z346" s="3"/>
      <c r="AA346" s="3"/>
      <c r="AB346" s="3"/>
      <c r="AC346" s="3"/>
      <c r="AD346" s="3"/>
      <c r="AE346" s="3"/>
      <c r="AF346" s="3"/>
      <c r="AG346" s="3"/>
      <c r="AH346" s="3"/>
      <c r="AI346" s="3"/>
      <c r="AJ346" s="3"/>
      <c r="AK346" s="3"/>
      <c r="AL346" s="3"/>
      <c r="AM346" s="3" t="s">
        <v>908</v>
      </c>
      <c r="AN346" s="3" t="s">
        <v>909</v>
      </c>
      <c r="AO346" s="3"/>
      <c r="AP346" s="3"/>
      <c r="AQ346" s="3"/>
      <c r="AR346" s="3" t="s">
        <v>92</v>
      </c>
      <c r="AS346" s="3">
        <v>2016</v>
      </c>
      <c r="AT346" s="3">
        <v>116</v>
      </c>
      <c r="AU346" s="3">
        <v>10</v>
      </c>
      <c r="AV346" s="3"/>
      <c r="AW346" s="3"/>
      <c r="AX346" s="3"/>
      <c r="AY346" s="3"/>
      <c r="AZ346" s="3">
        <v>1613</v>
      </c>
      <c r="BA346" s="3">
        <v>1620</v>
      </c>
      <c r="BB346" s="3"/>
      <c r="BC346" s="3" t="s">
        <v>2377</v>
      </c>
      <c r="BD346" s="15" t="str">
        <f>HYPERLINK("http://dx.doi.org/10.1016/j.jand.2016.03.014","http://dx.doi.org/10.1016/j.jand.2016.03.014")</f>
        <v>http://dx.doi.org/10.1016/j.jand.2016.03.014</v>
      </c>
      <c r="BE346" s="3"/>
      <c r="BF346" s="3"/>
      <c r="BG346" s="3"/>
      <c r="BH346" s="3"/>
      <c r="BI346" s="3">
        <v>27161028</v>
      </c>
      <c r="BJ346" s="3" t="s">
        <v>2378</v>
      </c>
      <c r="BK346" s="3"/>
      <c r="BL346" s="3"/>
      <c r="BM346" s="3"/>
      <c r="BN346" s="3"/>
      <c r="BO346" s="3"/>
      <c r="BP346" s="3"/>
      <c r="BQ346" s="3"/>
      <c r="BR346" s="3"/>
      <c r="BS346" s="3"/>
      <c r="BT346" s="3"/>
      <c r="BU346" s="13" t="s">
        <v>7225</v>
      </c>
      <c r="BV346" s="2" t="s">
        <v>7188</v>
      </c>
      <c r="BW346" s="2" t="s">
        <v>7189</v>
      </c>
    </row>
    <row r="347" spans="1:75" ht="12.75" customHeight="1">
      <c r="A347" s="6" t="s">
        <v>63</v>
      </c>
      <c r="B347" s="6" t="s">
        <v>6235</v>
      </c>
      <c r="C347" s="6"/>
      <c r="D347" s="6"/>
      <c r="E347" s="6"/>
      <c r="F347" s="6" t="s">
        <v>6236</v>
      </c>
      <c r="G347" s="6"/>
      <c r="H347" s="6"/>
      <c r="I347" s="6" t="s">
        <v>6237</v>
      </c>
      <c r="J347" s="6" t="s">
        <v>6238</v>
      </c>
      <c r="K347" s="6"/>
      <c r="L347" s="6"/>
      <c r="M347" s="6"/>
      <c r="N347" s="6"/>
      <c r="O347" s="6"/>
      <c r="P347" s="6"/>
      <c r="Q347" s="6"/>
      <c r="R347" s="6"/>
      <c r="S347" s="6"/>
      <c r="T347" s="6" t="s">
        <v>6239</v>
      </c>
      <c r="U347" s="6"/>
      <c r="V347" s="6"/>
      <c r="W347" s="6"/>
      <c r="X347" s="6"/>
      <c r="Y347" s="6"/>
      <c r="Z347" s="6" t="s">
        <v>6240</v>
      </c>
      <c r="AA347" s="6"/>
      <c r="AB347" s="6"/>
      <c r="AC347" s="6"/>
      <c r="AD347" s="6"/>
      <c r="AE347" s="6"/>
      <c r="AF347" s="6"/>
      <c r="AG347" s="6"/>
      <c r="AH347" s="6"/>
      <c r="AI347" s="6"/>
      <c r="AJ347" s="6"/>
      <c r="AK347" s="6"/>
      <c r="AL347" s="6"/>
      <c r="AM347" s="6" t="s">
        <v>6241</v>
      </c>
      <c r="AN347" s="6" t="s">
        <v>6242</v>
      </c>
      <c r="AO347" s="6"/>
      <c r="AP347" s="6"/>
      <c r="AQ347" s="6"/>
      <c r="AR347" s="6" t="s">
        <v>64</v>
      </c>
      <c r="AS347" s="6">
        <v>2023</v>
      </c>
      <c r="AT347" s="6">
        <v>40</v>
      </c>
      <c r="AU347" s="6">
        <v>6</v>
      </c>
      <c r="AV347" s="6"/>
      <c r="AW347" s="6"/>
      <c r="AX347" s="6"/>
      <c r="AY347" s="6"/>
      <c r="AZ347" s="6">
        <v>853</v>
      </c>
      <c r="BA347" s="6">
        <v>862</v>
      </c>
      <c r="BB347" s="6"/>
      <c r="BC347" s="6" t="s">
        <v>6243</v>
      </c>
      <c r="BD347" s="9" t="str">
        <f>HYPERLINK("http://dx.doi.org/10.1002/sres.2907","http://dx.doi.org/10.1002/sres.2907")</f>
        <v>http://dx.doi.org/10.1002/sres.2907</v>
      </c>
      <c r="BE347" s="6"/>
      <c r="BF347" s="6" t="s">
        <v>5568</v>
      </c>
      <c r="BG347" s="6"/>
      <c r="BH347" s="6"/>
      <c r="BI347" s="6"/>
      <c r="BJ347" s="6" t="s">
        <v>6244</v>
      </c>
      <c r="BK347" s="6"/>
      <c r="BL347" s="6"/>
      <c r="BM347" s="6"/>
      <c r="BN347" s="6"/>
      <c r="BO347" s="6"/>
      <c r="BP347" s="6"/>
      <c r="BQ347" s="6"/>
      <c r="BR347" s="6"/>
      <c r="BS347" s="6"/>
      <c r="BT347" s="6"/>
      <c r="BU347" s="8" t="s">
        <v>7361</v>
      </c>
      <c r="BV347" s="8" t="s">
        <v>7214</v>
      </c>
      <c r="BW347" s="8" t="s">
        <v>7205</v>
      </c>
    </row>
    <row r="348" spans="1:75" ht="12.75" customHeight="1">
      <c r="A348" s="4" t="s">
        <v>63</v>
      </c>
      <c r="B348" s="4" t="s">
        <v>6245</v>
      </c>
      <c r="C348" s="4"/>
      <c r="D348" s="4"/>
      <c r="E348" s="4"/>
      <c r="F348" s="4" t="s">
        <v>6246</v>
      </c>
      <c r="G348" s="4"/>
      <c r="H348" s="4"/>
      <c r="I348" s="4" t="s">
        <v>6247</v>
      </c>
      <c r="J348" s="4" t="s">
        <v>423</v>
      </c>
      <c r="K348" s="4"/>
      <c r="L348" s="4"/>
      <c r="M348" s="4"/>
      <c r="N348" s="4"/>
      <c r="O348" s="4"/>
      <c r="P348" s="4"/>
      <c r="Q348" s="4"/>
      <c r="R348" s="4"/>
      <c r="S348" s="4"/>
      <c r="T348" s="4" t="s">
        <v>6248</v>
      </c>
      <c r="U348" s="4"/>
      <c r="V348" s="4"/>
      <c r="W348" s="4"/>
      <c r="X348" s="4"/>
      <c r="Y348" s="4" t="s">
        <v>6249</v>
      </c>
      <c r="Z348" s="4"/>
      <c r="AA348" s="4"/>
      <c r="AB348" s="4"/>
      <c r="AC348" s="4"/>
      <c r="AD348" s="4"/>
      <c r="AE348" s="4"/>
      <c r="AF348" s="4"/>
      <c r="AG348" s="4"/>
      <c r="AH348" s="4"/>
      <c r="AI348" s="4"/>
      <c r="AJ348" s="4"/>
      <c r="AK348" s="4"/>
      <c r="AL348" s="4"/>
      <c r="AM348" s="4" t="s">
        <v>427</v>
      </c>
      <c r="AN348" s="4" t="s">
        <v>428</v>
      </c>
      <c r="AO348" s="4"/>
      <c r="AP348" s="4"/>
      <c r="AQ348" s="4"/>
      <c r="AR348" s="4" t="s">
        <v>6250</v>
      </c>
      <c r="AS348" s="4">
        <v>2023</v>
      </c>
      <c r="AT348" s="4"/>
      <c r="AU348" s="4"/>
      <c r="AV348" s="4"/>
      <c r="AW348" s="4"/>
      <c r="AX348" s="4"/>
      <c r="AY348" s="4"/>
      <c r="AZ348" s="4"/>
      <c r="BA348" s="4"/>
      <c r="BB348" s="4"/>
      <c r="BC348" s="4" t="s">
        <v>6251</v>
      </c>
      <c r="BD348" s="5" t="str">
        <f>HYPERLINK("http://dx.doi.org/10.1080/19320248.2023.2266687","http://dx.doi.org/10.1080/19320248.2023.2266687")</f>
        <v>http://dx.doi.org/10.1080/19320248.2023.2266687</v>
      </c>
      <c r="BE348" s="4"/>
      <c r="BF348" s="4" t="s">
        <v>6252</v>
      </c>
      <c r="BG348" s="4"/>
      <c r="BH348" s="4"/>
      <c r="BI348" s="4"/>
      <c r="BJ348" s="4" t="s">
        <v>6253</v>
      </c>
      <c r="BK348" s="4"/>
      <c r="BL348" s="4"/>
      <c r="BM348" s="4"/>
      <c r="BN348" s="4"/>
      <c r="BO348" s="4"/>
      <c r="BP348" s="4"/>
      <c r="BQ348" s="4"/>
      <c r="BR348" s="4"/>
      <c r="BS348" s="4"/>
      <c r="BT348" s="4"/>
      <c r="BU348" s="12" t="s">
        <v>7193</v>
      </c>
      <c r="BV348" s="12" t="s">
        <v>7188</v>
      </c>
      <c r="BW348" s="12" t="s">
        <v>7189</v>
      </c>
    </row>
    <row r="349" spans="1:75" ht="12.75" customHeight="1">
      <c r="A349" s="4" t="s">
        <v>63</v>
      </c>
      <c r="B349" s="4" t="s">
        <v>1871</v>
      </c>
      <c r="C349" s="4"/>
      <c r="D349" s="4"/>
      <c r="E349" s="4"/>
      <c r="F349" s="4" t="s">
        <v>1872</v>
      </c>
      <c r="G349" s="4"/>
      <c r="H349" s="4"/>
      <c r="I349" s="4" t="s">
        <v>1873</v>
      </c>
      <c r="J349" s="4" t="s">
        <v>1874</v>
      </c>
      <c r="K349" s="4"/>
      <c r="L349" s="4"/>
      <c r="M349" s="4"/>
      <c r="N349" s="4"/>
      <c r="O349" s="4"/>
      <c r="P349" s="4"/>
      <c r="Q349" s="4"/>
      <c r="R349" s="4"/>
      <c r="S349" s="4"/>
      <c r="T349" s="4" t="s">
        <v>1875</v>
      </c>
      <c r="U349" s="4"/>
      <c r="V349" s="4"/>
      <c r="W349" s="4"/>
      <c r="X349" s="4"/>
      <c r="Y349" s="4" t="s">
        <v>1876</v>
      </c>
      <c r="Z349" s="4" t="s">
        <v>1425</v>
      </c>
      <c r="AA349" s="4"/>
      <c r="AB349" s="4"/>
      <c r="AC349" s="4"/>
      <c r="AD349" s="4"/>
      <c r="AE349" s="4"/>
      <c r="AF349" s="4"/>
      <c r="AG349" s="4"/>
      <c r="AH349" s="4"/>
      <c r="AI349" s="4"/>
      <c r="AJ349" s="4"/>
      <c r="AK349" s="4"/>
      <c r="AL349" s="4"/>
      <c r="AM349" s="4" t="s">
        <v>1877</v>
      </c>
      <c r="AN349" s="4" t="s">
        <v>1878</v>
      </c>
      <c r="AO349" s="4"/>
      <c r="AP349" s="4"/>
      <c r="AQ349" s="4"/>
      <c r="AR349" s="4" t="s">
        <v>133</v>
      </c>
      <c r="AS349" s="4">
        <v>2015</v>
      </c>
      <c r="AT349" s="4">
        <v>42</v>
      </c>
      <c r="AU349" s="4"/>
      <c r="AV349" s="4"/>
      <c r="AW349" s="4"/>
      <c r="AX349" s="4"/>
      <c r="AY349" s="4"/>
      <c r="AZ349" s="4">
        <v>72</v>
      </c>
      <c r="BA349" s="4">
        <v>83</v>
      </c>
      <c r="BB349" s="4"/>
      <c r="BC349" s="4" t="s">
        <v>1879</v>
      </c>
      <c r="BD349" s="5" t="str">
        <f>HYPERLINK("http://dx.doi.org/10.1016/j.jtrangeo.2014.11.004","http://dx.doi.org/10.1016/j.jtrangeo.2014.11.004")</f>
        <v>http://dx.doi.org/10.1016/j.jtrangeo.2014.11.004</v>
      </c>
      <c r="BE349" s="4"/>
      <c r="BF349" s="4"/>
      <c r="BG349" s="4"/>
      <c r="BH349" s="4"/>
      <c r="BI349" s="4"/>
      <c r="BJ349" s="4" t="s">
        <v>1880</v>
      </c>
      <c r="BK349" s="4"/>
      <c r="BL349" s="4"/>
      <c r="BM349" s="4"/>
      <c r="BN349" s="4"/>
      <c r="BO349" s="4"/>
      <c r="BP349" s="4"/>
      <c r="BQ349" s="4"/>
      <c r="BR349" s="4"/>
      <c r="BS349" s="4"/>
      <c r="BT349" s="4"/>
      <c r="BU349" s="12" t="s">
        <v>7221</v>
      </c>
      <c r="BV349" s="12" t="s">
        <v>7188</v>
      </c>
      <c r="BW349" s="12" t="s">
        <v>7189</v>
      </c>
    </row>
    <row r="350" spans="1:75" ht="12.75" customHeight="1">
      <c r="A350" s="4" t="s">
        <v>63</v>
      </c>
      <c r="B350" s="4" t="s">
        <v>1110</v>
      </c>
      <c r="C350" s="4"/>
      <c r="D350" s="4"/>
      <c r="E350" s="4"/>
      <c r="F350" s="4" t="s">
        <v>1111</v>
      </c>
      <c r="G350" s="4"/>
      <c r="H350" s="4"/>
      <c r="I350" s="4" t="s">
        <v>1112</v>
      </c>
      <c r="J350" s="4" t="s">
        <v>1113</v>
      </c>
      <c r="K350" s="4"/>
      <c r="L350" s="4"/>
      <c r="M350" s="4"/>
      <c r="N350" s="4"/>
      <c r="O350" s="4"/>
      <c r="P350" s="4"/>
      <c r="Q350" s="4"/>
      <c r="R350" s="4"/>
      <c r="S350" s="4"/>
      <c r="T350" s="4" t="s">
        <v>1114</v>
      </c>
      <c r="U350" s="4"/>
      <c r="V350" s="4"/>
      <c r="W350" s="4"/>
      <c r="X350" s="4"/>
      <c r="Y350" s="4"/>
      <c r="Z350" s="4" t="s">
        <v>1115</v>
      </c>
      <c r="AA350" s="4"/>
      <c r="AB350" s="4"/>
      <c r="AC350" s="4"/>
      <c r="AD350" s="4"/>
      <c r="AE350" s="4"/>
      <c r="AF350" s="4"/>
      <c r="AG350" s="4"/>
      <c r="AH350" s="4"/>
      <c r="AI350" s="4"/>
      <c r="AJ350" s="4"/>
      <c r="AK350" s="4"/>
      <c r="AL350" s="4"/>
      <c r="AM350" s="4" t="s">
        <v>1116</v>
      </c>
      <c r="AN350" s="4" t="s">
        <v>1117</v>
      </c>
      <c r="AO350" s="4"/>
      <c r="AP350" s="4"/>
      <c r="AQ350" s="4"/>
      <c r="AR350" s="4" t="s">
        <v>82</v>
      </c>
      <c r="AS350" s="4">
        <v>2013</v>
      </c>
      <c r="AT350" s="4">
        <v>21</v>
      </c>
      <c r="AU350" s="4">
        <v>3</v>
      </c>
      <c r="AV350" s="4"/>
      <c r="AW350" s="4"/>
      <c r="AX350" s="4"/>
      <c r="AY350" s="4"/>
      <c r="AZ350" s="4">
        <v>419</v>
      </c>
      <c r="BA350" s="4">
        <v>420</v>
      </c>
      <c r="BB350" s="4"/>
      <c r="BC350" s="4" t="s">
        <v>1118</v>
      </c>
      <c r="BD350" s="5" t="str">
        <f>HYPERLINK("http://dx.doi.org/10.1002/oby.20294","http://dx.doi.org/10.1002/oby.20294")</f>
        <v>http://dx.doi.org/10.1002/oby.20294</v>
      </c>
      <c r="BE350" s="4"/>
      <c r="BF350" s="4"/>
      <c r="BG350" s="4"/>
      <c r="BH350" s="4"/>
      <c r="BI350" s="4">
        <v>23592652</v>
      </c>
      <c r="BJ350" s="4" t="s">
        <v>1119</v>
      </c>
      <c r="BK350" s="4"/>
      <c r="BL350" s="4"/>
      <c r="BM350" s="4"/>
      <c r="BN350" s="4"/>
      <c r="BO350" s="4"/>
      <c r="BP350" s="4"/>
      <c r="BQ350" s="4"/>
      <c r="BR350" s="4"/>
      <c r="BS350" s="4"/>
      <c r="BT350" s="4"/>
      <c r="BU350" s="12" t="s">
        <v>7193</v>
      </c>
      <c r="BV350" s="12" t="s">
        <v>7188</v>
      </c>
      <c r="BW350" s="12" t="s">
        <v>7189</v>
      </c>
    </row>
    <row r="351" spans="1:75" ht="12.75" customHeight="1">
      <c r="A351" s="3" t="s">
        <v>63</v>
      </c>
      <c r="B351" s="3" t="s">
        <v>5613</v>
      </c>
      <c r="C351" s="3"/>
      <c r="D351" s="3"/>
      <c r="E351" s="3"/>
      <c r="F351" s="3" t="s">
        <v>5614</v>
      </c>
      <c r="G351" s="3"/>
      <c r="H351" s="3"/>
      <c r="I351" s="3" t="s">
        <v>5615</v>
      </c>
      <c r="J351" s="3" t="s">
        <v>3374</v>
      </c>
      <c r="K351" s="3"/>
      <c r="L351" s="3"/>
      <c r="M351" s="3"/>
      <c r="N351" s="3"/>
      <c r="O351" s="3"/>
      <c r="P351" s="3"/>
      <c r="Q351" s="3"/>
      <c r="R351" s="3"/>
      <c r="S351" s="3"/>
      <c r="T351" s="3" t="s">
        <v>5616</v>
      </c>
      <c r="U351" s="3"/>
      <c r="V351" s="3"/>
      <c r="W351" s="3"/>
      <c r="X351" s="3"/>
      <c r="Y351" s="3" t="s">
        <v>4785</v>
      </c>
      <c r="Z351" s="3" t="s">
        <v>5617</v>
      </c>
      <c r="AA351" s="3"/>
      <c r="AB351" s="3"/>
      <c r="AC351" s="3"/>
      <c r="AD351" s="3"/>
      <c r="AE351" s="3"/>
      <c r="AF351" s="3"/>
      <c r="AG351" s="3"/>
      <c r="AH351" s="3"/>
      <c r="AI351" s="3"/>
      <c r="AJ351" s="3"/>
      <c r="AK351" s="3"/>
      <c r="AL351" s="3"/>
      <c r="AM351" s="3"/>
      <c r="AN351" s="3" t="s">
        <v>3377</v>
      </c>
      <c r="AO351" s="3"/>
      <c r="AP351" s="3"/>
      <c r="AQ351" s="3"/>
      <c r="AR351" s="3" t="s">
        <v>121</v>
      </c>
      <c r="AS351" s="3">
        <v>2022</v>
      </c>
      <c r="AT351" s="3">
        <v>14</v>
      </c>
      <c r="AU351" s="3">
        <v>15</v>
      </c>
      <c r="AV351" s="3"/>
      <c r="AW351" s="3"/>
      <c r="AX351" s="3"/>
      <c r="AY351" s="3"/>
      <c r="AZ351" s="3"/>
      <c r="BA351" s="3"/>
      <c r="BB351" s="3">
        <v>9715</v>
      </c>
      <c r="BC351" s="3" t="s">
        <v>5618</v>
      </c>
      <c r="BD351" s="15" t="str">
        <f>HYPERLINK("http://dx.doi.org/10.3390/su14159715","http://dx.doi.org/10.3390/su14159715")</f>
        <v>http://dx.doi.org/10.3390/su14159715</v>
      </c>
      <c r="BE351" s="3"/>
      <c r="BF351" s="3"/>
      <c r="BG351" s="3"/>
      <c r="BH351" s="3"/>
      <c r="BI351" s="3"/>
      <c r="BJ351" s="3" t="s">
        <v>5619</v>
      </c>
      <c r="BK351" s="3"/>
      <c r="BL351" s="3"/>
      <c r="BM351" s="3"/>
      <c r="BN351" s="3"/>
      <c r="BO351" s="3"/>
      <c r="BP351" s="3"/>
      <c r="BQ351" s="3"/>
      <c r="BR351" s="3"/>
      <c r="BS351" s="3"/>
      <c r="BT351" s="3"/>
      <c r="BU351" s="1" t="s">
        <v>7225</v>
      </c>
      <c r="BV351" s="2" t="s">
        <v>7188</v>
      </c>
      <c r="BW351" s="2" t="s">
        <v>7189</v>
      </c>
    </row>
    <row r="352" spans="1:75" ht="12.75" customHeight="1">
      <c r="A352" s="4" t="s">
        <v>63</v>
      </c>
      <c r="B352" s="4" t="s">
        <v>202</v>
      </c>
      <c r="C352" s="4"/>
      <c r="D352" s="4"/>
      <c r="E352" s="4"/>
      <c r="F352" s="4" t="s">
        <v>257</v>
      </c>
      <c r="G352" s="4"/>
      <c r="H352" s="4"/>
      <c r="I352" s="4" t="s">
        <v>258</v>
      </c>
      <c r="J352" s="4" t="s">
        <v>259</v>
      </c>
      <c r="K352" s="4"/>
      <c r="L352" s="4"/>
      <c r="M352" s="4"/>
      <c r="N352" s="4"/>
      <c r="O352" s="4"/>
      <c r="P352" s="4"/>
      <c r="Q352" s="4"/>
      <c r="R352" s="4"/>
      <c r="S352" s="4"/>
      <c r="T352" s="4" t="s">
        <v>260</v>
      </c>
      <c r="U352" s="4"/>
      <c r="V352" s="4"/>
      <c r="W352" s="4"/>
      <c r="X352" s="4"/>
      <c r="Y352" s="4" t="s">
        <v>212</v>
      </c>
      <c r="Z352" s="4" t="s">
        <v>261</v>
      </c>
      <c r="AA352" s="4"/>
      <c r="AB352" s="4"/>
      <c r="AC352" s="4"/>
      <c r="AD352" s="4"/>
      <c r="AE352" s="4"/>
      <c r="AF352" s="4"/>
      <c r="AG352" s="4"/>
      <c r="AH352" s="4"/>
      <c r="AI352" s="4"/>
      <c r="AJ352" s="4"/>
      <c r="AK352" s="4"/>
      <c r="AL352" s="4"/>
      <c r="AM352" s="4" t="s">
        <v>262</v>
      </c>
      <c r="AN352" s="4"/>
      <c r="AO352" s="4"/>
      <c r="AP352" s="4"/>
      <c r="AQ352" s="4"/>
      <c r="AR352" s="4" t="s">
        <v>92</v>
      </c>
      <c r="AS352" s="4">
        <v>2007</v>
      </c>
      <c r="AT352" s="4">
        <v>34</v>
      </c>
      <c r="AU352" s="4">
        <v>3</v>
      </c>
      <c r="AV352" s="4"/>
      <c r="AW352" s="4"/>
      <c r="AX352" s="4"/>
      <c r="AY352" s="4"/>
      <c r="AZ352" s="4">
        <v>403</v>
      </c>
      <c r="BA352" s="4">
        <v>427</v>
      </c>
      <c r="BB352" s="4"/>
      <c r="BC352" s="4"/>
      <c r="BD352" s="4"/>
      <c r="BE352" s="4"/>
      <c r="BF352" s="4"/>
      <c r="BG352" s="4"/>
      <c r="BH352" s="4"/>
      <c r="BI352" s="4"/>
      <c r="BJ352" s="4" t="s">
        <v>263</v>
      </c>
      <c r="BK352" s="4"/>
      <c r="BL352" s="4"/>
      <c r="BM352" s="4"/>
      <c r="BN352" s="4"/>
      <c r="BO352" s="4"/>
      <c r="BP352" s="4"/>
      <c r="BQ352" s="4"/>
      <c r="BR352" s="4"/>
      <c r="BS352" s="4"/>
      <c r="BT352" s="4"/>
      <c r="BU352" s="12" t="s">
        <v>7193</v>
      </c>
      <c r="BV352" s="12" t="s">
        <v>7214</v>
      </c>
      <c r="BW352" s="12" t="s">
        <v>7205</v>
      </c>
    </row>
    <row r="353" spans="1:75" ht="12.75" customHeight="1">
      <c r="A353" s="3" t="s">
        <v>63</v>
      </c>
      <c r="B353" s="3" t="s">
        <v>833</v>
      </c>
      <c r="C353" s="3"/>
      <c r="D353" s="3"/>
      <c r="E353" s="3"/>
      <c r="F353" s="3" t="s">
        <v>834</v>
      </c>
      <c r="G353" s="3"/>
      <c r="H353" s="3"/>
      <c r="I353" s="3" t="s">
        <v>835</v>
      </c>
      <c r="J353" s="3" t="s">
        <v>221</v>
      </c>
      <c r="K353" s="3"/>
      <c r="L353" s="3"/>
      <c r="M353" s="3"/>
      <c r="N353" s="3"/>
      <c r="O353" s="3"/>
      <c r="P353" s="3"/>
      <c r="Q353" s="3"/>
      <c r="R353" s="3"/>
      <c r="S353" s="3"/>
      <c r="T353" s="3" t="s">
        <v>836</v>
      </c>
      <c r="U353" s="3"/>
      <c r="V353" s="3"/>
      <c r="W353" s="3"/>
      <c r="X353" s="3"/>
      <c r="Y353" s="3" t="s">
        <v>837</v>
      </c>
      <c r="Z353" s="3"/>
      <c r="AA353" s="3"/>
      <c r="AB353" s="3"/>
      <c r="AC353" s="3"/>
      <c r="AD353" s="3"/>
      <c r="AE353" s="3"/>
      <c r="AF353" s="3"/>
      <c r="AG353" s="3"/>
      <c r="AH353" s="3"/>
      <c r="AI353" s="3"/>
      <c r="AJ353" s="3"/>
      <c r="AK353" s="3"/>
      <c r="AL353" s="3"/>
      <c r="AM353" s="3" t="s">
        <v>223</v>
      </c>
      <c r="AN353" s="3"/>
      <c r="AO353" s="3"/>
      <c r="AP353" s="3"/>
      <c r="AQ353" s="3"/>
      <c r="AR353" s="3" t="s">
        <v>66</v>
      </c>
      <c r="AS353" s="3">
        <v>2012</v>
      </c>
      <c r="AT353" s="3">
        <v>29</v>
      </c>
      <c r="AU353" s="3">
        <v>2</v>
      </c>
      <c r="AV353" s="3"/>
      <c r="AW353" s="3"/>
      <c r="AX353" s="3"/>
      <c r="AY353" s="3"/>
      <c r="AZ353" s="3">
        <v>203</v>
      </c>
      <c r="BA353" s="3">
        <v>215</v>
      </c>
      <c r="BB353" s="3"/>
      <c r="BC353" s="3" t="s">
        <v>838</v>
      </c>
      <c r="BD353" s="15" t="str">
        <f>HYPERLINK("http://dx.doi.org/10.1007/s10460-011-9336-8","http://dx.doi.org/10.1007/s10460-011-9336-8")</f>
        <v>http://dx.doi.org/10.1007/s10460-011-9336-8</v>
      </c>
      <c r="BE353" s="3"/>
      <c r="BF353" s="3"/>
      <c r="BG353" s="3"/>
      <c r="BH353" s="3"/>
      <c r="BI353" s="3"/>
      <c r="BJ353" s="3" t="s">
        <v>839</v>
      </c>
      <c r="BK353" s="3"/>
      <c r="BL353" s="3"/>
      <c r="BM353" s="3"/>
      <c r="BN353" s="3"/>
      <c r="BO353" s="3"/>
      <c r="BP353" s="3"/>
      <c r="BQ353" s="3"/>
      <c r="BR353" s="3"/>
      <c r="BS353" s="3"/>
      <c r="BT353" s="3"/>
      <c r="BU353" s="13" t="s">
        <v>7271</v>
      </c>
      <c r="BV353" s="2" t="s">
        <v>7188</v>
      </c>
      <c r="BW353" s="2" t="s">
        <v>7189</v>
      </c>
    </row>
    <row r="354" spans="1:75" ht="12.75" customHeight="1">
      <c r="A354" s="4" t="s">
        <v>63</v>
      </c>
      <c r="B354" s="4" t="s">
        <v>5620</v>
      </c>
      <c r="C354" s="4"/>
      <c r="D354" s="4"/>
      <c r="E354" s="4"/>
      <c r="F354" s="4" t="s">
        <v>5621</v>
      </c>
      <c r="G354" s="4"/>
      <c r="H354" s="4"/>
      <c r="I354" s="4" t="s">
        <v>5622</v>
      </c>
      <c r="J354" s="4" t="s">
        <v>5623</v>
      </c>
      <c r="K354" s="4"/>
      <c r="L354" s="4"/>
      <c r="M354" s="4"/>
      <c r="N354" s="4"/>
      <c r="O354" s="4"/>
      <c r="P354" s="4"/>
      <c r="Q354" s="4"/>
      <c r="R354" s="4"/>
      <c r="S354" s="4"/>
      <c r="T354" s="4" t="s">
        <v>5624</v>
      </c>
      <c r="U354" s="4"/>
      <c r="V354" s="4"/>
      <c r="W354" s="4"/>
      <c r="X354" s="4"/>
      <c r="Y354" s="4"/>
      <c r="Z354" s="4"/>
      <c r="AA354" s="4"/>
      <c r="AB354" s="4"/>
      <c r="AC354" s="4"/>
      <c r="AD354" s="4"/>
      <c r="AE354" s="4"/>
      <c r="AF354" s="4"/>
      <c r="AG354" s="4"/>
      <c r="AH354" s="4"/>
      <c r="AI354" s="4"/>
      <c r="AJ354" s="4"/>
      <c r="AK354" s="4"/>
      <c r="AL354" s="4"/>
      <c r="AM354" s="4" t="s">
        <v>5625</v>
      </c>
      <c r="AN354" s="4" t="s">
        <v>5626</v>
      </c>
      <c r="AO354" s="4"/>
      <c r="AP354" s="4"/>
      <c r="AQ354" s="4"/>
      <c r="AR354" s="4" t="s">
        <v>82</v>
      </c>
      <c r="AS354" s="4">
        <v>2022</v>
      </c>
      <c r="AT354" s="4">
        <v>18</v>
      </c>
      <c r="AU354" s="4">
        <v>3</v>
      </c>
      <c r="AV354" s="4"/>
      <c r="AW354" s="4"/>
      <c r="AX354" s="4"/>
      <c r="AY354" s="4"/>
      <c r="AZ354" s="4">
        <v>365</v>
      </c>
      <c r="BA354" s="4">
        <v>372</v>
      </c>
      <c r="BB354" s="4"/>
      <c r="BC354" s="4" t="s">
        <v>5627</v>
      </c>
      <c r="BD354" s="5" t="str">
        <f>HYPERLINK("http://dx.doi.org/10.1016/j.soard.2021.12.007","http://dx.doi.org/10.1016/j.soard.2021.12.007")</f>
        <v>http://dx.doi.org/10.1016/j.soard.2021.12.007</v>
      </c>
      <c r="BE354" s="4"/>
      <c r="BF354" s="4" t="s">
        <v>5628</v>
      </c>
      <c r="BG354" s="4"/>
      <c r="BH354" s="4"/>
      <c r="BI354" s="4">
        <v>35016840</v>
      </c>
      <c r="BJ354" s="4" t="s">
        <v>5629</v>
      </c>
      <c r="BK354" s="4"/>
      <c r="BL354" s="4"/>
      <c r="BM354" s="4"/>
      <c r="BN354" s="4"/>
      <c r="BO354" s="4"/>
      <c r="BP354" s="4"/>
      <c r="BQ354" s="4"/>
      <c r="BR354" s="4"/>
      <c r="BS354" s="4"/>
      <c r="BT354" s="4"/>
      <c r="BU354" s="12" t="s">
        <v>7362</v>
      </c>
      <c r="BV354" s="12" t="s">
        <v>7188</v>
      </c>
      <c r="BW354" s="12" t="s">
        <v>7189</v>
      </c>
    </row>
    <row r="355" spans="1:75" ht="12.75" customHeight="1">
      <c r="A355" s="4" t="s">
        <v>63</v>
      </c>
      <c r="B355" s="4" t="s">
        <v>4290</v>
      </c>
      <c r="C355" s="4"/>
      <c r="D355" s="4"/>
      <c r="E355" s="4"/>
      <c r="F355" s="4" t="s">
        <v>4291</v>
      </c>
      <c r="G355" s="4"/>
      <c r="H355" s="4"/>
      <c r="I355" s="4" t="s">
        <v>4292</v>
      </c>
      <c r="J355" s="4" t="s">
        <v>4293</v>
      </c>
      <c r="K355" s="4"/>
      <c r="L355" s="4"/>
      <c r="M355" s="4"/>
      <c r="N355" s="4"/>
      <c r="O355" s="4"/>
      <c r="P355" s="4"/>
      <c r="Q355" s="4"/>
      <c r="R355" s="4"/>
      <c r="S355" s="4"/>
      <c r="T355" s="4" t="s">
        <v>4294</v>
      </c>
      <c r="U355" s="4"/>
      <c r="V355" s="4"/>
      <c r="W355" s="4"/>
      <c r="X355" s="4"/>
      <c r="Y355" s="4"/>
      <c r="Z355" s="4"/>
      <c r="AA355" s="4"/>
      <c r="AB355" s="4"/>
      <c r="AC355" s="4"/>
      <c r="AD355" s="4"/>
      <c r="AE355" s="4"/>
      <c r="AF355" s="4"/>
      <c r="AG355" s="4"/>
      <c r="AH355" s="4"/>
      <c r="AI355" s="4"/>
      <c r="AJ355" s="4"/>
      <c r="AK355" s="4"/>
      <c r="AL355" s="4"/>
      <c r="AM355" s="4" t="s">
        <v>4295</v>
      </c>
      <c r="AN355" s="4" t="s">
        <v>4296</v>
      </c>
      <c r="AO355" s="4"/>
      <c r="AP355" s="4"/>
      <c r="AQ355" s="4"/>
      <c r="AR355" s="4" t="s">
        <v>3409</v>
      </c>
      <c r="AS355" s="4">
        <v>2020</v>
      </c>
      <c r="AT355" s="4">
        <v>30</v>
      </c>
      <c r="AU355" s="4" t="s">
        <v>174</v>
      </c>
      <c r="AV355" s="4"/>
      <c r="AW355" s="4"/>
      <c r="AX355" s="4"/>
      <c r="AY355" s="4"/>
      <c r="AZ355" s="4">
        <v>85</v>
      </c>
      <c r="BA355" s="4">
        <v>104</v>
      </c>
      <c r="BB355" s="4"/>
      <c r="BC355" s="4" t="s">
        <v>4297</v>
      </c>
      <c r="BD355" s="5" t="str">
        <f>HYPERLINK("http://dx.doi.org/10.3166/rig.2020.00103","http://dx.doi.org/10.3166/rig.2020.00103")</f>
        <v>http://dx.doi.org/10.3166/rig.2020.00103</v>
      </c>
      <c r="BE355" s="4"/>
      <c r="BF355" s="4"/>
      <c r="BG355" s="4"/>
      <c r="BH355" s="4"/>
      <c r="BI355" s="4"/>
      <c r="BJ355" s="4" t="s">
        <v>4298</v>
      </c>
      <c r="BK355" s="4"/>
      <c r="BL355" s="4"/>
      <c r="BM355" s="4"/>
      <c r="BN355" s="4"/>
      <c r="BO355" s="4"/>
      <c r="BP355" s="4"/>
      <c r="BQ355" s="4"/>
      <c r="BR355" s="4"/>
      <c r="BS355" s="4"/>
      <c r="BT355" s="4"/>
      <c r="BU355" s="12" t="s">
        <v>7363</v>
      </c>
      <c r="BV355" s="12" t="s">
        <v>7341</v>
      </c>
      <c r="BW355" s="12" t="s">
        <v>7205</v>
      </c>
    </row>
    <row r="356" spans="1:75" ht="12.75" customHeight="1">
      <c r="A356" s="4" t="s">
        <v>63</v>
      </c>
      <c r="B356" s="4" t="s">
        <v>6254</v>
      </c>
      <c r="C356" s="4"/>
      <c r="D356" s="4"/>
      <c r="E356" s="4"/>
      <c r="F356" s="4" t="s">
        <v>6255</v>
      </c>
      <c r="G356" s="4"/>
      <c r="H356" s="4"/>
      <c r="I356" s="4" t="s">
        <v>6256</v>
      </c>
      <c r="J356" s="4" t="s">
        <v>6257</v>
      </c>
      <c r="K356" s="4"/>
      <c r="L356" s="4"/>
      <c r="M356" s="4"/>
      <c r="N356" s="4"/>
      <c r="O356" s="4"/>
      <c r="P356" s="4"/>
      <c r="Q356" s="4"/>
      <c r="R356" s="4"/>
      <c r="S356" s="4"/>
      <c r="T356" s="4" t="s">
        <v>6258</v>
      </c>
      <c r="U356" s="4"/>
      <c r="V356" s="4"/>
      <c r="W356" s="4"/>
      <c r="X356" s="4"/>
      <c r="Y356" s="4" t="s">
        <v>6259</v>
      </c>
      <c r="Z356" s="4" t="s">
        <v>6260</v>
      </c>
      <c r="AA356" s="4"/>
      <c r="AB356" s="4"/>
      <c r="AC356" s="4"/>
      <c r="AD356" s="4"/>
      <c r="AE356" s="4"/>
      <c r="AF356" s="4"/>
      <c r="AG356" s="4"/>
      <c r="AH356" s="4"/>
      <c r="AI356" s="4"/>
      <c r="AJ356" s="4"/>
      <c r="AK356" s="4"/>
      <c r="AL356" s="4"/>
      <c r="AM356" s="4" t="s">
        <v>6261</v>
      </c>
      <c r="AN356" s="4"/>
      <c r="AO356" s="4"/>
      <c r="AP356" s="4"/>
      <c r="AQ356" s="4"/>
      <c r="AR356" s="4" t="s">
        <v>6262</v>
      </c>
      <c r="AS356" s="4">
        <v>2023</v>
      </c>
      <c r="AT356" s="4">
        <v>115</v>
      </c>
      <c r="AU356" s="4">
        <v>16</v>
      </c>
      <c r="AV356" s="4"/>
      <c r="AW356" s="4"/>
      <c r="AX356" s="4"/>
      <c r="AY356" s="4"/>
      <c r="AZ356" s="4">
        <v>1556</v>
      </c>
      <c r="BA356" s="4">
        <v>1565</v>
      </c>
      <c r="BB356" s="4"/>
      <c r="BC356" s="4" t="s">
        <v>6263</v>
      </c>
      <c r="BD356" s="5" t="str">
        <f>HYPERLINK("http://dx.doi.org/10.1002/bdr2.2231","http://dx.doi.org/10.1002/bdr2.2231")</f>
        <v>http://dx.doi.org/10.1002/bdr2.2231</v>
      </c>
      <c r="BE356" s="4"/>
      <c r="BF356" s="4" t="s">
        <v>6057</v>
      </c>
      <c r="BG356" s="4"/>
      <c r="BH356" s="4"/>
      <c r="BI356" s="4">
        <v>37589320</v>
      </c>
      <c r="BJ356" s="4" t="s">
        <v>6264</v>
      </c>
      <c r="BK356" s="4"/>
      <c r="BL356" s="4"/>
      <c r="BM356" s="4"/>
      <c r="BN356" s="4"/>
      <c r="BO356" s="4"/>
      <c r="BP356" s="4"/>
      <c r="BQ356" s="4"/>
      <c r="BR356" s="4"/>
      <c r="BS356" s="4"/>
      <c r="BT356" s="4"/>
      <c r="BU356" s="12" t="s">
        <v>3018</v>
      </c>
      <c r="BV356" s="12" t="s">
        <v>7188</v>
      </c>
      <c r="BW356" s="12" t="s">
        <v>7189</v>
      </c>
    </row>
    <row r="357" spans="1:75" ht="12.75" customHeight="1">
      <c r="A357" s="4" t="s">
        <v>63</v>
      </c>
      <c r="B357" s="4" t="s">
        <v>6852</v>
      </c>
      <c r="C357" s="4"/>
      <c r="D357" s="4"/>
      <c r="E357" s="4"/>
      <c r="F357" s="4" t="s">
        <v>6853</v>
      </c>
      <c r="G357" s="4"/>
      <c r="H357" s="4"/>
      <c r="I357" s="4" t="s">
        <v>6854</v>
      </c>
      <c r="J357" s="4" t="s">
        <v>6855</v>
      </c>
      <c r="K357" s="4"/>
      <c r="L357" s="4"/>
      <c r="M357" s="4"/>
      <c r="N357" s="4"/>
      <c r="O357" s="4"/>
      <c r="P357" s="4"/>
      <c r="Q357" s="4"/>
      <c r="R357" s="4"/>
      <c r="S357" s="4"/>
      <c r="T357" s="4" t="s">
        <v>6856</v>
      </c>
      <c r="U357" s="4"/>
      <c r="V357" s="4"/>
      <c r="W357" s="4"/>
      <c r="X357" s="4"/>
      <c r="Y357" s="4" t="s">
        <v>6857</v>
      </c>
      <c r="Z357" s="4" t="s">
        <v>6858</v>
      </c>
      <c r="AA357" s="4"/>
      <c r="AB357" s="4"/>
      <c r="AC357" s="4"/>
      <c r="AD357" s="4"/>
      <c r="AE357" s="4"/>
      <c r="AF357" s="4"/>
      <c r="AG357" s="4"/>
      <c r="AH357" s="4"/>
      <c r="AI357" s="4"/>
      <c r="AJ357" s="4"/>
      <c r="AK357" s="4"/>
      <c r="AL357" s="4"/>
      <c r="AM357" s="4" t="s">
        <v>6859</v>
      </c>
      <c r="AN357" s="4" t="s">
        <v>6860</v>
      </c>
      <c r="AO357" s="4"/>
      <c r="AP357" s="4"/>
      <c r="AQ357" s="4"/>
      <c r="AR357" s="4" t="s">
        <v>78</v>
      </c>
      <c r="AS357" s="4">
        <v>2024</v>
      </c>
      <c r="AT357" s="4">
        <v>23</v>
      </c>
      <c r="AU357" s="4">
        <v>3</v>
      </c>
      <c r="AV357" s="4"/>
      <c r="AW357" s="4"/>
      <c r="AX357" s="4"/>
      <c r="AY357" s="4"/>
      <c r="AZ357" s="4">
        <v>524</v>
      </c>
      <c r="BA357" s="4">
        <v>531</v>
      </c>
      <c r="BB357" s="4"/>
      <c r="BC357" s="4" t="s">
        <v>6861</v>
      </c>
      <c r="BD357" s="5" t="str">
        <f>HYPERLINK("http://dx.doi.org/10.1016/j.jcf.2023.08.006","http://dx.doi.org/10.1016/j.jcf.2023.08.006")</f>
        <v>http://dx.doi.org/10.1016/j.jcf.2023.08.006</v>
      </c>
      <c r="BE357" s="4"/>
      <c r="BF357" s="4" t="s">
        <v>122</v>
      </c>
      <c r="BG357" s="4"/>
      <c r="BH357" s="4"/>
      <c r="BI357" s="4">
        <v>37666711</v>
      </c>
      <c r="BJ357" s="4" t="s">
        <v>6862</v>
      </c>
      <c r="BK357" s="4"/>
      <c r="BL357" s="4"/>
      <c r="BM357" s="4"/>
      <c r="BN357" s="4"/>
      <c r="BO357" s="4"/>
      <c r="BP357" s="4"/>
      <c r="BQ357" s="4"/>
      <c r="BR357" s="4"/>
      <c r="BS357" s="4"/>
      <c r="BT357" s="4"/>
      <c r="BU357" s="12" t="s">
        <v>7201</v>
      </c>
      <c r="BV357" s="12" t="s">
        <v>7188</v>
      </c>
      <c r="BW357" s="12" t="s">
        <v>7189</v>
      </c>
    </row>
    <row r="358" spans="1:75" ht="12.75" customHeight="1">
      <c r="A358" s="4" t="s">
        <v>63</v>
      </c>
      <c r="B358" s="4" t="s">
        <v>3810</v>
      </c>
      <c r="C358" s="4"/>
      <c r="D358" s="4"/>
      <c r="E358" s="4"/>
      <c r="F358" s="4" t="s">
        <v>3811</v>
      </c>
      <c r="G358" s="4"/>
      <c r="H358" s="4"/>
      <c r="I358" s="4" t="s">
        <v>3812</v>
      </c>
      <c r="J358" s="4" t="s">
        <v>3813</v>
      </c>
      <c r="K358" s="4"/>
      <c r="L358" s="4"/>
      <c r="M358" s="4"/>
      <c r="N358" s="4"/>
      <c r="O358" s="4"/>
      <c r="P358" s="4"/>
      <c r="Q358" s="4"/>
      <c r="R358" s="4"/>
      <c r="S358" s="4"/>
      <c r="T358" s="4" t="s">
        <v>3814</v>
      </c>
      <c r="U358" s="4"/>
      <c r="V358" s="4"/>
      <c r="W358" s="4"/>
      <c r="X358" s="4"/>
      <c r="Y358" s="4"/>
      <c r="Z358" s="4"/>
      <c r="AA358" s="4"/>
      <c r="AB358" s="4"/>
      <c r="AC358" s="4"/>
      <c r="AD358" s="4"/>
      <c r="AE358" s="4"/>
      <c r="AF358" s="4"/>
      <c r="AG358" s="4"/>
      <c r="AH358" s="4"/>
      <c r="AI358" s="4"/>
      <c r="AJ358" s="4"/>
      <c r="AK358" s="4"/>
      <c r="AL358" s="4"/>
      <c r="AM358" s="4" t="s">
        <v>3815</v>
      </c>
      <c r="AN358" s="4" t="s">
        <v>3816</v>
      </c>
      <c r="AO358" s="4"/>
      <c r="AP358" s="4"/>
      <c r="AQ358" s="4"/>
      <c r="AR358" s="4" t="s">
        <v>279</v>
      </c>
      <c r="AS358" s="4">
        <v>2019</v>
      </c>
      <c r="AT358" s="4">
        <v>78</v>
      </c>
      <c r="AU358" s="4">
        <v>2</v>
      </c>
      <c r="AV358" s="4"/>
      <c r="AW358" s="4"/>
      <c r="AX358" s="4"/>
      <c r="AY358" s="4"/>
      <c r="AZ358" s="4">
        <v>99</v>
      </c>
      <c r="BA358" s="4">
        <v>109</v>
      </c>
      <c r="BB358" s="4"/>
      <c r="BC358" s="4"/>
      <c r="BD358" s="4"/>
      <c r="BE358" s="4"/>
      <c r="BF358" s="4"/>
      <c r="BG358" s="4"/>
      <c r="BH358" s="4"/>
      <c r="BI358" s="4"/>
      <c r="BJ358" s="4" t="s">
        <v>3817</v>
      </c>
      <c r="BK358" s="4"/>
      <c r="BL358" s="4"/>
      <c r="BM358" s="4"/>
      <c r="BN358" s="4"/>
      <c r="BO358" s="4"/>
      <c r="BP358" s="4"/>
      <c r="BQ358" s="4"/>
      <c r="BR358" s="4"/>
      <c r="BS358" s="4"/>
      <c r="BT358" s="4"/>
      <c r="BU358" s="12" t="s">
        <v>7364</v>
      </c>
      <c r="BV358" s="12" t="s">
        <v>7188</v>
      </c>
      <c r="BW358" s="12" t="s">
        <v>7189</v>
      </c>
    </row>
    <row r="359" spans="1:75" ht="12.75" customHeight="1">
      <c r="A359" s="4" t="s">
        <v>63</v>
      </c>
      <c r="B359" s="4" t="s">
        <v>6265</v>
      </c>
      <c r="C359" s="4"/>
      <c r="D359" s="4"/>
      <c r="E359" s="4"/>
      <c r="F359" s="4" t="s">
        <v>6266</v>
      </c>
      <c r="G359" s="4"/>
      <c r="H359" s="4"/>
      <c r="I359" s="4" t="s">
        <v>6267</v>
      </c>
      <c r="J359" s="4" t="s">
        <v>3721</v>
      </c>
      <c r="K359" s="4"/>
      <c r="L359" s="4"/>
      <c r="M359" s="4"/>
      <c r="N359" s="4"/>
      <c r="O359" s="4"/>
      <c r="P359" s="4"/>
      <c r="Q359" s="4"/>
      <c r="R359" s="4"/>
      <c r="S359" s="4"/>
      <c r="T359" s="4" t="s">
        <v>6268</v>
      </c>
      <c r="U359" s="4"/>
      <c r="V359" s="4"/>
      <c r="W359" s="4"/>
      <c r="X359" s="4"/>
      <c r="Y359" s="4"/>
      <c r="Z359" s="4" t="s">
        <v>6269</v>
      </c>
      <c r="AA359" s="4"/>
      <c r="AB359" s="4"/>
      <c r="AC359" s="4"/>
      <c r="AD359" s="4"/>
      <c r="AE359" s="4"/>
      <c r="AF359" s="4"/>
      <c r="AG359" s="4"/>
      <c r="AH359" s="4"/>
      <c r="AI359" s="4"/>
      <c r="AJ359" s="4"/>
      <c r="AK359" s="4"/>
      <c r="AL359" s="4"/>
      <c r="AM359" s="4"/>
      <c r="AN359" s="4" t="s">
        <v>3723</v>
      </c>
      <c r="AO359" s="4"/>
      <c r="AP359" s="4"/>
      <c r="AQ359" s="4"/>
      <c r="AR359" s="4" t="s">
        <v>82</v>
      </c>
      <c r="AS359" s="4">
        <v>2023</v>
      </c>
      <c r="AT359" s="4">
        <v>15</v>
      </c>
      <c r="AU359" s="4">
        <v>5</v>
      </c>
      <c r="AV359" s="4"/>
      <c r="AW359" s="4"/>
      <c r="AX359" s="4"/>
      <c r="AY359" s="4"/>
      <c r="AZ359" s="4"/>
      <c r="BA359" s="4"/>
      <c r="BB359" s="4">
        <v>1271</v>
      </c>
      <c r="BC359" s="4" t="s">
        <v>6270</v>
      </c>
      <c r="BD359" s="5" t="str">
        <f>HYPERLINK("http://dx.doi.org/10.3390/nu15051271","http://dx.doi.org/10.3390/nu15051271")</f>
        <v>http://dx.doi.org/10.3390/nu15051271</v>
      </c>
      <c r="BE359" s="4"/>
      <c r="BF359" s="4"/>
      <c r="BG359" s="4"/>
      <c r="BH359" s="4"/>
      <c r="BI359" s="4">
        <v>36904271</v>
      </c>
      <c r="BJ359" s="4" t="s">
        <v>6271</v>
      </c>
      <c r="BK359" s="4"/>
      <c r="BL359" s="4"/>
      <c r="BM359" s="4"/>
      <c r="BN359" s="4"/>
      <c r="BO359" s="4"/>
      <c r="BP359" s="4"/>
      <c r="BQ359" s="4"/>
      <c r="BR359" s="4"/>
      <c r="BS359" s="4"/>
      <c r="BT359" s="4"/>
      <c r="BU359" s="12" t="s">
        <v>7278</v>
      </c>
      <c r="BV359" s="12" t="s">
        <v>7188</v>
      </c>
      <c r="BW359" s="12" t="s">
        <v>7189</v>
      </c>
    </row>
    <row r="360" spans="1:75" ht="12.75" customHeight="1">
      <c r="A360" s="6" t="s">
        <v>63</v>
      </c>
      <c r="B360" s="6" t="s">
        <v>2908</v>
      </c>
      <c r="C360" s="6"/>
      <c r="D360" s="6"/>
      <c r="E360" s="6"/>
      <c r="F360" s="6" t="s">
        <v>2909</v>
      </c>
      <c r="G360" s="6"/>
      <c r="H360" s="6"/>
      <c r="I360" s="6" t="s">
        <v>2910</v>
      </c>
      <c r="J360" s="6" t="s">
        <v>434</v>
      </c>
      <c r="K360" s="6"/>
      <c r="L360" s="6"/>
      <c r="M360" s="6"/>
      <c r="N360" s="6"/>
      <c r="O360" s="6"/>
      <c r="P360" s="6"/>
      <c r="Q360" s="6"/>
      <c r="R360" s="6"/>
      <c r="S360" s="6"/>
      <c r="T360" s="6" t="s">
        <v>2911</v>
      </c>
      <c r="U360" s="6"/>
      <c r="V360" s="6"/>
      <c r="W360" s="6"/>
      <c r="X360" s="6"/>
      <c r="Y360" s="6"/>
      <c r="Z360" s="6" t="s">
        <v>2903</v>
      </c>
      <c r="AA360" s="6"/>
      <c r="AB360" s="6"/>
      <c r="AC360" s="6"/>
      <c r="AD360" s="6"/>
      <c r="AE360" s="6"/>
      <c r="AF360" s="6"/>
      <c r="AG360" s="6"/>
      <c r="AH360" s="6"/>
      <c r="AI360" s="6"/>
      <c r="AJ360" s="6"/>
      <c r="AK360" s="6"/>
      <c r="AL360" s="6"/>
      <c r="AM360" s="6" t="s">
        <v>436</v>
      </c>
      <c r="AN360" s="6" t="s">
        <v>568</v>
      </c>
      <c r="AO360" s="6"/>
      <c r="AP360" s="6"/>
      <c r="AQ360" s="6"/>
      <c r="AR360" s="6" t="s">
        <v>133</v>
      </c>
      <c r="AS360" s="6">
        <v>2017</v>
      </c>
      <c r="AT360" s="6">
        <v>78</v>
      </c>
      <c r="AU360" s="6"/>
      <c r="AV360" s="6"/>
      <c r="AW360" s="6"/>
      <c r="AX360" s="6"/>
      <c r="AY360" s="6"/>
      <c r="AZ360" s="6">
        <v>12</v>
      </c>
      <c r="BA360" s="6">
        <v>21</v>
      </c>
      <c r="BB360" s="6"/>
      <c r="BC360" s="6" t="s">
        <v>2912</v>
      </c>
      <c r="BD360" s="9" t="str">
        <f>HYPERLINK("http://dx.doi.org/10.1016/j.apgeog.2016.10.006","http://dx.doi.org/10.1016/j.apgeog.2016.10.006")</f>
        <v>http://dx.doi.org/10.1016/j.apgeog.2016.10.006</v>
      </c>
      <c r="BE360" s="6"/>
      <c r="BF360" s="6"/>
      <c r="BG360" s="6"/>
      <c r="BH360" s="6"/>
      <c r="BI360" s="6"/>
      <c r="BJ360" s="6" t="s">
        <v>2913</v>
      </c>
      <c r="BK360" s="6"/>
      <c r="BL360" s="6"/>
      <c r="BM360" s="6"/>
      <c r="BN360" s="6"/>
      <c r="BO360" s="6"/>
      <c r="BP360" s="6"/>
      <c r="BQ360" s="6"/>
      <c r="BR360" s="6"/>
      <c r="BS360" s="6"/>
      <c r="BT360" s="6"/>
      <c r="BU360" s="8" t="s">
        <v>7225</v>
      </c>
      <c r="BV360" s="8" t="s">
        <v>7188</v>
      </c>
      <c r="BW360" s="8" t="s">
        <v>7189</v>
      </c>
    </row>
    <row r="361" spans="1:75" ht="12.75" customHeight="1">
      <c r="A361" s="4" t="s">
        <v>63</v>
      </c>
      <c r="B361" s="4" t="s">
        <v>5630</v>
      </c>
      <c r="C361" s="4"/>
      <c r="D361" s="4"/>
      <c r="E361" s="4"/>
      <c r="F361" s="4" t="s">
        <v>5631</v>
      </c>
      <c r="G361" s="4"/>
      <c r="H361" s="4"/>
      <c r="I361" s="4" t="s">
        <v>5632</v>
      </c>
      <c r="J361" s="4" t="s">
        <v>5633</v>
      </c>
      <c r="K361" s="4"/>
      <c r="L361" s="4"/>
      <c r="M361" s="4"/>
      <c r="N361" s="4"/>
      <c r="O361" s="4"/>
      <c r="P361" s="4"/>
      <c r="Q361" s="4"/>
      <c r="R361" s="4"/>
      <c r="S361" s="4"/>
      <c r="T361" s="4" t="s">
        <v>5634</v>
      </c>
      <c r="U361" s="4"/>
      <c r="V361" s="4"/>
      <c r="W361" s="4"/>
      <c r="X361" s="4"/>
      <c r="Y361" s="4" t="s">
        <v>5635</v>
      </c>
      <c r="Z361" s="4" t="s">
        <v>5636</v>
      </c>
      <c r="AA361" s="4"/>
      <c r="AB361" s="4"/>
      <c r="AC361" s="4"/>
      <c r="AD361" s="4"/>
      <c r="AE361" s="4"/>
      <c r="AF361" s="4"/>
      <c r="AG361" s="4"/>
      <c r="AH361" s="4"/>
      <c r="AI361" s="4"/>
      <c r="AJ361" s="4"/>
      <c r="AK361" s="4"/>
      <c r="AL361" s="4"/>
      <c r="AM361" s="4" t="s">
        <v>5637</v>
      </c>
      <c r="AN361" s="4" t="s">
        <v>5638</v>
      </c>
      <c r="AO361" s="4"/>
      <c r="AP361" s="4"/>
      <c r="AQ361" s="4"/>
      <c r="AR361" s="4" t="s">
        <v>133</v>
      </c>
      <c r="AS361" s="4">
        <v>2022</v>
      </c>
      <c r="AT361" s="4">
        <v>10</v>
      </c>
      <c r="AU361" s="4">
        <v>1</v>
      </c>
      <c r="AV361" s="4"/>
      <c r="AW361" s="4"/>
      <c r="AX361" s="4"/>
      <c r="AY361" s="4"/>
      <c r="AZ361" s="4">
        <v>182</v>
      </c>
      <c r="BA361" s="4">
        <v>188</v>
      </c>
      <c r="BB361" s="4"/>
      <c r="BC361" s="4" t="s">
        <v>5639</v>
      </c>
      <c r="BD361" s="5" t="str">
        <f>HYPERLINK("http://dx.doi.org/10.1016/j.jaip.2021.08.005","http://dx.doi.org/10.1016/j.jaip.2021.08.005")</f>
        <v>http://dx.doi.org/10.1016/j.jaip.2021.08.005</v>
      </c>
      <c r="BE361" s="4"/>
      <c r="BF361" s="4" t="s">
        <v>5521</v>
      </c>
      <c r="BG361" s="4"/>
      <c r="BH361" s="4"/>
      <c r="BI361" s="4">
        <v>34419681</v>
      </c>
      <c r="BJ361" s="4" t="s">
        <v>5640</v>
      </c>
      <c r="BK361" s="4"/>
      <c r="BL361" s="4"/>
      <c r="BM361" s="4"/>
      <c r="BN361" s="4"/>
      <c r="BO361" s="4"/>
      <c r="BP361" s="4"/>
      <c r="BQ361" s="4"/>
      <c r="BR361" s="4"/>
      <c r="BS361" s="4"/>
      <c r="BT361" s="4"/>
      <c r="BU361" s="12" t="s">
        <v>7365</v>
      </c>
      <c r="BV361" s="12" t="s">
        <v>7188</v>
      </c>
      <c r="BW361" s="12" t="s">
        <v>7189</v>
      </c>
    </row>
    <row r="362" spans="1:75" ht="12.75" customHeight="1">
      <c r="A362" s="4" t="s">
        <v>63</v>
      </c>
      <c r="B362" s="4" t="s">
        <v>2914</v>
      </c>
      <c r="C362" s="4"/>
      <c r="D362" s="4"/>
      <c r="E362" s="4"/>
      <c r="F362" s="4" t="s">
        <v>2915</v>
      </c>
      <c r="G362" s="4"/>
      <c r="H362" s="4"/>
      <c r="I362" s="4" t="s">
        <v>2916</v>
      </c>
      <c r="J362" s="4" t="s">
        <v>2917</v>
      </c>
      <c r="K362" s="4"/>
      <c r="L362" s="4"/>
      <c r="M362" s="4"/>
      <c r="N362" s="4"/>
      <c r="O362" s="4"/>
      <c r="P362" s="4"/>
      <c r="Q362" s="4"/>
      <c r="R362" s="4"/>
      <c r="S362" s="4"/>
      <c r="T362" s="4" t="s">
        <v>2918</v>
      </c>
      <c r="U362" s="4"/>
      <c r="V362" s="4"/>
      <c r="W362" s="4"/>
      <c r="X362" s="4"/>
      <c r="Y362" s="4"/>
      <c r="Z362" s="4"/>
      <c r="AA362" s="4"/>
      <c r="AB362" s="4"/>
      <c r="AC362" s="4"/>
      <c r="AD362" s="4"/>
      <c r="AE362" s="4"/>
      <c r="AF362" s="4"/>
      <c r="AG362" s="4"/>
      <c r="AH362" s="4"/>
      <c r="AI362" s="4"/>
      <c r="AJ362" s="4"/>
      <c r="AK362" s="4"/>
      <c r="AL362" s="4"/>
      <c r="AM362" s="4" t="s">
        <v>2919</v>
      </c>
      <c r="AN362" s="4" t="s">
        <v>2920</v>
      </c>
      <c r="AO362" s="4"/>
      <c r="AP362" s="4"/>
      <c r="AQ362" s="4"/>
      <c r="AR362" s="4" t="s">
        <v>279</v>
      </c>
      <c r="AS362" s="4">
        <v>2017</v>
      </c>
      <c r="AT362" s="4">
        <v>77</v>
      </c>
      <c r="AU362" s="4"/>
      <c r="AV362" s="4"/>
      <c r="AW362" s="4" t="s">
        <v>2921</v>
      </c>
      <c r="AX362" s="4"/>
      <c r="AY362" s="4"/>
      <c r="AZ362" s="4" t="s">
        <v>2922</v>
      </c>
      <c r="BA362" s="4" t="s">
        <v>2923</v>
      </c>
      <c r="BB362" s="4"/>
      <c r="BC362" s="4" t="s">
        <v>2924</v>
      </c>
      <c r="BD362" s="5" t="str">
        <f>HYPERLINK("http://dx.doi.org/10.1111/jphd.12233","http://dx.doi.org/10.1111/jphd.12233")</f>
        <v>http://dx.doi.org/10.1111/jphd.12233</v>
      </c>
      <c r="BE362" s="4"/>
      <c r="BF362" s="4"/>
      <c r="BG362" s="4"/>
      <c r="BH362" s="4"/>
      <c r="BI362" s="4">
        <v>28708245</v>
      </c>
      <c r="BJ362" s="4" t="s">
        <v>2925</v>
      </c>
      <c r="BK362" s="4"/>
      <c r="BL362" s="4"/>
      <c r="BM362" s="4"/>
      <c r="BN362" s="4"/>
      <c r="BO362" s="4"/>
      <c r="BP362" s="4"/>
      <c r="BQ362" s="4"/>
      <c r="BR362" s="4"/>
      <c r="BS362" s="4"/>
      <c r="BT362" s="4"/>
      <c r="BU362" s="12" t="s">
        <v>7193</v>
      </c>
      <c r="BV362" s="12" t="s">
        <v>7188</v>
      </c>
      <c r="BW362" s="12" t="s">
        <v>7189</v>
      </c>
    </row>
    <row r="363" spans="1:75" ht="12.75" customHeight="1">
      <c r="A363" s="6" t="s">
        <v>63</v>
      </c>
      <c r="B363" s="6" t="s">
        <v>6272</v>
      </c>
      <c r="C363" s="6"/>
      <c r="D363" s="6"/>
      <c r="E363" s="6"/>
      <c r="F363" s="6" t="s">
        <v>6273</v>
      </c>
      <c r="G363" s="6"/>
      <c r="H363" s="6"/>
      <c r="I363" s="6" t="s">
        <v>5641</v>
      </c>
      <c r="J363" s="6" t="s">
        <v>6274</v>
      </c>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t="s">
        <v>6275</v>
      </c>
      <c r="AN363" s="6" t="s">
        <v>6276</v>
      </c>
      <c r="AO363" s="6"/>
      <c r="AP363" s="6"/>
      <c r="AQ363" s="6"/>
      <c r="AR363" s="6" t="s">
        <v>64</v>
      </c>
      <c r="AS363" s="6">
        <v>2023</v>
      </c>
      <c r="AT363" s="6">
        <v>52</v>
      </c>
      <c r="AU363" s="6">
        <v>6</v>
      </c>
      <c r="AV363" s="6"/>
      <c r="AW363" s="6"/>
      <c r="AX363" s="6"/>
      <c r="AY363" s="6"/>
      <c r="AZ363" s="6">
        <v>554</v>
      </c>
      <c r="BA363" s="6">
        <v>555</v>
      </c>
      <c r="BB363" s="6"/>
      <c r="BC363" s="6" t="s">
        <v>6277</v>
      </c>
      <c r="BD363" s="9" t="str">
        <f>HYPERLINK("http://dx.doi.org/10.1177/00943061231204791s","http://dx.doi.org/10.1177/00943061231204791s")</f>
        <v>http://dx.doi.org/10.1177/00943061231204791s</v>
      </c>
      <c r="BE363" s="6"/>
      <c r="BF363" s="6"/>
      <c r="BG363" s="6"/>
      <c r="BH363" s="6"/>
      <c r="BI363" s="6"/>
      <c r="BJ363" s="6" t="s">
        <v>6278</v>
      </c>
      <c r="BK363" s="6"/>
      <c r="BL363" s="6"/>
      <c r="BM363" s="6"/>
      <c r="BN363" s="6"/>
      <c r="BO363" s="6"/>
      <c r="BP363" s="6"/>
      <c r="BQ363" s="6"/>
      <c r="BR363" s="6"/>
      <c r="BS363" s="6"/>
      <c r="BT363" s="6"/>
      <c r="BU363" s="8" t="s">
        <v>7193</v>
      </c>
      <c r="BV363" s="8" t="s">
        <v>7193</v>
      </c>
      <c r="BW363" s="8" t="s">
        <v>7193</v>
      </c>
    </row>
    <row r="364" spans="1:75" ht="12.75" customHeight="1">
      <c r="A364" s="3" t="s">
        <v>63</v>
      </c>
      <c r="B364" s="3" t="s">
        <v>1120</v>
      </c>
      <c r="C364" s="3"/>
      <c r="D364" s="3"/>
      <c r="E364" s="3"/>
      <c r="F364" s="3" t="s">
        <v>1121</v>
      </c>
      <c r="G364" s="3"/>
      <c r="H364" s="3"/>
      <c r="I364" s="3" t="s">
        <v>1122</v>
      </c>
      <c r="J364" s="3" t="s">
        <v>1123</v>
      </c>
      <c r="K364" s="3"/>
      <c r="L364" s="3"/>
      <c r="M364" s="3"/>
      <c r="N364" s="3"/>
      <c r="O364" s="3"/>
      <c r="P364" s="3"/>
      <c r="Q364" s="3"/>
      <c r="R364" s="3"/>
      <c r="S364" s="3"/>
      <c r="T364" s="3" t="s">
        <v>1124</v>
      </c>
      <c r="U364" s="3"/>
      <c r="V364" s="3"/>
      <c r="W364" s="3"/>
      <c r="X364" s="3"/>
      <c r="Y364" s="3"/>
      <c r="Z364" s="3" t="s">
        <v>1125</v>
      </c>
      <c r="AA364" s="3"/>
      <c r="AB364" s="3"/>
      <c r="AC364" s="3"/>
      <c r="AD364" s="3"/>
      <c r="AE364" s="3"/>
      <c r="AF364" s="3"/>
      <c r="AG364" s="3"/>
      <c r="AH364" s="3"/>
      <c r="AI364" s="3"/>
      <c r="AJ364" s="3"/>
      <c r="AK364" s="3"/>
      <c r="AL364" s="3"/>
      <c r="AM364" s="3" t="s">
        <v>1126</v>
      </c>
      <c r="AN364" s="3" t="s">
        <v>1127</v>
      </c>
      <c r="AO364" s="3"/>
      <c r="AP364" s="3"/>
      <c r="AQ364" s="3"/>
      <c r="AR364" s="3"/>
      <c r="AS364" s="3">
        <v>2013</v>
      </c>
      <c r="AT364" s="3">
        <v>59</v>
      </c>
      <c r="AU364" s="3">
        <v>1</v>
      </c>
      <c r="AV364" s="3"/>
      <c r="AW364" s="3"/>
      <c r="AX364" s="3"/>
      <c r="AY364" s="3"/>
      <c r="AZ364" s="3">
        <v>37</v>
      </c>
      <c r="BA364" s="3">
        <v>41</v>
      </c>
      <c r="BB364" s="3"/>
      <c r="BC364" s="3" t="s">
        <v>1128</v>
      </c>
      <c r="BD364" s="15" t="str">
        <f>HYPERLINK("http://dx.doi.org/10.1080/15659801.2013.820391","http://dx.doi.org/10.1080/15659801.2013.820391")</f>
        <v>http://dx.doi.org/10.1080/15659801.2013.820391</v>
      </c>
      <c r="BE364" s="3"/>
      <c r="BF364" s="3"/>
      <c r="BG364" s="3"/>
      <c r="BH364" s="3"/>
      <c r="BI364" s="3"/>
      <c r="BJ364" s="3" t="s">
        <v>1129</v>
      </c>
      <c r="BK364" s="3"/>
      <c r="BL364" s="3"/>
      <c r="BM364" s="3"/>
      <c r="BN364" s="3"/>
      <c r="BO364" s="3"/>
      <c r="BP364" s="3"/>
      <c r="BQ364" s="3"/>
      <c r="BR364" s="3"/>
      <c r="BS364" s="3"/>
      <c r="BT364" s="3"/>
      <c r="BU364" s="1" t="s">
        <v>7203</v>
      </c>
      <c r="BV364" s="2" t="s">
        <v>7188</v>
      </c>
      <c r="BW364" s="2" t="s">
        <v>7189</v>
      </c>
    </row>
    <row r="365" spans="1:75" ht="12.75" customHeight="1">
      <c r="A365" s="3" t="s">
        <v>63</v>
      </c>
      <c r="B365" s="3" t="s">
        <v>840</v>
      </c>
      <c r="C365" s="3"/>
      <c r="D365" s="3"/>
      <c r="E365" s="3"/>
      <c r="F365" s="3" t="s">
        <v>841</v>
      </c>
      <c r="G365" s="3"/>
      <c r="H365" s="3"/>
      <c r="I365" s="3" t="s">
        <v>842</v>
      </c>
      <c r="J365" s="3" t="s">
        <v>843</v>
      </c>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t="s">
        <v>844</v>
      </c>
      <c r="AN365" s="3"/>
      <c r="AO365" s="3"/>
      <c r="AP365" s="3"/>
      <c r="AQ365" s="3"/>
      <c r="AR365" s="3" t="s">
        <v>78</v>
      </c>
      <c r="AS365" s="3">
        <v>2012</v>
      </c>
      <c r="AT365" s="3">
        <v>306</v>
      </c>
      <c r="AU365" s="3">
        <v>5</v>
      </c>
      <c r="AV365" s="3"/>
      <c r="AW365" s="3"/>
      <c r="AX365" s="3"/>
      <c r="AY365" s="3"/>
      <c r="AZ365" s="3">
        <v>96</v>
      </c>
      <c r="BA365" s="3">
        <v>96</v>
      </c>
      <c r="BB365" s="3"/>
      <c r="BC365" s="3" t="s">
        <v>845</v>
      </c>
      <c r="BD365" s="15" t="str">
        <f>HYPERLINK("http://dx.doi.org/10.1038/scientificamerican0512-96","http://dx.doi.org/10.1038/scientificamerican0512-96")</f>
        <v>http://dx.doi.org/10.1038/scientificamerican0512-96</v>
      </c>
      <c r="BE365" s="3"/>
      <c r="BF365" s="3"/>
      <c r="BG365" s="3"/>
      <c r="BH365" s="3"/>
      <c r="BI365" s="3">
        <v>22550934</v>
      </c>
      <c r="BJ365" s="3" t="s">
        <v>846</v>
      </c>
      <c r="BK365" s="3"/>
      <c r="BL365" s="3"/>
      <c r="BM365" s="3"/>
      <c r="BN365" s="3"/>
      <c r="BO365" s="3"/>
      <c r="BP365" s="3"/>
      <c r="BQ365" s="3"/>
      <c r="BR365" s="3"/>
      <c r="BS365" s="3"/>
      <c r="BT365" s="3"/>
      <c r="BU365" s="2" t="s">
        <v>7193</v>
      </c>
      <c r="BV365" s="2" t="s">
        <v>7188</v>
      </c>
      <c r="BW365" s="2" t="s">
        <v>7189</v>
      </c>
    </row>
    <row r="366" spans="1:75" ht="12.75" customHeight="1">
      <c r="A366" s="4" t="s">
        <v>63</v>
      </c>
      <c r="B366" s="4" t="s">
        <v>2379</v>
      </c>
      <c r="C366" s="4"/>
      <c r="D366" s="4"/>
      <c r="E366" s="4"/>
      <c r="F366" s="4" t="s">
        <v>2380</v>
      </c>
      <c r="G366" s="4"/>
      <c r="H366" s="4"/>
      <c r="I366" s="4" t="s">
        <v>2381</v>
      </c>
      <c r="J366" s="4" t="s">
        <v>2382</v>
      </c>
      <c r="K366" s="4"/>
      <c r="L366" s="4"/>
      <c r="M366" s="4"/>
      <c r="N366" s="4"/>
      <c r="O366" s="4"/>
      <c r="P366" s="4"/>
      <c r="Q366" s="4"/>
      <c r="R366" s="4"/>
      <c r="S366" s="4"/>
      <c r="T366" s="4" t="s">
        <v>2383</v>
      </c>
      <c r="U366" s="4"/>
      <c r="V366" s="4"/>
      <c r="W366" s="4"/>
      <c r="X366" s="4"/>
      <c r="Y366" s="4" t="s">
        <v>2057</v>
      </c>
      <c r="Z366" s="4" t="s">
        <v>2058</v>
      </c>
      <c r="AA366" s="4"/>
      <c r="AB366" s="4"/>
      <c r="AC366" s="4"/>
      <c r="AD366" s="4"/>
      <c r="AE366" s="4"/>
      <c r="AF366" s="4"/>
      <c r="AG366" s="4"/>
      <c r="AH366" s="4"/>
      <c r="AI366" s="4"/>
      <c r="AJ366" s="4"/>
      <c r="AK366" s="4"/>
      <c r="AL366" s="4"/>
      <c r="AM366" s="4"/>
      <c r="AN366" s="4" t="s">
        <v>2384</v>
      </c>
      <c r="AO366" s="4"/>
      <c r="AP366" s="4"/>
      <c r="AQ366" s="4"/>
      <c r="AR366" s="4" t="s">
        <v>2385</v>
      </c>
      <c r="AS366" s="4">
        <v>2016</v>
      </c>
      <c r="AT366" s="4">
        <v>16</v>
      </c>
      <c r="AU366" s="4"/>
      <c r="AV366" s="4"/>
      <c r="AW366" s="4"/>
      <c r="AX366" s="4"/>
      <c r="AY366" s="4"/>
      <c r="AZ366" s="4"/>
      <c r="BA366" s="4"/>
      <c r="BB366" s="4">
        <v>389</v>
      </c>
      <c r="BC366" s="4" t="s">
        <v>2386</v>
      </c>
      <c r="BD366" s="5" t="str">
        <f>HYPERLINK("http://dx.doi.org/10.1186/s12889-016-3074-1","http://dx.doi.org/10.1186/s12889-016-3074-1")</f>
        <v>http://dx.doi.org/10.1186/s12889-016-3074-1</v>
      </c>
      <c r="BE366" s="4"/>
      <c r="BF366" s="4"/>
      <c r="BG366" s="4"/>
      <c r="BH366" s="4"/>
      <c r="BI366" s="4">
        <v>27169514</v>
      </c>
      <c r="BJ366" s="4" t="s">
        <v>2387</v>
      </c>
      <c r="BK366" s="4"/>
      <c r="BL366" s="4"/>
      <c r="BM366" s="4"/>
      <c r="BN366" s="4"/>
      <c r="BO366" s="4"/>
      <c r="BP366" s="4"/>
      <c r="BQ366" s="4"/>
      <c r="BR366" s="4"/>
      <c r="BS366" s="4"/>
      <c r="BT366" s="4"/>
      <c r="BU366" s="12" t="s">
        <v>7203</v>
      </c>
      <c r="BV366" s="12" t="s">
        <v>7188</v>
      </c>
      <c r="BW366" s="12" t="s">
        <v>7189</v>
      </c>
    </row>
    <row r="367" spans="1:75" ht="12" customHeight="1">
      <c r="A367" s="6" t="s">
        <v>63</v>
      </c>
      <c r="B367" s="6" t="s">
        <v>1881</v>
      </c>
      <c r="C367" s="6"/>
      <c r="D367" s="6"/>
      <c r="E367" s="6"/>
      <c r="F367" s="6" t="s">
        <v>1882</v>
      </c>
      <c r="G367" s="6"/>
      <c r="H367" s="6"/>
      <c r="I367" s="6" t="s">
        <v>1883</v>
      </c>
      <c r="J367" s="6" t="s">
        <v>1884</v>
      </c>
      <c r="K367" s="6"/>
      <c r="L367" s="6"/>
      <c r="M367" s="6"/>
      <c r="N367" s="6"/>
      <c r="O367" s="6"/>
      <c r="P367" s="6"/>
      <c r="Q367" s="6"/>
      <c r="R367" s="6"/>
      <c r="S367" s="6"/>
      <c r="T367" s="6" t="s">
        <v>1885</v>
      </c>
      <c r="U367" s="6"/>
      <c r="V367" s="6"/>
      <c r="W367" s="6"/>
      <c r="X367" s="6"/>
      <c r="Y367" s="6" t="s">
        <v>1886</v>
      </c>
      <c r="Z367" s="6" t="s">
        <v>1887</v>
      </c>
      <c r="AA367" s="6"/>
      <c r="AB367" s="6"/>
      <c r="AC367" s="6"/>
      <c r="AD367" s="6"/>
      <c r="AE367" s="6"/>
      <c r="AF367" s="6"/>
      <c r="AG367" s="6"/>
      <c r="AH367" s="6"/>
      <c r="AI367" s="6"/>
      <c r="AJ367" s="6"/>
      <c r="AK367" s="6"/>
      <c r="AL367" s="6"/>
      <c r="AM367" s="6" t="s">
        <v>1888</v>
      </c>
      <c r="AN367" s="6" t="s">
        <v>1889</v>
      </c>
      <c r="AO367" s="6"/>
      <c r="AP367" s="6"/>
      <c r="AQ367" s="6"/>
      <c r="AR367" s="6" t="s">
        <v>92</v>
      </c>
      <c r="AS367" s="6">
        <v>2015</v>
      </c>
      <c r="AT367" s="6">
        <v>7</v>
      </c>
      <c r="AU367" s="6">
        <v>5</v>
      </c>
      <c r="AV367" s="6"/>
      <c r="AW367" s="6"/>
      <c r="AX367" s="6"/>
      <c r="AY367" s="6"/>
      <c r="AZ367" s="6">
        <v>1017</v>
      </c>
      <c r="BA367" s="6">
        <v>1029</v>
      </c>
      <c r="BB367" s="6"/>
      <c r="BC367" s="6" t="s">
        <v>1890</v>
      </c>
      <c r="BD367" s="9" t="str">
        <f>HYPERLINK("http://dx.doi.org/10.1007/s12571-015-0491-4","http://dx.doi.org/10.1007/s12571-015-0491-4")</f>
        <v>http://dx.doi.org/10.1007/s12571-015-0491-4</v>
      </c>
      <c r="BE367" s="6"/>
      <c r="BF367" s="6"/>
      <c r="BG367" s="6"/>
      <c r="BH367" s="6"/>
      <c r="BI367" s="6"/>
      <c r="BJ367" s="6" t="s">
        <v>1891</v>
      </c>
      <c r="BK367" s="6"/>
      <c r="BL367" s="6"/>
      <c r="BM367" s="6"/>
      <c r="BN367" s="6"/>
      <c r="BO367" s="6"/>
      <c r="BP367" s="6"/>
      <c r="BQ367" s="6"/>
      <c r="BR367" s="6"/>
      <c r="BS367" s="6"/>
      <c r="BT367" s="6"/>
      <c r="BU367" s="8" t="s">
        <v>7366</v>
      </c>
      <c r="BV367" s="8" t="s">
        <v>7300</v>
      </c>
      <c r="BW367" s="8" t="s">
        <v>7301</v>
      </c>
    </row>
    <row r="368" spans="1:75" ht="12.75" customHeight="1">
      <c r="A368" s="6" t="s">
        <v>63</v>
      </c>
      <c r="B368" s="6" t="s">
        <v>3616</v>
      </c>
      <c r="C368" s="6"/>
      <c r="D368" s="6"/>
      <c r="E368" s="6"/>
      <c r="F368" s="6" t="s">
        <v>3617</v>
      </c>
      <c r="G368" s="6"/>
      <c r="H368" s="6"/>
      <c r="I368" s="6" t="s">
        <v>5641</v>
      </c>
      <c r="J368" s="6" t="s">
        <v>2870</v>
      </c>
      <c r="K368" s="6"/>
      <c r="L368" s="6"/>
      <c r="M368" s="6"/>
      <c r="N368" s="6"/>
      <c r="O368" s="6"/>
      <c r="P368" s="6"/>
      <c r="Q368" s="6"/>
      <c r="R368" s="6"/>
      <c r="S368" s="6"/>
      <c r="T368" s="6"/>
      <c r="U368" s="6"/>
      <c r="V368" s="6"/>
      <c r="W368" s="6"/>
      <c r="X368" s="6"/>
      <c r="Y368" s="6" t="s">
        <v>3620</v>
      </c>
      <c r="Z368" s="6"/>
      <c r="AA368" s="6"/>
      <c r="AB368" s="6"/>
      <c r="AC368" s="6"/>
      <c r="AD368" s="6"/>
      <c r="AE368" s="6"/>
      <c r="AF368" s="6"/>
      <c r="AG368" s="6"/>
      <c r="AH368" s="6"/>
      <c r="AI368" s="6"/>
      <c r="AJ368" s="6"/>
      <c r="AK368" s="6"/>
      <c r="AL368" s="6"/>
      <c r="AM368" s="6" t="s">
        <v>2872</v>
      </c>
      <c r="AN368" s="6" t="s">
        <v>2873</v>
      </c>
      <c r="AO368" s="6"/>
      <c r="AP368" s="6"/>
      <c r="AQ368" s="6"/>
      <c r="AR368" s="6" t="s">
        <v>5642</v>
      </c>
      <c r="AS368" s="6">
        <v>2022</v>
      </c>
      <c r="AT368" s="6">
        <v>101</v>
      </c>
      <c r="AU368" s="6">
        <v>2</v>
      </c>
      <c r="AV368" s="6"/>
      <c r="AW368" s="6"/>
      <c r="AX368" s="6"/>
      <c r="AY368" s="6"/>
      <c r="AZ368" s="6"/>
      <c r="BA368" s="6"/>
      <c r="BB368" s="6"/>
      <c r="BC368" s="6" t="s">
        <v>5643</v>
      </c>
      <c r="BD368" s="9" t="str">
        <f>HYPERLINK("http://dx.doi.org/10.1093/sf/soac091","http://dx.doi.org/10.1093/sf/soac091")</f>
        <v>http://dx.doi.org/10.1093/sf/soac091</v>
      </c>
      <c r="BE368" s="6"/>
      <c r="BF368" s="6" t="s">
        <v>5568</v>
      </c>
      <c r="BG368" s="6"/>
      <c r="BH368" s="6"/>
      <c r="BI368" s="6"/>
      <c r="BJ368" s="6" t="s">
        <v>5644</v>
      </c>
      <c r="BK368" s="6"/>
      <c r="BL368" s="6"/>
      <c r="BM368" s="6"/>
      <c r="BN368" s="6"/>
      <c r="BO368" s="6"/>
      <c r="BP368" s="6"/>
      <c r="BQ368" s="6"/>
      <c r="BR368" s="6"/>
      <c r="BS368" s="6"/>
      <c r="BT368" s="6"/>
      <c r="BU368" s="8" t="s">
        <v>7193</v>
      </c>
      <c r="BV368" s="8" t="s">
        <v>7193</v>
      </c>
      <c r="BW368" s="8" t="s">
        <v>7193</v>
      </c>
    </row>
    <row r="369" spans="1:75" ht="12.75" customHeight="1">
      <c r="A369" s="3" t="s">
        <v>63</v>
      </c>
      <c r="B369" s="3" t="s">
        <v>4908</v>
      </c>
      <c r="C369" s="3"/>
      <c r="D369" s="3"/>
      <c r="E369" s="3"/>
      <c r="F369" s="3" t="s">
        <v>4909</v>
      </c>
      <c r="G369" s="3"/>
      <c r="H369" s="3"/>
      <c r="I369" s="3" t="s">
        <v>4910</v>
      </c>
      <c r="J369" s="3" t="s">
        <v>4911</v>
      </c>
      <c r="K369" s="3"/>
      <c r="L369" s="3"/>
      <c r="M369" s="3"/>
      <c r="N369" s="3"/>
      <c r="O369" s="3"/>
      <c r="P369" s="3"/>
      <c r="Q369" s="3"/>
      <c r="R369" s="3"/>
      <c r="S369" s="3"/>
      <c r="T369" s="3" t="s">
        <v>4912</v>
      </c>
      <c r="U369" s="3"/>
      <c r="V369" s="3"/>
      <c r="W369" s="3"/>
      <c r="X369" s="3"/>
      <c r="Y369" s="3" t="s">
        <v>4913</v>
      </c>
      <c r="Z369" s="3" t="s">
        <v>4914</v>
      </c>
      <c r="AA369" s="3"/>
      <c r="AB369" s="3"/>
      <c r="AC369" s="3"/>
      <c r="AD369" s="3"/>
      <c r="AE369" s="3"/>
      <c r="AF369" s="3"/>
      <c r="AG369" s="3"/>
      <c r="AH369" s="3"/>
      <c r="AI369" s="3"/>
      <c r="AJ369" s="3"/>
      <c r="AK369" s="3"/>
      <c r="AL369" s="3"/>
      <c r="AM369" s="3" t="s">
        <v>4915</v>
      </c>
      <c r="AN369" s="3" t="s">
        <v>4916</v>
      </c>
      <c r="AO369" s="3"/>
      <c r="AP369" s="3"/>
      <c r="AQ369" s="3"/>
      <c r="AR369" s="3" t="s">
        <v>173</v>
      </c>
      <c r="AS369" s="3">
        <v>2021</v>
      </c>
      <c r="AT369" s="3">
        <v>136</v>
      </c>
      <c r="AU369" s="3">
        <v>4</v>
      </c>
      <c r="AV369" s="3"/>
      <c r="AW369" s="3"/>
      <c r="AX369" s="3"/>
      <c r="AY369" s="3"/>
      <c r="AZ369" s="3">
        <v>457</v>
      </c>
      <c r="BA369" s="3">
        <v>465</v>
      </c>
      <c r="BB369" s="3">
        <v>333549211007152</v>
      </c>
      <c r="BC369" s="3" t="s">
        <v>4917</v>
      </c>
      <c r="BD369" s="15" t="str">
        <f>HYPERLINK("http://dx.doi.org/10.1177/00333549211007152","http://dx.doi.org/10.1177/00333549211007152")</f>
        <v>http://dx.doi.org/10.1177/00333549211007152</v>
      </c>
      <c r="BE369" s="3"/>
      <c r="BF369" s="3" t="s">
        <v>4861</v>
      </c>
      <c r="BG369" s="3"/>
      <c r="BH369" s="3"/>
      <c r="BI369" s="3">
        <v>33789530</v>
      </c>
      <c r="BJ369" s="3" t="s">
        <v>4918</v>
      </c>
      <c r="BK369" s="3"/>
      <c r="BL369" s="3"/>
      <c r="BM369" s="3"/>
      <c r="BN369" s="3"/>
      <c r="BO369" s="3"/>
      <c r="BP369" s="3"/>
      <c r="BQ369" s="3"/>
      <c r="BR369" s="3"/>
      <c r="BS369" s="3"/>
      <c r="BT369" s="3"/>
      <c r="BU369" s="1" t="s">
        <v>7222</v>
      </c>
      <c r="BV369" s="2" t="s">
        <v>7188</v>
      </c>
      <c r="BW369" s="2" t="s">
        <v>7189</v>
      </c>
    </row>
    <row r="370" spans="1:75" ht="12.75" customHeight="1">
      <c r="A370" s="4" t="s">
        <v>63</v>
      </c>
      <c r="B370" s="4" t="s">
        <v>2274</v>
      </c>
      <c r="C370" s="4"/>
      <c r="D370" s="4"/>
      <c r="E370" s="4"/>
      <c r="F370" s="4" t="s">
        <v>2275</v>
      </c>
      <c r="G370" s="4"/>
      <c r="H370" s="4"/>
      <c r="I370" s="4" t="s">
        <v>2926</v>
      </c>
      <c r="J370" s="4" t="s">
        <v>2927</v>
      </c>
      <c r="K370" s="4"/>
      <c r="L370" s="4"/>
      <c r="M370" s="4"/>
      <c r="N370" s="4"/>
      <c r="O370" s="4"/>
      <c r="P370" s="4"/>
      <c r="Q370" s="4"/>
      <c r="R370" s="4"/>
      <c r="S370" s="4"/>
      <c r="T370" s="4" t="s">
        <v>2928</v>
      </c>
      <c r="U370" s="4"/>
      <c r="V370" s="4"/>
      <c r="W370" s="4"/>
      <c r="X370" s="4"/>
      <c r="Y370" s="4"/>
      <c r="Z370" s="4"/>
      <c r="AA370" s="4"/>
      <c r="AB370" s="4"/>
      <c r="AC370" s="4"/>
      <c r="AD370" s="4"/>
      <c r="AE370" s="4"/>
      <c r="AF370" s="4"/>
      <c r="AG370" s="4"/>
      <c r="AH370" s="4"/>
      <c r="AI370" s="4"/>
      <c r="AJ370" s="4"/>
      <c r="AK370" s="4"/>
      <c r="AL370" s="4"/>
      <c r="AM370" s="4" t="s">
        <v>2929</v>
      </c>
      <c r="AN370" s="4"/>
      <c r="AO370" s="4"/>
      <c r="AP370" s="4"/>
      <c r="AQ370" s="4"/>
      <c r="AR370" s="4"/>
      <c r="AS370" s="4">
        <v>2017</v>
      </c>
      <c r="AT370" s="4">
        <v>10</v>
      </c>
      <c r="AU370" s="4">
        <v>1</v>
      </c>
      <c r="AV370" s="4"/>
      <c r="AW370" s="4"/>
      <c r="AX370" s="4"/>
      <c r="AY370" s="4"/>
      <c r="AZ370" s="4">
        <v>529</v>
      </c>
      <c r="BA370" s="4">
        <v>540</v>
      </c>
      <c r="BB370" s="4"/>
      <c r="BC370" s="4" t="s">
        <v>2930</v>
      </c>
      <c r="BD370" s="5" t="str">
        <f>HYPERLINK("http://dx.doi.org/10.5198/jtlu.2017.899","http://dx.doi.org/10.5198/jtlu.2017.899")</f>
        <v>http://dx.doi.org/10.5198/jtlu.2017.899</v>
      </c>
      <c r="BE370" s="4"/>
      <c r="BF370" s="4"/>
      <c r="BG370" s="4"/>
      <c r="BH370" s="4"/>
      <c r="BI370" s="4">
        <v>37928653</v>
      </c>
      <c r="BJ370" s="4" t="s">
        <v>2931</v>
      </c>
      <c r="BK370" s="4"/>
      <c r="BL370" s="4"/>
      <c r="BM370" s="4"/>
      <c r="BN370" s="4"/>
      <c r="BO370" s="4"/>
      <c r="BP370" s="4"/>
      <c r="BQ370" s="4"/>
      <c r="BR370" s="4"/>
      <c r="BS370" s="4"/>
      <c r="BT370" s="4"/>
      <c r="BU370" s="12" t="s">
        <v>7210</v>
      </c>
      <c r="BV370" s="12" t="s">
        <v>7188</v>
      </c>
      <c r="BW370" s="12" t="s">
        <v>7189</v>
      </c>
    </row>
    <row r="371" spans="1:75" ht="12.75" customHeight="1">
      <c r="A371" s="4" t="s">
        <v>63</v>
      </c>
      <c r="B371" s="4" t="s">
        <v>3818</v>
      </c>
      <c r="C371" s="4"/>
      <c r="D371" s="4"/>
      <c r="E371" s="4"/>
      <c r="F371" s="4" t="s">
        <v>3819</v>
      </c>
      <c r="G371" s="4"/>
      <c r="H371" s="4"/>
      <c r="I371" s="4" t="s">
        <v>3820</v>
      </c>
      <c r="J371" s="4" t="s">
        <v>3563</v>
      </c>
      <c r="K371" s="4"/>
      <c r="L371" s="4"/>
      <c r="M371" s="4"/>
      <c r="N371" s="4"/>
      <c r="O371" s="4"/>
      <c r="P371" s="4"/>
      <c r="Q371" s="4"/>
      <c r="R371" s="4"/>
      <c r="S371" s="4"/>
      <c r="T371" s="4" t="s">
        <v>3821</v>
      </c>
      <c r="U371" s="4"/>
      <c r="V371" s="4"/>
      <c r="W371" s="4"/>
      <c r="X371" s="4"/>
      <c r="Y371" s="4"/>
      <c r="Z371" s="4" t="s">
        <v>3822</v>
      </c>
      <c r="AA371" s="4"/>
      <c r="AB371" s="4"/>
      <c r="AC371" s="4"/>
      <c r="AD371" s="4"/>
      <c r="AE371" s="4"/>
      <c r="AF371" s="4"/>
      <c r="AG371" s="4"/>
      <c r="AH371" s="4"/>
      <c r="AI371" s="4"/>
      <c r="AJ371" s="4"/>
      <c r="AK371" s="4"/>
      <c r="AL371" s="4"/>
      <c r="AM371" s="4" t="s">
        <v>3567</v>
      </c>
      <c r="AN371" s="4"/>
      <c r="AO371" s="4"/>
      <c r="AP371" s="4"/>
      <c r="AQ371" s="4"/>
      <c r="AR371" s="4" t="s">
        <v>3823</v>
      </c>
      <c r="AS371" s="4">
        <v>2019</v>
      </c>
      <c r="AT371" s="4">
        <v>7</v>
      </c>
      <c r="AU371" s="4"/>
      <c r="AV371" s="4"/>
      <c r="AW371" s="4"/>
      <c r="AX371" s="4"/>
      <c r="AY371" s="4"/>
      <c r="AZ371" s="4"/>
      <c r="BA371" s="4"/>
      <c r="BB371" s="4">
        <v>78</v>
      </c>
      <c r="BC371" s="4" t="s">
        <v>3824</v>
      </c>
      <c r="BD371" s="5" t="str">
        <f>HYPERLINK("http://dx.doi.org/10.3389/fpubh.2019.00078","http://dx.doi.org/10.3389/fpubh.2019.00078")</f>
        <v>http://dx.doi.org/10.3389/fpubh.2019.00078</v>
      </c>
      <c r="BE371" s="4"/>
      <c r="BF371" s="4"/>
      <c r="BG371" s="4"/>
      <c r="BH371" s="4"/>
      <c r="BI371" s="4">
        <v>31024879</v>
      </c>
      <c r="BJ371" s="4" t="s">
        <v>3825</v>
      </c>
      <c r="BK371" s="4"/>
      <c r="BL371" s="4"/>
      <c r="BM371" s="4"/>
      <c r="BN371" s="4"/>
      <c r="BO371" s="4"/>
      <c r="BP371" s="4"/>
      <c r="BQ371" s="4"/>
      <c r="BR371" s="4"/>
      <c r="BS371" s="4"/>
      <c r="BT371" s="4"/>
      <c r="BU371" s="12" t="s">
        <v>7367</v>
      </c>
      <c r="BV371" s="12" t="s">
        <v>7188</v>
      </c>
      <c r="BW371" s="12" t="s">
        <v>7189</v>
      </c>
    </row>
    <row r="372" spans="1:75" ht="12.75" customHeight="1">
      <c r="A372" s="4" t="s">
        <v>63</v>
      </c>
      <c r="B372" s="4" t="s">
        <v>4919</v>
      </c>
      <c r="C372" s="4"/>
      <c r="D372" s="4"/>
      <c r="E372" s="4"/>
      <c r="F372" s="4" t="s">
        <v>4920</v>
      </c>
      <c r="G372" s="4"/>
      <c r="H372" s="4"/>
      <c r="I372" s="4" t="s">
        <v>4921</v>
      </c>
      <c r="J372" s="4" t="s">
        <v>4415</v>
      </c>
      <c r="K372" s="4"/>
      <c r="L372" s="4"/>
      <c r="M372" s="4"/>
      <c r="N372" s="4"/>
      <c r="O372" s="4"/>
      <c r="P372" s="4"/>
      <c r="Q372" s="4"/>
      <c r="R372" s="4"/>
      <c r="S372" s="4"/>
      <c r="T372" s="4" t="s">
        <v>4922</v>
      </c>
      <c r="U372" s="4"/>
      <c r="V372" s="4"/>
      <c r="W372" s="4"/>
      <c r="X372" s="4"/>
      <c r="Y372" s="4" t="s">
        <v>4417</v>
      </c>
      <c r="Z372" s="4" t="s">
        <v>4418</v>
      </c>
      <c r="AA372" s="4"/>
      <c r="AB372" s="4"/>
      <c r="AC372" s="4"/>
      <c r="AD372" s="4"/>
      <c r="AE372" s="4"/>
      <c r="AF372" s="4"/>
      <c r="AG372" s="4"/>
      <c r="AH372" s="4"/>
      <c r="AI372" s="4"/>
      <c r="AJ372" s="4"/>
      <c r="AK372" s="4"/>
      <c r="AL372" s="4"/>
      <c r="AM372" s="4"/>
      <c r="AN372" s="4" t="s">
        <v>4419</v>
      </c>
      <c r="AO372" s="4"/>
      <c r="AP372" s="4"/>
      <c r="AQ372" s="4"/>
      <c r="AR372" s="4" t="s">
        <v>65</v>
      </c>
      <c r="AS372" s="4">
        <v>2021</v>
      </c>
      <c r="AT372" s="4">
        <v>10</v>
      </c>
      <c r="AU372" s="4">
        <v>4</v>
      </c>
      <c r="AV372" s="4"/>
      <c r="AW372" s="4"/>
      <c r="AX372" s="4"/>
      <c r="AY372" s="4"/>
      <c r="AZ372" s="4">
        <v>317</v>
      </c>
      <c r="BA372" s="4">
        <v>323</v>
      </c>
      <c r="BB372" s="4"/>
      <c r="BC372" s="4" t="s">
        <v>4923</v>
      </c>
      <c r="BD372" s="5" t="str">
        <f>HYPERLINK("http://dx.doi.org/10.1007/s13668-021-00378-w","http://dx.doi.org/10.1007/s13668-021-00378-w")</f>
        <v>http://dx.doi.org/10.1007/s13668-021-00378-w</v>
      </c>
      <c r="BE372" s="4"/>
      <c r="BF372" s="4" t="s">
        <v>4924</v>
      </c>
      <c r="BG372" s="4"/>
      <c r="BH372" s="4"/>
      <c r="BI372" s="4">
        <v>34676506</v>
      </c>
      <c r="BJ372" s="4" t="s">
        <v>4925</v>
      </c>
      <c r="BK372" s="4"/>
      <c r="BL372" s="4"/>
      <c r="BM372" s="4"/>
      <c r="BN372" s="4"/>
      <c r="BO372" s="4"/>
      <c r="BP372" s="4"/>
      <c r="BQ372" s="4"/>
      <c r="BR372" s="4"/>
      <c r="BS372" s="4"/>
      <c r="BT372" s="4"/>
      <c r="BU372" s="12" t="s">
        <v>7201</v>
      </c>
      <c r="BV372" s="12" t="s">
        <v>7188</v>
      </c>
      <c r="BW372" s="12" t="s">
        <v>7189</v>
      </c>
    </row>
    <row r="373" spans="1:75" ht="12.75" customHeight="1">
      <c r="A373" s="3" t="s">
        <v>63</v>
      </c>
      <c r="B373" s="3" t="s">
        <v>3387</v>
      </c>
      <c r="C373" s="3"/>
      <c r="D373" s="3"/>
      <c r="E373" s="3"/>
      <c r="F373" s="3" t="s">
        <v>3389</v>
      </c>
      <c r="G373" s="3"/>
      <c r="H373" s="3"/>
      <c r="I373" s="3" t="s">
        <v>5645</v>
      </c>
      <c r="J373" s="3" t="s">
        <v>4256</v>
      </c>
      <c r="K373" s="3"/>
      <c r="L373" s="3"/>
      <c r="M373" s="3"/>
      <c r="N373" s="3"/>
      <c r="O373" s="3"/>
      <c r="P373" s="3"/>
      <c r="Q373" s="3"/>
      <c r="R373" s="3"/>
      <c r="S373" s="3"/>
      <c r="T373" s="3" t="s">
        <v>5646</v>
      </c>
      <c r="U373" s="3"/>
      <c r="V373" s="3"/>
      <c r="W373" s="3"/>
      <c r="X373" s="3"/>
      <c r="Y373" s="3" t="s">
        <v>3397</v>
      </c>
      <c r="Z373" s="3"/>
      <c r="AA373" s="3"/>
      <c r="AB373" s="3"/>
      <c r="AC373" s="3"/>
      <c r="AD373" s="3"/>
      <c r="AE373" s="3"/>
      <c r="AF373" s="3"/>
      <c r="AG373" s="3"/>
      <c r="AH373" s="3"/>
      <c r="AI373" s="3"/>
      <c r="AJ373" s="3"/>
      <c r="AK373" s="3"/>
      <c r="AL373" s="3"/>
      <c r="AM373" s="3" t="s">
        <v>4258</v>
      </c>
      <c r="AN373" s="3" t="s">
        <v>4259</v>
      </c>
      <c r="AO373" s="3"/>
      <c r="AP373" s="3"/>
      <c r="AQ373" s="3"/>
      <c r="AR373" s="3" t="s">
        <v>82</v>
      </c>
      <c r="AS373" s="3">
        <v>2022</v>
      </c>
      <c r="AT373" s="3">
        <v>78</v>
      </c>
      <c r="AU373" s="3"/>
      <c r="AV373" s="3"/>
      <c r="AW373" s="3"/>
      <c r="AX373" s="3"/>
      <c r="AY373" s="3"/>
      <c r="AZ373" s="3"/>
      <c r="BA373" s="3"/>
      <c r="BB373" s="3">
        <v>103627</v>
      </c>
      <c r="BC373" s="3" t="s">
        <v>5647</v>
      </c>
      <c r="BD373" s="15" t="str">
        <f>HYPERLINK("http://dx.doi.org/10.1016/j.scs.2021.103627","http://dx.doi.org/10.1016/j.scs.2021.103627")</f>
        <v>http://dx.doi.org/10.1016/j.scs.2021.103627</v>
      </c>
      <c r="BE373" s="3"/>
      <c r="BF373" s="3"/>
      <c r="BG373" s="3"/>
      <c r="BH373" s="3"/>
      <c r="BI373" s="3"/>
      <c r="BJ373" s="3" t="s">
        <v>5648</v>
      </c>
      <c r="BK373" s="3"/>
      <c r="BL373" s="3"/>
      <c r="BM373" s="3"/>
      <c r="BN373" s="3"/>
      <c r="BO373" s="3"/>
      <c r="BP373" s="3"/>
      <c r="BQ373" s="3"/>
      <c r="BR373" s="3"/>
      <c r="BS373" s="3"/>
      <c r="BT373" s="3"/>
      <c r="BU373" s="2" t="s">
        <v>7193</v>
      </c>
      <c r="BV373" s="2" t="s">
        <v>7188</v>
      </c>
      <c r="BW373" s="2" t="s">
        <v>7189</v>
      </c>
    </row>
    <row r="374" spans="1:75" ht="12.75" customHeight="1">
      <c r="A374" s="3" t="s">
        <v>63</v>
      </c>
      <c r="B374" s="3" t="s">
        <v>1130</v>
      </c>
      <c r="C374" s="3"/>
      <c r="D374" s="3"/>
      <c r="E374" s="3"/>
      <c r="F374" s="3" t="s">
        <v>1131</v>
      </c>
      <c r="G374" s="3"/>
      <c r="H374" s="3"/>
      <c r="I374" s="3" t="s">
        <v>1132</v>
      </c>
      <c r="J374" s="3" t="s">
        <v>177</v>
      </c>
      <c r="K374" s="3"/>
      <c r="L374" s="3"/>
      <c r="M374" s="3"/>
      <c r="N374" s="3" t="s">
        <v>1133</v>
      </c>
      <c r="O374" s="3" t="s">
        <v>1134</v>
      </c>
      <c r="P374" s="3" t="s">
        <v>1135</v>
      </c>
      <c r="Q374" s="3"/>
      <c r="R374" s="3"/>
      <c r="S374" s="3"/>
      <c r="T374" s="3"/>
      <c r="U374" s="3"/>
      <c r="V374" s="3"/>
      <c r="W374" s="3"/>
      <c r="X374" s="3"/>
      <c r="Y374" s="3"/>
      <c r="Z374" s="3" t="s">
        <v>961</v>
      </c>
      <c r="AA374" s="3"/>
      <c r="AB374" s="3"/>
      <c r="AC374" s="3"/>
      <c r="AD374" s="3"/>
      <c r="AE374" s="3"/>
      <c r="AF374" s="3"/>
      <c r="AG374" s="3"/>
      <c r="AH374" s="3"/>
      <c r="AI374" s="3"/>
      <c r="AJ374" s="3"/>
      <c r="AK374" s="3"/>
      <c r="AL374" s="3"/>
      <c r="AM374" s="3" t="s">
        <v>179</v>
      </c>
      <c r="AN374" s="3" t="s">
        <v>1136</v>
      </c>
      <c r="AO374" s="3"/>
      <c r="AP374" s="3"/>
      <c r="AQ374" s="3"/>
      <c r="AR374" s="3" t="s">
        <v>92</v>
      </c>
      <c r="AS374" s="3">
        <v>2013</v>
      </c>
      <c r="AT374" s="3">
        <v>95</v>
      </c>
      <c r="AU374" s="3">
        <v>5</v>
      </c>
      <c r="AV374" s="3"/>
      <c r="AW374" s="3"/>
      <c r="AX374" s="3"/>
      <c r="AY374" s="3"/>
      <c r="AZ374" s="3">
        <v>1259</v>
      </c>
      <c r="BA374" s="3">
        <v>1265</v>
      </c>
      <c r="BB374" s="3"/>
      <c r="BC374" s="3" t="s">
        <v>1137</v>
      </c>
      <c r="BD374" s="15" t="str">
        <f>HYPERLINK("http://dx.doi.org/10.1093/ajae/aat029","http://dx.doi.org/10.1093/ajae/aat029")</f>
        <v>http://dx.doi.org/10.1093/ajae/aat029</v>
      </c>
      <c r="BE374" s="3"/>
      <c r="BF374" s="3"/>
      <c r="BG374" s="3"/>
      <c r="BH374" s="3"/>
      <c r="BI374" s="3"/>
      <c r="BJ374" s="3" t="s">
        <v>1138</v>
      </c>
      <c r="BK374" s="3"/>
      <c r="BL374" s="3"/>
      <c r="BM374" s="3"/>
      <c r="BN374" s="3"/>
      <c r="BO374" s="3"/>
      <c r="BP374" s="3"/>
      <c r="BQ374" s="3"/>
      <c r="BR374" s="3"/>
      <c r="BS374" s="3"/>
      <c r="BT374" s="3"/>
      <c r="BU374" s="2" t="s">
        <v>7193</v>
      </c>
      <c r="BV374" s="2" t="s">
        <v>7188</v>
      </c>
      <c r="BW374" s="2" t="s">
        <v>7189</v>
      </c>
    </row>
    <row r="375" spans="1:75" ht="12.75" customHeight="1">
      <c r="A375" s="4" t="s">
        <v>63</v>
      </c>
      <c r="B375" s="4" t="s">
        <v>147</v>
      </c>
      <c r="C375" s="4"/>
      <c r="D375" s="4"/>
      <c r="E375" s="4"/>
      <c r="F375" s="4" t="s">
        <v>147</v>
      </c>
      <c r="G375" s="4"/>
      <c r="H375" s="4"/>
      <c r="I375" s="4" t="s">
        <v>148</v>
      </c>
      <c r="J375" s="4" t="s">
        <v>149</v>
      </c>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t="s">
        <v>150</v>
      </c>
      <c r="AN375" s="4"/>
      <c r="AO375" s="4"/>
      <c r="AP375" s="4"/>
      <c r="AQ375" s="4"/>
      <c r="AR375" s="4" t="s">
        <v>65</v>
      </c>
      <c r="AS375" s="4">
        <v>2004</v>
      </c>
      <c r="AT375" s="4">
        <v>14</v>
      </c>
      <c r="AU375" s="4">
        <v>4</v>
      </c>
      <c r="AV375" s="4"/>
      <c r="AW375" s="4" t="s">
        <v>151</v>
      </c>
      <c r="AX375" s="4"/>
      <c r="AY375" s="4"/>
      <c r="AZ375" s="4">
        <v>34</v>
      </c>
      <c r="BA375" s="4">
        <v>34</v>
      </c>
      <c r="BB375" s="4"/>
      <c r="BC375" s="4"/>
      <c r="BD375" s="4"/>
      <c r="BE375" s="4"/>
      <c r="BF375" s="4"/>
      <c r="BG375" s="4"/>
      <c r="BH375" s="4"/>
      <c r="BI375" s="4"/>
      <c r="BJ375" s="4" t="s">
        <v>152</v>
      </c>
      <c r="BK375" s="4"/>
      <c r="BL375" s="4"/>
      <c r="BM375" s="4"/>
      <c r="BN375" s="4"/>
      <c r="BO375" s="4"/>
      <c r="BP375" s="4"/>
      <c r="BQ375" s="4"/>
      <c r="BR375" s="4"/>
      <c r="BS375" s="4"/>
      <c r="BT375" s="4"/>
      <c r="BU375" s="12" t="s">
        <v>7193</v>
      </c>
      <c r="BV375" s="12" t="s">
        <v>7193</v>
      </c>
      <c r="BW375" s="12" t="s">
        <v>7193</v>
      </c>
    </row>
    <row r="376" spans="1:75" ht="12.75" customHeight="1">
      <c r="A376" s="3" t="s">
        <v>63</v>
      </c>
      <c r="B376" s="3" t="s">
        <v>4926</v>
      </c>
      <c r="C376" s="3"/>
      <c r="D376" s="3"/>
      <c r="E376" s="3"/>
      <c r="F376" s="3" t="s">
        <v>4927</v>
      </c>
      <c r="G376" s="3"/>
      <c r="H376" s="3"/>
      <c r="I376" s="3" t="s">
        <v>4928</v>
      </c>
      <c r="J376" s="3" t="s">
        <v>2382</v>
      </c>
      <c r="K376" s="3"/>
      <c r="L376" s="3"/>
      <c r="M376" s="3"/>
      <c r="N376" s="3"/>
      <c r="O376" s="3"/>
      <c r="P376" s="3"/>
      <c r="Q376" s="3"/>
      <c r="R376" s="3"/>
      <c r="S376" s="3"/>
      <c r="T376" s="3" t="s">
        <v>4929</v>
      </c>
      <c r="U376" s="3"/>
      <c r="V376" s="3"/>
      <c r="W376" s="3"/>
      <c r="X376" s="3"/>
      <c r="Y376" s="3" t="s">
        <v>4930</v>
      </c>
      <c r="Z376" s="3" t="s">
        <v>4931</v>
      </c>
      <c r="AA376" s="3"/>
      <c r="AB376" s="3"/>
      <c r="AC376" s="3"/>
      <c r="AD376" s="3"/>
      <c r="AE376" s="3"/>
      <c r="AF376" s="3"/>
      <c r="AG376" s="3"/>
      <c r="AH376" s="3"/>
      <c r="AI376" s="3"/>
      <c r="AJ376" s="3"/>
      <c r="AK376" s="3"/>
      <c r="AL376" s="3"/>
      <c r="AM376" s="3"/>
      <c r="AN376" s="3" t="s">
        <v>2384</v>
      </c>
      <c r="AO376" s="3"/>
      <c r="AP376" s="3"/>
      <c r="AQ376" s="3"/>
      <c r="AR376" s="3" t="s">
        <v>4932</v>
      </c>
      <c r="AS376" s="3">
        <v>2021</v>
      </c>
      <c r="AT376" s="3">
        <v>21</v>
      </c>
      <c r="AU376" s="3">
        <v>1</v>
      </c>
      <c r="AV376" s="3"/>
      <c r="AW376" s="3"/>
      <c r="AX376" s="3"/>
      <c r="AY376" s="3"/>
      <c r="AZ376" s="3"/>
      <c r="BA376" s="3"/>
      <c r="BB376" s="3">
        <v>1459</v>
      </c>
      <c r="BC376" s="3" t="s">
        <v>4933</v>
      </c>
      <c r="BD376" s="15" t="str">
        <f>HYPERLINK("http://dx.doi.org/10.1186/s12889-021-11509-x","http://dx.doi.org/10.1186/s12889-021-11509-x")</f>
        <v>http://dx.doi.org/10.1186/s12889-021-11509-x</v>
      </c>
      <c r="BE376" s="3"/>
      <c r="BF376" s="3"/>
      <c r="BG376" s="3"/>
      <c r="BH376" s="3"/>
      <c r="BI376" s="3">
        <v>34315470</v>
      </c>
      <c r="BJ376" s="3" t="s">
        <v>4934</v>
      </c>
      <c r="BK376" s="3"/>
      <c r="BL376" s="3"/>
      <c r="BM376" s="3"/>
      <c r="BN376" s="3"/>
      <c r="BO376" s="3"/>
      <c r="BP376" s="3"/>
      <c r="BQ376" s="3"/>
      <c r="BR376" s="3"/>
      <c r="BS376" s="3"/>
      <c r="BT376" s="3"/>
      <c r="BU376" s="2" t="s">
        <v>7201</v>
      </c>
      <c r="BV376" s="2" t="s">
        <v>7188</v>
      </c>
      <c r="BW376" s="2" t="s">
        <v>7189</v>
      </c>
    </row>
    <row r="377" spans="1:75" ht="12.75" customHeight="1">
      <c r="A377" s="3" t="s">
        <v>63</v>
      </c>
      <c r="B377" s="3" t="s">
        <v>4935</v>
      </c>
      <c r="C377" s="3"/>
      <c r="D377" s="3"/>
      <c r="E377" s="3"/>
      <c r="F377" s="3" t="s">
        <v>4936</v>
      </c>
      <c r="G377" s="3"/>
      <c r="H377" s="3"/>
      <c r="I377" s="3" t="s">
        <v>4937</v>
      </c>
      <c r="J377" s="3" t="s">
        <v>4938</v>
      </c>
      <c r="K377" s="3"/>
      <c r="L377" s="3"/>
      <c r="M377" s="3"/>
      <c r="N377" s="3"/>
      <c r="O377" s="3"/>
      <c r="P377" s="3"/>
      <c r="Q377" s="3"/>
      <c r="R377" s="3"/>
      <c r="S377" s="3"/>
      <c r="T377" s="3" t="s">
        <v>4939</v>
      </c>
      <c r="U377" s="3"/>
      <c r="V377" s="3"/>
      <c r="W377" s="3"/>
      <c r="X377" s="3"/>
      <c r="Y377" s="3"/>
      <c r="Z377" s="3"/>
      <c r="AA377" s="3"/>
      <c r="AB377" s="3"/>
      <c r="AC377" s="3"/>
      <c r="AD377" s="3"/>
      <c r="AE377" s="3"/>
      <c r="AF377" s="3"/>
      <c r="AG377" s="3"/>
      <c r="AH377" s="3"/>
      <c r="AI377" s="3"/>
      <c r="AJ377" s="3"/>
      <c r="AK377" s="3"/>
      <c r="AL377" s="3"/>
      <c r="AM377" s="3" t="s">
        <v>4940</v>
      </c>
      <c r="AN377" s="3" t="s">
        <v>4941</v>
      </c>
      <c r="AO377" s="3"/>
      <c r="AP377" s="3"/>
      <c r="AQ377" s="3"/>
      <c r="AR377" s="3" t="s">
        <v>65</v>
      </c>
      <c r="AS377" s="3">
        <v>2021</v>
      </c>
      <c r="AT377" s="3">
        <v>36</v>
      </c>
      <c r="AU377" s="3">
        <v>6</v>
      </c>
      <c r="AV377" s="3"/>
      <c r="AW377" s="3"/>
      <c r="AX377" s="3"/>
      <c r="AY377" s="3"/>
      <c r="AZ377" s="3">
        <v>1795</v>
      </c>
      <c r="BA377" s="3">
        <v>1805</v>
      </c>
      <c r="BB377" s="3"/>
      <c r="BC377" s="3" t="s">
        <v>4942</v>
      </c>
      <c r="BD377" s="15" t="str">
        <f>HYPERLINK("http://dx.doi.org/10.1093/heapro/daab021","http://dx.doi.org/10.1093/heapro/daab021")</f>
        <v>http://dx.doi.org/10.1093/heapro/daab021</v>
      </c>
      <c r="BE377" s="3"/>
      <c r="BF377" s="3" t="s">
        <v>4861</v>
      </c>
      <c r="BG377" s="3"/>
      <c r="BH377" s="3"/>
      <c r="BI377" s="3">
        <v>33661307</v>
      </c>
      <c r="BJ377" s="3" t="s">
        <v>4943</v>
      </c>
      <c r="BK377" s="3"/>
      <c r="BL377" s="3"/>
      <c r="BM377" s="3"/>
      <c r="BN377" s="3"/>
      <c r="BO377" s="3"/>
      <c r="BP377" s="3"/>
      <c r="BQ377" s="3"/>
      <c r="BR377" s="3"/>
      <c r="BS377" s="3"/>
      <c r="BT377" s="3"/>
      <c r="BU377" s="1" t="s">
        <v>7368</v>
      </c>
      <c r="BV377" s="1" t="s">
        <v>7369</v>
      </c>
      <c r="BW377" s="1" t="s">
        <v>7301</v>
      </c>
    </row>
    <row r="378" spans="1:75" ht="12.75" customHeight="1">
      <c r="A378" s="6" t="s">
        <v>63</v>
      </c>
      <c r="B378" s="6" t="s">
        <v>1470</v>
      </c>
      <c r="C378" s="6"/>
      <c r="D378" s="6"/>
      <c r="E378" s="6"/>
      <c r="F378" s="6" t="s">
        <v>1471</v>
      </c>
      <c r="G378" s="6"/>
      <c r="H378" s="6"/>
      <c r="I378" s="6" t="s">
        <v>1472</v>
      </c>
      <c r="J378" s="6" t="s">
        <v>166</v>
      </c>
      <c r="K378" s="6"/>
      <c r="L378" s="6"/>
      <c r="M378" s="6"/>
      <c r="N378" s="6"/>
      <c r="O378" s="6"/>
      <c r="P378" s="6"/>
      <c r="Q378" s="6"/>
      <c r="R378" s="6"/>
      <c r="S378" s="6"/>
      <c r="T378" s="6" t="s">
        <v>1473</v>
      </c>
      <c r="U378" s="6"/>
      <c r="V378" s="6"/>
      <c r="W378" s="6"/>
      <c r="X378" s="6"/>
      <c r="Y378" s="6"/>
      <c r="Z378" s="6" t="s">
        <v>1474</v>
      </c>
      <c r="AA378" s="6"/>
      <c r="AB378" s="6"/>
      <c r="AC378" s="6"/>
      <c r="AD378" s="6"/>
      <c r="AE378" s="6"/>
      <c r="AF378" s="6"/>
      <c r="AG378" s="6"/>
      <c r="AH378" s="6"/>
      <c r="AI378" s="6"/>
      <c r="AJ378" s="6"/>
      <c r="AK378" s="6"/>
      <c r="AL378" s="6"/>
      <c r="AM378" s="6" t="s">
        <v>170</v>
      </c>
      <c r="AN378" s="6" t="s">
        <v>945</v>
      </c>
      <c r="AO378" s="6"/>
      <c r="AP378" s="6"/>
      <c r="AQ378" s="6"/>
      <c r="AR378" s="6" t="s">
        <v>1475</v>
      </c>
      <c r="AS378" s="6">
        <v>2014</v>
      </c>
      <c r="AT378" s="6">
        <v>79</v>
      </c>
      <c r="AU378" s="6"/>
      <c r="AV378" s="6"/>
      <c r="AW378" s="6"/>
      <c r="AX378" s="6"/>
      <c r="AY378" s="6"/>
      <c r="AZ378" s="6">
        <v>58</v>
      </c>
      <c r="BA378" s="6">
        <v>67</v>
      </c>
      <c r="BB378" s="6"/>
      <c r="BC378" s="6" t="s">
        <v>1476</v>
      </c>
      <c r="BD378" s="9" t="str">
        <f>HYPERLINK("http://dx.doi.org/10.1016/j.appet.2014.03.026","http://dx.doi.org/10.1016/j.appet.2014.03.026")</f>
        <v>http://dx.doi.org/10.1016/j.appet.2014.03.026</v>
      </c>
      <c r="BE378" s="6"/>
      <c r="BF378" s="6"/>
      <c r="BG378" s="6"/>
      <c r="BH378" s="6"/>
      <c r="BI378" s="6">
        <v>24727100</v>
      </c>
      <c r="BJ378" s="6" t="s">
        <v>1477</v>
      </c>
      <c r="BK378" s="6"/>
      <c r="BL378" s="6"/>
      <c r="BM378" s="6"/>
      <c r="BN378" s="6"/>
      <c r="BO378" s="6"/>
      <c r="BP378" s="6"/>
      <c r="BQ378" s="6"/>
      <c r="BR378" s="6"/>
      <c r="BS378" s="6"/>
      <c r="BT378" s="6"/>
      <c r="BU378" s="8" t="s">
        <v>7193</v>
      </c>
      <c r="BV378" s="8" t="s">
        <v>7188</v>
      </c>
      <c r="BW378" s="8" t="s">
        <v>7189</v>
      </c>
    </row>
    <row r="379" spans="1:75" ht="12.75" customHeight="1">
      <c r="A379" s="4" t="s">
        <v>63</v>
      </c>
      <c r="B379" s="4" t="s">
        <v>3371</v>
      </c>
      <c r="C379" s="4"/>
      <c r="D379" s="4"/>
      <c r="E379" s="4"/>
      <c r="F379" s="4" t="s">
        <v>3372</v>
      </c>
      <c r="G379" s="4"/>
      <c r="H379" s="4"/>
      <c r="I379" s="4" t="s">
        <v>3373</v>
      </c>
      <c r="J379" s="4" t="s">
        <v>3374</v>
      </c>
      <c r="K379" s="4"/>
      <c r="L379" s="4"/>
      <c r="M379" s="4"/>
      <c r="N379" s="4"/>
      <c r="O379" s="4"/>
      <c r="P379" s="4"/>
      <c r="Q379" s="4"/>
      <c r="R379" s="4"/>
      <c r="S379" s="4"/>
      <c r="T379" s="4" t="s">
        <v>3375</v>
      </c>
      <c r="U379" s="4"/>
      <c r="V379" s="4"/>
      <c r="W379" s="4"/>
      <c r="X379" s="4"/>
      <c r="Y379" s="4"/>
      <c r="Z379" s="4" t="s">
        <v>3376</v>
      </c>
      <c r="AA379" s="4"/>
      <c r="AB379" s="4"/>
      <c r="AC379" s="4"/>
      <c r="AD379" s="4"/>
      <c r="AE379" s="4"/>
      <c r="AF379" s="4"/>
      <c r="AG379" s="4"/>
      <c r="AH379" s="4"/>
      <c r="AI379" s="4"/>
      <c r="AJ379" s="4"/>
      <c r="AK379" s="4"/>
      <c r="AL379" s="4"/>
      <c r="AM379" s="4"/>
      <c r="AN379" s="4" t="s">
        <v>3377</v>
      </c>
      <c r="AO379" s="4"/>
      <c r="AP379" s="4"/>
      <c r="AQ379" s="4"/>
      <c r="AR379" s="4" t="s">
        <v>65</v>
      </c>
      <c r="AS379" s="4">
        <v>2018</v>
      </c>
      <c r="AT379" s="4">
        <v>10</v>
      </c>
      <c r="AU379" s="4">
        <v>12</v>
      </c>
      <c r="AV379" s="4"/>
      <c r="AW379" s="4"/>
      <c r="AX379" s="4"/>
      <c r="AY379" s="4"/>
      <c r="AZ379" s="4"/>
      <c r="BA379" s="4"/>
      <c r="BB379" s="4">
        <v>4425</v>
      </c>
      <c r="BC379" s="4" t="s">
        <v>3378</v>
      </c>
      <c r="BD379" s="5" t="str">
        <f>HYPERLINK("http://dx.doi.org/10.3390/su10124425","http://dx.doi.org/10.3390/su10124425")</f>
        <v>http://dx.doi.org/10.3390/su10124425</v>
      </c>
      <c r="BE379" s="4"/>
      <c r="BF379" s="4"/>
      <c r="BG379" s="4"/>
      <c r="BH379" s="4"/>
      <c r="BI379" s="4"/>
      <c r="BJ379" s="4" t="s">
        <v>3379</v>
      </c>
      <c r="BK379" s="4"/>
      <c r="BL379" s="4"/>
      <c r="BM379" s="4"/>
      <c r="BN379" s="4"/>
      <c r="BO379" s="4"/>
      <c r="BP379" s="4"/>
      <c r="BQ379" s="4"/>
      <c r="BR379" s="4"/>
      <c r="BS379" s="4"/>
      <c r="BT379" s="4"/>
      <c r="BU379" s="12" t="s">
        <v>7193</v>
      </c>
      <c r="BV379" s="12" t="s">
        <v>7193</v>
      </c>
      <c r="BW379" s="12" t="s">
        <v>7228</v>
      </c>
    </row>
    <row r="380" spans="1:75" ht="12.75" customHeight="1">
      <c r="A380" s="4" t="s">
        <v>63</v>
      </c>
      <c r="B380" s="4" t="s">
        <v>1139</v>
      </c>
      <c r="C380" s="4"/>
      <c r="D380" s="4"/>
      <c r="E380" s="4"/>
      <c r="F380" s="4" t="s">
        <v>1140</v>
      </c>
      <c r="G380" s="4"/>
      <c r="H380" s="4"/>
      <c r="I380" s="4" t="s">
        <v>1141</v>
      </c>
      <c r="J380" s="4" t="s">
        <v>1142</v>
      </c>
      <c r="K380" s="4"/>
      <c r="L380" s="4"/>
      <c r="M380" s="4"/>
      <c r="N380" s="4"/>
      <c r="O380" s="4"/>
      <c r="P380" s="4"/>
      <c r="Q380" s="4"/>
      <c r="R380" s="4"/>
      <c r="S380" s="4"/>
      <c r="T380" s="4" t="s">
        <v>1143</v>
      </c>
      <c r="U380" s="4"/>
      <c r="V380" s="4"/>
      <c r="W380" s="4"/>
      <c r="X380" s="4"/>
      <c r="Y380" s="4"/>
      <c r="Z380" s="4"/>
      <c r="AA380" s="4"/>
      <c r="AB380" s="4"/>
      <c r="AC380" s="4"/>
      <c r="AD380" s="4"/>
      <c r="AE380" s="4"/>
      <c r="AF380" s="4"/>
      <c r="AG380" s="4"/>
      <c r="AH380" s="4"/>
      <c r="AI380" s="4"/>
      <c r="AJ380" s="4"/>
      <c r="AK380" s="4"/>
      <c r="AL380" s="4"/>
      <c r="AM380" s="4" t="s">
        <v>1144</v>
      </c>
      <c r="AN380" s="4"/>
      <c r="AO380" s="4"/>
      <c r="AP380" s="4"/>
      <c r="AQ380" s="4"/>
      <c r="AR380" s="4" t="s">
        <v>121</v>
      </c>
      <c r="AS380" s="4">
        <v>2013</v>
      </c>
      <c r="AT380" s="4">
        <v>10</v>
      </c>
      <c r="AU380" s="4">
        <v>8</v>
      </c>
      <c r="AV380" s="4"/>
      <c r="AW380" s="4"/>
      <c r="AX380" s="4"/>
      <c r="AY380" s="4"/>
      <c r="AZ380" s="4">
        <v>3634</v>
      </c>
      <c r="BA380" s="4">
        <v>3652</v>
      </c>
      <c r="BB380" s="4"/>
      <c r="BC380" s="4" t="s">
        <v>1145</v>
      </c>
      <c r="BD380" s="5" t="str">
        <f>HYPERLINK("http://dx.doi.org/10.3390/ijerph10083634","http://dx.doi.org/10.3390/ijerph10083634")</f>
        <v>http://dx.doi.org/10.3390/ijerph10083634</v>
      </c>
      <c r="BE380" s="4"/>
      <c r="BF380" s="4"/>
      <c r="BG380" s="4"/>
      <c r="BH380" s="4"/>
      <c r="BI380" s="4">
        <v>23955239</v>
      </c>
      <c r="BJ380" s="4" t="s">
        <v>1146</v>
      </c>
      <c r="BK380" s="4"/>
      <c r="BL380" s="4"/>
      <c r="BM380" s="4"/>
      <c r="BN380" s="4"/>
      <c r="BO380" s="4"/>
      <c r="BP380" s="4"/>
      <c r="BQ380" s="4"/>
      <c r="BR380" s="4"/>
      <c r="BS380" s="4"/>
      <c r="BT380" s="4"/>
      <c r="BU380" s="12" t="s">
        <v>7193</v>
      </c>
      <c r="BV380" s="12" t="s">
        <v>7193</v>
      </c>
      <c r="BW380" s="12" t="s">
        <v>7370</v>
      </c>
    </row>
    <row r="381" spans="1:75" ht="12.75" customHeight="1">
      <c r="A381" s="4" t="s">
        <v>63</v>
      </c>
      <c r="B381" s="4" t="s">
        <v>6279</v>
      </c>
      <c r="C381" s="4"/>
      <c r="D381" s="4"/>
      <c r="E381" s="4"/>
      <c r="F381" s="4" t="s">
        <v>6280</v>
      </c>
      <c r="G381" s="4"/>
      <c r="H381" s="4"/>
      <c r="I381" s="4" t="s">
        <v>6281</v>
      </c>
      <c r="J381" s="4" t="s">
        <v>4415</v>
      </c>
      <c r="K381" s="4"/>
      <c r="L381" s="4"/>
      <c r="M381" s="4"/>
      <c r="N381" s="4"/>
      <c r="O381" s="4"/>
      <c r="P381" s="4"/>
      <c r="Q381" s="4"/>
      <c r="R381" s="4"/>
      <c r="S381" s="4"/>
      <c r="T381" s="4" t="s">
        <v>6282</v>
      </c>
      <c r="U381" s="4"/>
      <c r="V381" s="4"/>
      <c r="W381" s="4"/>
      <c r="X381" s="4"/>
      <c r="Y381" s="4"/>
      <c r="Z381" s="4"/>
      <c r="AA381" s="4"/>
      <c r="AB381" s="4"/>
      <c r="AC381" s="4"/>
      <c r="AD381" s="4"/>
      <c r="AE381" s="4"/>
      <c r="AF381" s="4"/>
      <c r="AG381" s="4"/>
      <c r="AH381" s="4"/>
      <c r="AI381" s="4"/>
      <c r="AJ381" s="4"/>
      <c r="AK381" s="4"/>
      <c r="AL381" s="4"/>
      <c r="AM381" s="4"/>
      <c r="AN381" s="4" t="s">
        <v>4419</v>
      </c>
      <c r="AO381" s="4"/>
      <c r="AP381" s="4"/>
      <c r="AQ381" s="4"/>
      <c r="AR381" s="4" t="s">
        <v>65</v>
      </c>
      <c r="AS381" s="4">
        <v>2023</v>
      </c>
      <c r="AT381" s="4">
        <v>12</v>
      </c>
      <c r="AU381" s="4">
        <v>4</v>
      </c>
      <c r="AV381" s="4"/>
      <c r="AW381" s="4"/>
      <c r="AX381" s="4"/>
      <c r="AY381" s="4"/>
      <c r="AZ381" s="4">
        <v>594</v>
      </c>
      <c r="BA381" s="4">
        <v>602</v>
      </c>
      <c r="BB381" s="4"/>
      <c r="BC381" s="4" t="s">
        <v>6283</v>
      </c>
      <c r="BD381" s="5" t="str">
        <f>HYPERLINK("http://dx.doi.org/10.1007/s13668-023-00499-4","http://dx.doi.org/10.1007/s13668-023-00499-4")</f>
        <v>http://dx.doi.org/10.1007/s13668-023-00499-4</v>
      </c>
      <c r="BE381" s="4"/>
      <c r="BF381" s="4" t="s">
        <v>6154</v>
      </c>
      <c r="BG381" s="4"/>
      <c r="BH381" s="4"/>
      <c r="BI381" s="4">
        <v>37921918</v>
      </c>
      <c r="BJ381" s="4" t="s">
        <v>6284</v>
      </c>
      <c r="BK381" s="4"/>
      <c r="BL381" s="4"/>
      <c r="BM381" s="4"/>
      <c r="BN381" s="4"/>
      <c r="BO381" s="4"/>
      <c r="BP381" s="4"/>
      <c r="BQ381" s="4"/>
      <c r="BR381" s="4"/>
      <c r="BS381" s="4"/>
      <c r="BT381" s="4"/>
      <c r="BU381" s="12" t="s">
        <v>7201</v>
      </c>
      <c r="BV381" s="12" t="s">
        <v>7188</v>
      </c>
      <c r="BW381" s="12" t="s">
        <v>7189</v>
      </c>
    </row>
    <row r="382" spans="1:75" ht="12.75" customHeight="1">
      <c r="A382" s="6" t="s">
        <v>63</v>
      </c>
      <c r="B382" s="6" t="s">
        <v>2932</v>
      </c>
      <c r="C382" s="6"/>
      <c r="D382" s="6"/>
      <c r="E382" s="6"/>
      <c r="F382" s="6" t="s">
        <v>2933</v>
      </c>
      <c r="G382" s="6"/>
      <c r="H382" s="6"/>
      <c r="I382" s="6" t="s">
        <v>2934</v>
      </c>
      <c r="J382" s="6" t="s">
        <v>396</v>
      </c>
      <c r="K382" s="6"/>
      <c r="L382" s="6"/>
      <c r="M382" s="6"/>
      <c r="N382" s="6"/>
      <c r="O382" s="6"/>
      <c r="P382" s="6"/>
      <c r="Q382" s="6"/>
      <c r="R382" s="6"/>
      <c r="S382" s="6"/>
      <c r="T382" s="6" t="s">
        <v>2935</v>
      </c>
      <c r="U382" s="6"/>
      <c r="V382" s="6"/>
      <c r="W382" s="6"/>
      <c r="X382" s="6"/>
      <c r="Y382" s="6"/>
      <c r="Z382" s="6" t="s">
        <v>2936</v>
      </c>
      <c r="AA382" s="6"/>
      <c r="AB382" s="6"/>
      <c r="AC382" s="6"/>
      <c r="AD382" s="6"/>
      <c r="AE382" s="6"/>
      <c r="AF382" s="6"/>
      <c r="AG382" s="6"/>
      <c r="AH382" s="6"/>
      <c r="AI382" s="6"/>
      <c r="AJ382" s="6"/>
      <c r="AK382" s="6"/>
      <c r="AL382" s="6"/>
      <c r="AM382" s="6" t="s">
        <v>398</v>
      </c>
      <c r="AN382" s="6" t="s">
        <v>399</v>
      </c>
      <c r="AO382" s="6"/>
      <c r="AP382" s="6"/>
      <c r="AQ382" s="6"/>
      <c r="AR382" s="6" t="s">
        <v>67</v>
      </c>
      <c r="AS382" s="6">
        <v>2017</v>
      </c>
      <c r="AT382" s="6">
        <v>49</v>
      </c>
      <c r="AU382" s="6">
        <v>2</v>
      </c>
      <c r="AV382" s="6"/>
      <c r="AW382" s="6"/>
      <c r="AX382" s="6"/>
      <c r="AY382" s="6"/>
      <c r="AZ382" s="6">
        <v>130</v>
      </c>
      <c r="BA382" s="6" t="s">
        <v>1460</v>
      </c>
      <c r="BB382" s="6"/>
      <c r="BC382" s="6" t="s">
        <v>2937</v>
      </c>
      <c r="BD382" s="9" t="str">
        <f>HYPERLINK("http://dx.doi.org/10.1016/j.jneb.2016.10.012","http://dx.doi.org/10.1016/j.jneb.2016.10.012")</f>
        <v>http://dx.doi.org/10.1016/j.jneb.2016.10.012</v>
      </c>
      <c r="BE382" s="6"/>
      <c r="BF382" s="6"/>
      <c r="BG382" s="6"/>
      <c r="BH382" s="6"/>
      <c r="BI382" s="6">
        <v>28189184</v>
      </c>
      <c r="BJ382" s="6" t="s">
        <v>2938</v>
      </c>
      <c r="BK382" s="6"/>
      <c r="BL382" s="6"/>
      <c r="BM382" s="6"/>
      <c r="BN382" s="6"/>
      <c r="BO382" s="6"/>
      <c r="BP382" s="6"/>
      <c r="BQ382" s="6"/>
      <c r="BR382" s="6"/>
      <c r="BS382" s="6"/>
      <c r="BT382" s="6"/>
      <c r="BU382" s="8" t="s">
        <v>7371</v>
      </c>
      <c r="BV382" s="8" t="s">
        <v>7188</v>
      </c>
      <c r="BW382" s="8" t="s">
        <v>7189</v>
      </c>
    </row>
    <row r="383" spans="1:75" ht="12.75" customHeight="1">
      <c r="A383" s="7" t="s">
        <v>63</v>
      </c>
      <c r="B383" s="7" t="s">
        <v>622</v>
      </c>
      <c r="C383" s="7"/>
      <c r="D383" s="7"/>
      <c r="E383" s="7"/>
      <c r="F383" s="7" t="s">
        <v>623</v>
      </c>
      <c r="G383" s="7"/>
      <c r="H383" s="7"/>
      <c r="I383" s="7" t="s">
        <v>624</v>
      </c>
      <c r="J383" s="7" t="s">
        <v>625</v>
      </c>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t="s">
        <v>626</v>
      </c>
      <c r="AN383" s="7"/>
      <c r="AO383" s="7"/>
      <c r="AP383" s="7"/>
      <c r="AQ383" s="7"/>
      <c r="AR383" s="7" t="s">
        <v>627</v>
      </c>
      <c r="AS383" s="7">
        <v>2011</v>
      </c>
      <c r="AT383" s="7">
        <v>171</v>
      </c>
      <c r="AU383" s="7">
        <v>13</v>
      </c>
      <c r="AV383" s="7"/>
      <c r="AW383" s="7"/>
      <c r="AX383" s="7"/>
      <c r="AY383" s="7"/>
      <c r="AZ383" s="7">
        <v>1171</v>
      </c>
      <c r="BA383" s="7">
        <v>1172</v>
      </c>
      <c r="BB383" s="7"/>
      <c r="BC383" s="7" t="s">
        <v>628</v>
      </c>
      <c r="BD383" s="11" t="str">
        <f>HYPERLINK("http://dx.doi.org/10.1001/archinternmed.2011.279","http://dx.doi.org/10.1001/archinternmed.2011.279")</f>
        <v>http://dx.doi.org/10.1001/archinternmed.2011.279</v>
      </c>
      <c r="BE383" s="7"/>
      <c r="BF383" s="7"/>
      <c r="BG383" s="7"/>
      <c r="BH383" s="7"/>
      <c r="BI383" s="7">
        <v>21747012</v>
      </c>
      <c r="BJ383" s="7" t="s">
        <v>629</v>
      </c>
      <c r="BK383" s="7"/>
      <c r="BL383" s="7"/>
      <c r="BM383" s="7"/>
      <c r="BN383" s="7"/>
      <c r="BO383" s="7"/>
      <c r="BP383" s="7"/>
      <c r="BQ383" s="7"/>
      <c r="BR383" s="7"/>
      <c r="BS383" s="7"/>
      <c r="BT383" s="7"/>
      <c r="BU383" s="1" t="s">
        <v>7187</v>
      </c>
      <c r="BV383" s="10" t="s">
        <v>7188</v>
      </c>
      <c r="BW383" s="10" t="s">
        <v>7189</v>
      </c>
    </row>
    <row r="384" spans="1:75" ht="12.75" customHeight="1">
      <c r="A384" s="6" t="s">
        <v>63</v>
      </c>
      <c r="B384" s="6" t="s">
        <v>218</v>
      </c>
      <c r="C384" s="6"/>
      <c r="D384" s="6"/>
      <c r="E384" s="6"/>
      <c r="F384" s="6" t="s">
        <v>219</v>
      </c>
      <c r="G384" s="6"/>
      <c r="H384" s="6"/>
      <c r="I384" s="6" t="s">
        <v>220</v>
      </c>
      <c r="J384" s="6" t="s">
        <v>221</v>
      </c>
      <c r="K384" s="6"/>
      <c r="L384" s="6"/>
      <c r="M384" s="6"/>
      <c r="N384" s="6"/>
      <c r="O384" s="6"/>
      <c r="P384" s="6"/>
      <c r="Q384" s="6"/>
      <c r="R384" s="6"/>
      <c r="S384" s="6"/>
      <c r="T384" s="6" t="s">
        <v>222</v>
      </c>
      <c r="U384" s="6"/>
      <c r="V384" s="6"/>
      <c r="W384" s="6"/>
      <c r="X384" s="6"/>
      <c r="Y384" s="6"/>
      <c r="Z384" s="6"/>
      <c r="AA384" s="6"/>
      <c r="AB384" s="6"/>
      <c r="AC384" s="6"/>
      <c r="AD384" s="6"/>
      <c r="AE384" s="6"/>
      <c r="AF384" s="6"/>
      <c r="AG384" s="6"/>
      <c r="AH384" s="6"/>
      <c r="AI384" s="6"/>
      <c r="AJ384" s="6"/>
      <c r="AK384" s="6"/>
      <c r="AL384" s="6"/>
      <c r="AM384" s="6" t="s">
        <v>223</v>
      </c>
      <c r="AN384" s="6" t="s">
        <v>224</v>
      </c>
      <c r="AO384" s="6"/>
      <c r="AP384" s="6"/>
      <c r="AQ384" s="6"/>
      <c r="AR384" s="6" t="s">
        <v>92</v>
      </c>
      <c r="AS384" s="6">
        <v>2006</v>
      </c>
      <c r="AT384" s="6">
        <v>23</v>
      </c>
      <c r="AU384" s="6">
        <v>3</v>
      </c>
      <c r="AV384" s="6"/>
      <c r="AW384" s="6"/>
      <c r="AX384" s="6"/>
      <c r="AY384" s="6"/>
      <c r="AZ384" s="6">
        <v>371</v>
      </c>
      <c r="BA384" s="6">
        <v>383</v>
      </c>
      <c r="BB384" s="6"/>
      <c r="BC384" s="6" t="s">
        <v>225</v>
      </c>
      <c r="BD384" s="9" t="str">
        <f>HYPERLINK("http://dx.doi.org/10.1007/s10460-006-9002-8","http://dx.doi.org/10.1007/s10460-006-9002-8")</f>
        <v>http://dx.doi.org/10.1007/s10460-006-9002-8</v>
      </c>
      <c r="BE384" s="6"/>
      <c r="BF384" s="6"/>
      <c r="BG384" s="6"/>
      <c r="BH384" s="6"/>
      <c r="BI384" s="6"/>
      <c r="BJ384" s="6" t="s">
        <v>226</v>
      </c>
      <c r="BK384" s="6"/>
      <c r="BL384" s="6"/>
      <c r="BM384" s="6"/>
      <c r="BN384" s="6"/>
      <c r="BO384" s="6"/>
      <c r="BP384" s="6"/>
      <c r="BQ384" s="6"/>
      <c r="BR384" s="6"/>
      <c r="BS384" s="6"/>
      <c r="BT384" s="6"/>
      <c r="BU384" s="8" t="s">
        <v>7278</v>
      </c>
      <c r="BV384" s="8" t="s">
        <v>7188</v>
      </c>
      <c r="BW384" s="8" t="s">
        <v>7189</v>
      </c>
    </row>
    <row r="385" spans="1:75" ht="12.75" customHeight="1">
      <c r="A385" s="3" t="s">
        <v>63</v>
      </c>
      <c r="B385" s="3" t="s">
        <v>2388</v>
      </c>
      <c r="C385" s="3"/>
      <c r="D385" s="3"/>
      <c r="E385" s="3"/>
      <c r="F385" s="3" t="s">
        <v>2389</v>
      </c>
      <c r="G385" s="3"/>
      <c r="H385" s="3"/>
      <c r="I385" s="3" t="s">
        <v>2390</v>
      </c>
      <c r="J385" s="3" t="s">
        <v>2391</v>
      </c>
      <c r="K385" s="3"/>
      <c r="L385" s="3"/>
      <c r="M385" s="3"/>
      <c r="N385" s="3"/>
      <c r="O385" s="3"/>
      <c r="P385" s="3"/>
      <c r="Q385" s="3"/>
      <c r="R385" s="3"/>
      <c r="S385" s="3"/>
      <c r="T385" s="3" t="s">
        <v>2392</v>
      </c>
      <c r="U385" s="3"/>
      <c r="V385" s="3"/>
      <c r="W385" s="3"/>
      <c r="X385" s="3"/>
      <c r="Y385" s="3"/>
      <c r="Z385" s="3" t="s">
        <v>2393</v>
      </c>
      <c r="AA385" s="3"/>
      <c r="AB385" s="3"/>
      <c r="AC385" s="3"/>
      <c r="AD385" s="3"/>
      <c r="AE385" s="3"/>
      <c r="AF385" s="3"/>
      <c r="AG385" s="3"/>
      <c r="AH385" s="3"/>
      <c r="AI385" s="3"/>
      <c r="AJ385" s="3"/>
      <c r="AK385" s="3"/>
      <c r="AL385" s="3"/>
      <c r="AM385" s="3" t="s">
        <v>2394</v>
      </c>
      <c r="AN385" s="3" t="s">
        <v>2395</v>
      </c>
      <c r="AO385" s="3"/>
      <c r="AP385" s="3"/>
      <c r="AQ385" s="3"/>
      <c r="AR385" s="3" t="s">
        <v>445</v>
      </c>
      <c r="AS385" s="3">
        <v>2016</v>
      </c>
      <c r="AT385" s="3">
        <v>9</v>
      </c>
      <c r="AU385" s="3">
        <v>3</v>
      </c>
      <c r="AV385" s="3"/>
      <c r="AW385" s="3"/>
      <c r="AX385" s="3"/>
      <c r="AY385" s="3"/>
      <c r="AZ385" s="3">
        <v>309</v>
      </c>
      <c r="BA385" s="3">
        <v>327</v>
      </c>
      <c r="BB385" s="3"/>
      <c r="BC385" s="3" t="s">
        <v>2396</v>
      </c>
      <c r="BD385" s="15" t="str">
        <f>HYPERLINK("http://dx.doi.org/10.1007/s12061-015-9138-2","http://dx.doi.org/10.1007/s12061-015-9138-2")</f>
        <v>http://dx.doi.org/10.1007/s12061-015-9138-2</v>
      </c>
      <c r="BE385" s="3"/>
      <c r="BF385" s="3"/>
      <c r="BG385" s="3"/>
      <c r="BH385" s="3"/>
      <c r="BI385" s="3"/>
      <c r="BJ385" s="3" t="s">
        <v>2397</v>
      </c>
      <c r="BK385" s="3"/>
      <c r="BL385" s="3"/>
      <c r="BM385" s="3"/>
      <c r="BN385" s="3"/>
      <c r="BO385" s="3"/>
      <c r="BP385" s="3"/>
      <c r="BQ385" s="3"/>
      <c r="BR385" s="3"/>
      <c r="BS385" s="3"/>
      <c r="BT385" s="3"/>
      <c r="BU385" s="1" t="s">
        <v>7281</v>
      </c>
      <c r="BV385" s="10" t="s">
        <v>7188</v>
      </c>
      <c r="BW385" s="10" t="s">
        <v>7189</v>
      </c>
    </row>
    <row r="386" spans="1:75" ht="12.75" customHeight="1">
      <c r="A386" s="6" t="s">
        <v>63</v>
      </c>
      <c r="B386" s="6" t="s">
        <v>3380</v>
      </c>
      <c r="C386" s="6"/>
      <c r="D386" s="6"/>
      <c r="E386" s="6"/>
      <c r="F386" s="6" t="s">
        <v>3381</v>
      </c>
      <c r="G386" s="6"/>
      <c r="H386" s="6"/>
      <c r="I386" s="6" t="s">
        <v>3382</v>
      </c>
      <c r="J386" s="6" t="s">
        <v>3282</v>
      </c>
      <c r="K386" s="6"/>
      <c r="L386" s="6"/>
      <c r="M386" s="6"/>
      <c r="N386" s="6"/>
      <c r="O386" s="6"/>
      <c r="P386" s="6"/>
      <c r="Q386" s="6"/>
      <c r="R386" s="6"/>
      <c r="S386" s="6"/>
      <c r="T386" s="6" t="s">
        <v>3383</v>
      </c>
      <c r="U386" s="6"/>
      <c r="V386" s="6"/>
      <c r="W386" s="6"/>
      <c r="X386" s="6"/>
      <c r="Y386" s="6"/>
      <c r="Z386" s="6" t="s">
        <v>3384</v>
      </c>
      <c r="AA386" s="6"/>
      <c r="AB386" s="6"/>
      <c r="AC386" s="6"/>
      <c r="AD386" s="6"/>
      <c r="AE386" s="6"/>
      <c r="AF386" s="6"/>
      <c r="AG386" s="6"/>
      <c r="AH386" s="6"/>
      <c r="AI386" s="6"/>
      <c r="AJ386" s="6"/>
      <c r="AK386" s="6"/>
      <c r="AL386" s="6"/>
      <c r="AM386" s="6"/>
      <c r="AN386" s="6" t="s">
        <v>3285</v>
      </c>
      <c r="AO386" s="6"/>
      <c r="AP386" s="6"/>
      <c r="AQ386" s="6"/>
      <c r="AR386" s="6" t="s">
        <v>445</v>
      </c>
      <c r="AS386" s="6">
        <v>2018</v>
      </c>
      <c r="AT386" s="6">
        <v>2</v>
      </c>
      <c r="AU386" s="6">
        <v>3</v>
      </c>
      <c r="AV386" s="6"/>
      <c r="AW386" s="6"/>
      <c r="AX386" s="6"/>
      <c r="AY386" s="6"/>
      <c r="AZ386" s="6"/>
      <c r="BA386" s="6"/>
      <c r="BB386" s="6">
        <v>71</v>
      </c>
      <c r="BC386" s="6" t="s">
        <v>3385</v>
      </c>
      <c r="BD386" s="9" t="str">
        <f>HYPERLINK("http://dx.doi.org/10.3390/urbansci2030071","http://dx.doi.org/10.3390/urbansci2030071")</f>
        <v>http://dx.doi.org/10.3390/urbansci2030071</v>
      </c>
      <c r="BE386" s="6"/>
      <c r="BF386" s="6"/>
      <c r="BG386" s="6"/>
      <c r="BH386" s="6"/>
      <c r="BI386" s="6"/>
      <c r="BJ386" s="6" t="s">
        <v>3386</v>
      </c>
      <c r="BK386" s="6"/>
      <c r="BL386" s="6"/>
      <c r="BM386" s="6"/>
      <c r="BN386" s="6"/>
      <c r="BO386" s="6"/>
      <c r="BP386" s="6"/>
      <c r="BQ386" s="6"/>
      <c r="BR386" s="6"/>
      <c r="BS386" s="6"/>
      <c r="BT386" s="6"/>
      <c r="BU386" s="8" t="s">
        <v>7225</v>
      </c>
      <c r="BV386" s="8" t="s">
        <v>7188</v>
      </c>
      <c r="BW386" s="8" t="s">
        <v>7189</v>
      </c>
    </row>
    <row r="387" spans="1:75" ht="12.75" customHeight="1">
      <c r="A387" s="4" t="s">
        <v>63</v>
      </c>
      <c r="B387" s="4" t="s">
        <v>1478</v>
      </c>
      <c r="C387" s="4"/>
      <c r="D387" s="4"/>
      <c r="E387" s="4"/>
      <c r="F387" s="4" t="s">
        <v>1479</v>
      </c>
      <c r="G387" s="4"/>
      <c r="H387" s="4"/>
      <c r="I387" s="4" t="s">
        <v>1480</v>
      </c>
      <c r="J387" s="4" t="s">
        <v>1481</v>
      </c>
      <c r="K387" s="4"/>
      <c r="L387" s="4"/>
      <c r="M387" s="4"/>
      <c r="N387" s="4"/>
      <c r="O387" s="4"/>
      <c r="P387" s="4"/>
      <c r="Q387" s="4"/>
      <c r="R387" s="4"/>
      <c r="S387" s="4"/>
      <c r="T387" s="4" t="s">
        <v>1482</v>
      </c>
      <c r="U387" s="4"/>
      <c r="V387" s="4"/>
      <c r="W387" s="4"/>
      <c r="X387" s="4"/>
      <c r="Y387" s="4" t="s">
        <v>1483</v>
      </c>
      <c r="Z387" s="4" t="s">
        <v>1484</v>
      </c>
      <c r="AA387" s="4"/>
      <c r="AB387" s="4"/>
      <c r="AC387" s="4"/>
      <c r="AD387" s="4"/>
      <c r="AE387" s="4"/>
      <c r="AF387" s="4"/>
      <c r="AG387" s="4"/>
      <c r="AH387" s="4"/>
      <c r="AI387" s="4"/>
      <c r="AJ387" s="4"/>
      <c r="AK387" s="4"/>
      <c r="AL387" s="4"/>
      <c r="AM387" s="4" t="s">
        <v>1485</v>
      </c>
      <c r="AN387" s="4" t="s">
        <v>1486</v>
      </c>
      <c r="AO387" s="4"/>
      <c r="AP387" s="4"/>
      <c r="AQ387" s="4"/>
      <c r="AR387" s="4" t="s">
        <v>92</v>
      </c>
      <c r="AS387" s="4">
        <v>2014</v>
      </c>
      <c r="AT387" s="4">
        <v>7</v>
      </c>
      <c r="AU387" s="4">
        <v>4</v>
      </c>
      <c r="AV387" s="4"/>
      <c r="AW387" s="4"/>
      <c r="AX387" s="4" t="s">
        <v>569</v>
      </c>
      <c r="AY387" s="4"/>
      <c r="AZ387" s="4">
        <v>13</v>
      </c>
      <c r="BA387" s="4">
        <v>32</v>
      </c>
      <c r="BB387" s="4"/>
      <c r="BC387" s="4" t="s">
        <v>1487</v>
      </c>
      <c r="BD387" s="5" t="str">
        <f>HYPERLINK("http://dx.doi.org/10.3798/tia.1937-0237.14025","http://dx.doi.org/10.3798/tia.1937-0237.14025")</f>
        <v>http://dx.doi.org/10.3798/tia.1937-0237.14025</v>
      </c>
      <c r="BE387" s="4"/>
      <c r="BF387" s="4"/>
      <c r="BG387" s="4"/>
      <c r="BH387" s="4"/>
      <c r="BI387" s="4"/>
      <c r="BJ387" s="4" t="s">
        <v>1488</v>
      </c>
      <c r="BK387" s="4"/>
      <c r="BL387" s="4"/>
      <c r="BM387" s="4"/>
      <c r="BN387" s="4"/>
      <c r="BO387" s="4"/>
      <c r="BP387" s="4"/>
      <c r="BQ387" s="4"/>
      <c r="BR387" s="4"/>
      <c r="BS387" s="4"/>
      <c r="BT387" s="4"/>
      <c r="BU387" s="12" t="s">
        <v>7193</v>
      </c>
      <c r="BV387" s="12" t="s">
        <v>7188</v>
      </c>
      <c r="BW387" s="12" t="s">
        <v>7189</v>
      </c>
    </row>
    <row r="388" spans="1:75" ht="12.75" customHeight="1">
      <c r="A388" s="4" t="s">
        <v>63</v>
      </c>
      <c r="B388" s="4" t="s">
        <v>3826</v>
      </c>
      <c r="C388" s="4"/>
      <c r="D388" s="4"/>
      <c r="E388" s="4"/>
      <c r="F388" s="4" t="s">
        <v>3827</v>
      </c>
      <c r="G388" s="4"/>
      <c r="H388" s="4"/>
      <c r="I388" s="4" t="s">
        <v>3828</v>
      </c>
      <c r="J388" s="4" t="s">
        <v>532</v>
      </c>
      <c r="K388" s="4"/>
      <c r="L388" s="4"/>
      <c r="M388" s="4"/>
      <c r="N388" s="4"/>
      <c r="O388" s="4"/>
      <c r="P388" s="4"/>
      <c r="Q388" s="4"/>
      <c r="R388" s="4"/>
      <c r="S388" s="4"/>
      <c r="T388" s="4" t="s">
        <v>3829</v>
      </c>
      <c r="U388" s="4"/>
      <c r="V388" s="4"/>
      <c r="W388" s="4"/>
      <c r="X388" s="4"/>
      <c r="Y388" s="4" t="s">
        <v>3830</v>
      </c>
      <c r="Z388" s="4"/>
      <c r="AA388" s="4"/>
      <c r="AB388" s="4"/>
      <c r="AC388" s="4"/>
      <c r="AD388" s="4"/>
      <c r="AE388" s="4"/>
      <c r="AF388" s="4"/>
      <c r="AG388" s="4"/>
      <c r="AH388" s="4"/>
      <c r="AI388" s="4"/>
      <c r="AJ388" s="4"/>
      <c r="AK388" s="4"/>
      <c r="AL388" s="4"/>
      <c r="AM388" s="4" t="s">
        <v>534</v>
      </c>
      <c r="AN388" s="4" t="s">
        <v>535</v>
      </c>
      <c r="AO388" s="4"/>
      <c r="AP388" s="4"/>
      <c r="AQ388" s="4"/>
      <c r="AR388" s="4" t="s">
        <v>937</v>
      </c>
      <c r="AS388" s="4">
        <v>2019</v>
      </c>
      <c r="AT388" s="4">
        <v>9</v>
      </c>
      <c r="AU388" s="4"/>
      <c r="AV388" s="4"/>
      <c r="AW388" s="4">
        <v>2</v>
      </c>
      <c r="AX388" s="4" t="s">
        <v>569</v>
      </c>
      <c r="AY388" s="4"/>
      <c r="AZ388" s="4">
        <v>239</v>
      </c>
      <c r="BA388" s="4">
        <v>250</v>
      </c>
      <c r="BB388" s="4"/>
      <c r="BC388" s="4" t="s">
        <v>3831</v>
      </c>
      <c r="BD388" s="5" t="str">
        <f>HYPERLINK("http://dx.doi.org/10.5304/jafscd.2019.09B.016","http://dx.doi.org/10.5304/jafscd.2019.09B.016")</f>
        <v>http://dx.doi.org/10.5304/jafscd.2019.09B.016</v>
      </c>
      <c r="BE388" s="4"/>
      <c r="BF388" s="4"/>
      <c r="BG388" s="4"/>
      <c r="BH388" s="4"/>
      <c r="BI388" s="4"/>
      <c r="BJ388" s="4" t="s">
        <v>3832</v>
      </c>
      <c r="BK388" s="4"/>
      <c r="BL388" s="4"/>
      <c r="BM388" s="4"/>
      <c r="BN388" s="4"/>
      <c r="BO388" s="4"/>
      <c r="BP388" s="4"/>
      <c r="BQ388" s="4"/>
      <c r="BR388" s="4"/>
      <c r="BS388" s="4"/>
      <c r="BT388" s="4"/>
      <c r="BU388" s="12" t="s">
        <v>7193</v>
      </c>
      <c r="BV388" s="12" t="s">
        <v>2039</v>
      </c>
      <c r="BW388" s="12" t="s">
        <v>7189</v>
      </c>
    </row>
    <row r="389" spans="1:75" ht="12.75" customHeight="1">
      <c r="A389" s="6" t="s">
        <v>63</v>
      </c>
      <c r="B389" s="6" t="s">
        <v>1147</v>
      </c>
      <c r="C389" s="6"/>
      <c r="D389" s="6"/>
      <c r="E389" s="6"/>
      <c r="F389" s="6" t="s">
        <v>1148</v>
      </c>
      <c r="G389" s="6"/>
      <c r="H389" s="6"/>
      <c r="I389" s="6" t="s">
        <v>1149</v>
      </c>
      <c r="J389" s="6" t="s">
        <v>434</v>
      </c>
      <c r="K389" s="6"/>
      <c r="L389" s="6"/>
      <c r="M389" s="6"/>
      <c r="N389" s="6"/>
      <c r="O389" s="6"/>
      <c r="P389" s="6"/>
      <c r="Q389" s="6"/>
      <c r="R389" s="6"/>
      <c r="S389" s="6"/>
      <c r="T389" s="6" t="s">
        <v>1150</v>
      </c>
      <c r="U389" s="6"/>
      <c r="V389" s="6"/>
      <c r="W389" s="6"/>
      <c r="X389" s="6"/>
      <c r="Y389" s="6" t="s">
        <v>1151</v>
      </c>
      <c r="Z389" s="6" t="s">
        <v>1152</v>
      </c>
      <c r="AA389" s="6"/>
      <c r="AB389" s="6"/>
      <c r="AC389" s="6"/>
      <c r="AD389" s="6"/>
      <c r="AE389" s="6"/>
      <c r="AF389" s="6"/>
      <c r="AG389" s="6"/>
      <c r="AH389" s="6"/>
      <c r="AI389" s="6"/>
      <c r="AJ389" s="6"/>
      <c r="AK389" s="6"/>
      <c r="AL389" s="6"/>
      <c r="AM389" s="6" t="s">
        <v>436</v>
      </c>
      <c r="AN389" s="6" t="s">
        <v>568</v>
      </c>
      <c r="AO389" s="6"/>
      <c r="AP389" s="6"/>
      <c r="AQ389" s="6"/>
      <c r="AR389" s="6" t="s">
        <v>445</v>
      </c>
      <c r="AS389" s="6">
        <v>2013</v>
      </c>
      <c r="AT389" s="6">
        <v>43</v>
      </c>
      <c r="AU389" s="6"/>
      <c r="AV389" s="6"/>
      <c r="AW389" s="6"/>
      <c r="AX389" s="6"/>
      <c r="AY389" s="6"/>
      <c r="AZ389" s="6">
        <v>81</v>
      </c>
      <c r="BA389" s="6">
        <v>86</v>
      </c>
      <c r="BB389" s="6"/>
      <c r="BC389" s="6" t="s">
        <v>1153</v>
      </c>
      <c r="BD389" s="9" t="str">
        <f>HYPERLINK("http://dx.doi.org/10.1016/j.apgeog.2013.05.012","http://dx.doi.org/10.1016/j.apgeog.2013.05.012")</f>
        <v>http://dx.doi.org/10.1016/j.apgeog.2013.05.012</v>
      </c>
      <c r="BE389" s="6"/>
      <c r="BF389" s="6"/>
      <c r="BG389" s="6"/>
      <c r="BH389" s="6"/>
      <c r="BI389" s="6"/>
      <c r="BJ389" s="6" t="s">
        <v>1154</v>
      </c>
      <c r="BK389" s="6"/>
      <c r="BL389" s="6"/>
      <c r="BM389" s="6"/>
      <c r="BN389" s="6"/>
      <c r="BO389" s="6"/>
      <c r="BP389" s="6"/>
      <c r="BQ389" s="6"/>
      <c r="BR389" s="6"/>
      <c r="BS389" s="6"/>
      <c r="BT389" s="6"/>
      <c r="BU389" s="8" t="s">
        <v>7372</v>
      </c>
      <c r="BV389" s="8" t="s">
        <v>7188</v>
      </c>
      <c r="BW389" s="8" t="s">
        <v>7189</v>
      </c>
    </row>
    <row r="390" spans="1:75" ht="12.75" customHeight="1">
      <c r="A390" s="7" t="s">
        <v>63</v>
      </c>
      <c r="B390" s="7" t="s">
        <v>1892</v>
      </c>
      <c r="C390" s="7"/>
      <c r="D390" s="7"/>
      <c r="E390" s="7"/>
      <c r="F390" s="7" t="s">
        <v>1893</v>
      </c>
      <c r="G390" s="7"/>
      <c r="H390" s="7"/>
      <c r="I390" s="7" t="s">
        <v>1894</v>
      </c>
      <c r="J390" s="7" t="s">
        <v>1728</v>
      </c>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t="s">
        <v>984</v>
      </c>
      <c r="AN390" s="7" t="s">
        <v>985</v>
      </c>
      <c r="AO390" s="7"/>
      <c r="AP390" s="7"/>
      <c r="AQ390" s="7"/>
      <c r="AR390" s="7" t="s">
        <v>937</v>
      </c>
      <c r="AS390" s="7">
        <v>2015</v>
      </c>
      <c r="AT390" s="7">
        <v>59</v>
      </c>
      <c r="AU390" s="7">
        <v>3</v>
      </c>
      <c r="AV390" s="7"/>
      <c r="AW390" s="7"/>
      <c r="AX390" s="7"/>
      <c r="AY390" s="7"/>
      <c r="AZ390" s="7" t="s">
        <v>1895</v>
      </c>
      <c r="BA390" s="7" t="s">
        <v>1895</v>
      </c>
      <c r="BB390" s="7"/>
      <c r="BC390" s="7" t="s">
        <v>1896</v>
      </c>
      <c r="BD390" s="11" t="str">
        <f>HYPERLINK("http://dx.doi.org/10.1111/cag.12213","http://dx.doi.org/10.1111/cag.12213")</f>
        <v>http://dx.doi.org/10.1111/cag.12213</v>
      </c>
      <c r="BE390" s="7"/>
      <c r="BF390" s="7"/>
      <c r="BG390" s="7"/>
      <c r="BH390" s="7"/>
      <c r="BI390" s="7"/>
      <c r="BJ390" s="7" t="s">
        <v>1897</v>
      </c>
      <c r="BK390" s="7"/>
      <c r="BL390" s="7"/>
      <c r="BM390" s="7"/>
      <c r="BN390" s="7"/>
      <c r="BO390" s="7"/>
      <c r="BP390" s="7"/>
      <c r="BQ390" s="7"/>
      <c r="BR390" s="7"/>
      <c r="BS390" s="7"/>
      <c r="BT390" s="7"/>
      <c r="BU390" s="10" t="s">
        <v>454</v>
      </c>
      <c r="BV390" s="10" t="s">
        <v>2039</v>
      </c>
      <c r="BW390" s="10" t="s">
        <v>7189</v>
      </c>
    </row>
    <row r="391" spans="1:75" ht="12.75" customHeight="1">
      <c r="A391" s="4" t="s">
        <v>63</v>
      </c>
      <c r="B391" s="4" t="s">
        <v>5649</v>
      </c>
      <c r="C391" s="4"/>
      <c r="D391" s="4"/>
      <c r="E391" s="4"/>
      <c r="F391" s="4" t="s">
        <v>5650</v>
      </c>
      <c r="G391" s="4"/>
      <c r="H391" s="4"/>
      <c r="I391" s="4" t="s">
        <v>5651</v>
      </c>
      <c r="J391" s="4" t="s">
        <v>5652</v>
      </c>
      <c r="K391" s="4"/>
      <c r="L391" s="4"/>
      <c r="M391" s="4"/>
      <c r="N391" s="4"/>
      <c r="O391" s="4"/>
      <c r="P391" s="4"/>
      <c r="Q391" s="4"/>
      <c r="R391" s="4"/>
      <c r="S391" s="4"/>
      <c r="T391" s="4" t="s">
        <v>5653</v>
      </c>
      <c r="U391" s="4"/>
      <c r="V391" s="4"/>
      <c r="W391" s="4"/>
      <c r="X391" s="4"/>
      <c r="Y391" s="4"/>
      <c r="Z391" s="4"/>
      <c r="AA391" s="4"/>
      <c r="AB391" s="4"/>
      <c r="AC391" s="4"/>
      <c r="AD391" s="4"/>
      <c r="AE391" s="4"/>
      <c r="AF391" s="4"/>
      <c r="AG391" s="4"/>
      <c r="AH391" s="4"/>
      <c r="AI391" s="4"/>
      <c r="AJ391" s="4"/>
      <c r="AK391" s="4"/>
      <c r="AL391" s="4"/>
      <c r="AM391" s="4"/>
      <c r="AN391" s="4" t="s">
        <v>5654</v>
      </c>
      <c r="AO391" s="4"/>
      <c r="AP391" s="4"/>
      <c r="AQ391" s="4"/>
      <c r="AR391" s="4" t="s">
        <v>5655</v>
      </c>
      <c r="AS391" s="4">
        <v>2022</v>
      </c>
      <c r="AT391" s="4">
        <v>2</v>
      </c>
      <c r="AU391" s="4">
        <v>1</v>
      </c>
      <c r="AV391" s="4"/>
      <c r="AW391" s="4"/>
      <c r="AX391" s="4"/>
      <c r="AY391" s="4"/>
      <c r="AZ391" s="4"/>
      <c r="BA391" s="4"/>
      <c r="BB391" s="4">
        <v>37</v>
      </c>
      <c r="BC391" s="4" t="s">
        <v>5656</v>
      </c>
      <c r="BD391" s="5" t="str">
        <f>HYPERLINK("http://dx.doi.org/10.1007/s43762-022-00064-9","http://dx.doi.org/10.1007/s43762-022-00064-9")</f>
        <v>http://dx.doi.org/10.1007/s43762-022-00064-9</v>
      </c>
      <c r="BE391" s="4"/>
      <c r="BF391" s="4"/>
      <c r="BG391" s="4"/>
      <c r="BH391" s="4"/>
      <c r="BI391" s="4">
        <v>36247034</v>
      </c>
      <c r="BJ391" s="4" t="s">
        <v>5657</v>
      </c>
      <c r="BK391" s="4"/>
      <c r="BL391" s="4"/>
      <c r="BM391" s="4"/>
      <c r="BN391" s="4"/>
      <c r="BO391" s="4"/>
      <c r="BP391" s="4"/>
      <c r="BQ391" s="4"/>
      <c r="BR391" s="4"/>
      <c r="BS391" s="4"/>
      <c r="BT391" s="4"/>
      <c r="BU391" s="12" t="s">
        <v>7210</v>
      </c>
      <c r="BV391" s="12" t="s">
        <v>7188</v>
      </c>
      <c r="BW391" s="12" t="s">
        <v>7189</v>
      </c>
    </row>
    <row r="392" spans="1:75" ht="12.75" customHeight="1">
      <c r="A392" s="6" t="s">
        <v>63</v>
      </c>
      <c r="B392" s="6" t="s">
        <v>630</v>
      </c>
      <c r="C392" s="6"/>
      <c r="D392" s="6"/>
      <c r="E392" s="6"/>
      <c r="F392" s="6" t="s">
        <v>631</v>
      </c>
      <c r="G392" s="6"/>
      <c r="H392" s="6"/>
      <c r="I392" s="6" t="s">
        <v>632</v>
      </c>
      <c r="J392" s="6" t="s">
        <v>423</v>
      </c>
      <c r="K392" s="6"/>
      <c r="L392" s="6"/>
      <c r="M392" s="6"/>
      <c r="N392" s="6"/>
      <c r="O392" s="6"/>
      <c r="P392" s="6"/>
      <c r="Q392" s="6"/>
      <c r="R392" s="6"/>
      <c r="S392" s="6"/>
      <c r="T392" s="6" t="s">
        <v>633</v>
      </c>
      <c r="U392" s="6"/>
      <c r="V392" s="6"/>
      <c r="W392" s="6"/>
      <c r="X392" s="6"/>
      <c r="Y392" s="6"/>
      <c r="Z392" s="6"/>
      <c r="AA392" s="6"/>
      <c r="AB392" s="6"/>
      <c r="AC392" s="6"/>
      <c r="AD392" s="6"/>
      <c r="AE392" s="6"/>
      <c r="AF392" s="6"/>
      <c r="AG392" s="6"/>
      <c r="AH392" s="6"/>
      <c r="AI392" s="6"/>
      <c r="AJ392" s="6"/>
      <c r="AK392" s="6"/>
      <c r="AL392" s="6"/>
      <c r="AM392" s="6" t="s">
        <v>427</v>
      </c>
      <c r="AN392" s="6" t="s">
        <v>428</v>
      </c>
      <c r="AO392" s="6"/>
      <c r="AP392" s="6"/>
      <c r="AQ392" s="6"/>
      <c r="AR392" s="6"/>
      <c r="AS392" s="6">
        <v>2011</v>
      </c>
      <c r="AT392" s="6">
        <v>6</v>
      </c>
      <c r="AU392" s="6">
        <v>1</v>
      </c>
      <c r="AV392" s="6"/>
      <c r="AW392" s="6"/>
      <c r="AX392" s="6"/>
      <c r="AY392" s="6"/>
      <c r="AZ392" s="6">
        <v>45</v>
      </c>
      <c r="BA392" s="6">
        <v>53</v>
      </c>
      <c r="BB392" s="6"/>
      <c r="BC392" s="6" t="s">
        <v>634</v>
      </c>
      <c r="BD392" s="9" t="str">
        <f>HYPERLINK("http://dx.doi.org/10.1080/19320248.2011.549377","http://dx.doi.org/10.1080/19320248.2011.549377")</f>
        <v>http://dx.doi.org/10.1080/19320248.2011.549377</v>
      </c>
      <c r="BE392" s="6"/>
      <c r="BF392" s="6"/>
      <c r="BG392" s="6"/>
      <c r="BH392" s="6"/>
      <c r="BI392" s="6"/>
      <c r="BJ392" s="6" t="s">
        <v>635</v>
      </c>
      <c r="BK392" s="6"/>
      <c r="BL392" s="6"/>
      <c r="BM392" s="6"/>
      <c r="BN392" s="6"/>
      <c r="BO392" s="6"/>
      <c r="BP392" s="6"/>
      <c r="BQ392" s="6"/>
      <c r="BR392" s="6"/>
      <c r="BS392" s="6"/>
      <c r="BT392" s="6"/>
      <c r="BU392" s="8" t="s">
        <v>7193</v>
      </c>
      <c r="BV392" s="8" t="s">
        <v>7188</v>
      </c>
      <c r="BW392" s="8" t="s">
        <v>7189</v>
      </c>
    </row>
    <row r="393" spans="1:75" ht="12.75" customHeight="1">
      <c r="A393" s="7" t="s">
        <v>63</v>
      </c>
      <c r="B393" s="7" t="s">
        <v>136</v>
      </c>
      <c r="C393" s="7"/>
      <c r="D393" s="7"/>
      <c r="E393" s="7"/>
      <c r="F393" s="7" t="s">
        <v>136</v>
      </c>
      <c r="G393" s="7"/>
      <c r="H393" s="7"/>
      <c r="I393" s="7" t="s">
        <v>137</v>
      </c>
      <c r="J393" s="7" t="s">
        <v>138</v>
      </c>
      <c r="K393" s="7"/>
      <c r="L393" s="7"/>
      <c r="M393" s="7"/>
      <c r="N393" s="7"/>
      <c r="O393" s="7"/>
      <c r="P393" s="7"/>
      <c r="Q393" s="7"/>
      <c r="R393" s="7"/>
      <c r="S393" s="7"/>
      <c r="T393" s="7"/>
      <c r="U393" s="7"/>
      <c r="V393" s="7"/>
      <c r="W393" s="7"/>
      <c r="X393" s="7"/>
      <c r="Y393" s="7" t="s">
        <v>139</v>
      </c>
      <c r="Z393" s="7"/>
      <c r="AA393" s="7"/>
      <c r="AB393" s="7"/>
      <c r="AC393" s="7"/>
      <c r="AD393" s="7"/>
      <c r="AE393" s="7"/>
      <c r="AF393" s="7"/>
      <c r="AG393" s="7"/>
      <c r="AH393" s="7"/>
      <c r="AI393" s="7"/>
      <c r="AJ393" s="7"/>
      <c r="AK393" s="7"/>
      <c r="AL393" s="7"/>
      <c r="AM393" s="7" t="s">
        <v>140</v>
      </c>
      <c r="AN393" s="7"/>
      <c r="AO393" s="7"/>
      <c r="AP393" s="7"/>
      <c r="AQ393" s="7"/>
      <c r="AR393" s="7" t="s">
        <v>64</v>
      </c>
      <c r="AS393" s="7">
        <v>2003</v>
      </c>
      <c r="AT393" s="7">
        <v>123</v>
      </c>
      <c r="AU393" s="7">
        <v>4</v>
      </c>
      <c r="AV393" s="7"/>
      <c r="AW393" s="7"/>
      <c r="AX393" s="7"/>
      <c r="AY393" s="7"/>
      <c r="AZ393" s="7">
        <v>233</v>
      </c>
      <c r="BA393" s="7">
        <v>233</v>
      </c>
      <c r="BB393" s="7"/>
      <c r="BC393" s="7" t="s">
        <v>141</v>
      </c>
      <c r="BD393" s="11" t="str">
        <f>HYPERLINK("http://dx.doi.org/10.1177/146642400312300413","http://dx.doi.org/10.1177/146642400312300413")</f>
        <v>http://dx.doi.org/10.1177/146642400312300413</v>
      </c>
      <c r="BE393" s="7"/>
      <c r="BF393" s="7"/>
      <c r="BG393" s="7"/>
      <c r="BH393" s="7"/>
      <c r="BI393" s="7"/>
      <c r="BJ393" s="7" t="s">
        <v>142</v>
      </c>
      <c r="BK393" s="7"/>
      <c r="BL393" s="7"/>
      <c r="BM393" s="7"/>
      <c r="BN393" s="7"/>
      <c r="BO393" s="7"/>
      <c r="BP393" s="7"/>
      <c r="BQ393" s="7"/>
      <c r="BR393" s="7"/>
      <c r="BS393" s="7"/>
      <c r="BT393" s="7"/>
      <c r="BU393" s="10" t="s">
        <v>7373</v>
      </c>
      <c r="BV393" s="10" t="s">
        <v>7214</v>
      </c>
      <c r="BW393" s="10" t="s">
        <v>7205</v>
      </c>
    </row>
    <row r="394" spans="1:75" ht="12.75" customHeight="1">
      <c r="A394" s="7" t="s">
        <v>63</v>
      </c>
      <c r="B394" s="7" t="s">
        <v>143</v>
      </c>
      <c r="C394" s="7"/>
      <c r="D394" s="7"/>
      <c r="E394" s="7"/>
      <c r="F394" s="7" t="s">
        <v>143</v>
      </c>
      <c r="G394" s="7"/>
      <c r="H394" s="7"/>
      <c r="I394" s="7" t="s">
        <v>137</v>
      </c>
      <c r="J394" s="7" t="s">
        <v>144</v>
      </c>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t="s">
        <v>145</v>
      </c>
      <c r="AN394" s="7"/>
      <c r="AO394" s="7"/>
      <c r="AP394" s="7"/>
      <c r="AQ394" s="7"/>
      <c r="AR394" s="7" t="s">
        <v>64</v>
      </c>
      <c r="AS394" s="7">
        <v>2003</v>
      </c>
      <c r="AT394" s="7">
        <v>30</v>
      </c>
      <c r="AU394" s="7">
        <v>6</v>
      </c>
      <c r="AV394" s="7"/>
      <c r="AW394" s="7"/>
      <c r="AX394" s="7"/>
      <c r="AY394" s="7"/>
      <c r="AZ394" s="7">
        <v>934</v>
      </c>
      <c r="BA394" s="7">
        <v>935</v>
      </c>
      <c r="BB394" s="7"/>
      <c r="BC394" s="7"/>
      <c r="BD394" s="7"/>
      <c r="BE394" s="7"/>
      <c r="BF394" s="7"/>
      <c r="BG394" s="7"/>
      <c r="BH394" s="7"/>
      <c r="BI394" s="7"/>
      <c r="BJ394" s="7" t="s">
        <v>146</v>
      </c>
      <c r="BK394" s="7"/>
      <c r="BL394" s="7"/>
      <c r="BM394" s="7"/>
      <c r="BN394" s="7"/>
      <c r="BO394" s="7"/>
      <c r="BP394" s="7"/>
      <c r="BQ394" s="7"/>
      <c r="BR394" s="7"/>
      <c r="BS394" s="7"/>
      <c r="BT394" s="7"/>
      <c r="BU394" s="10" t="s">
        <v>7373</v>
      </c>
      <c r="BV394" s="10" t="s">
        <v>7214</v>
      </c>
      <c r="BW394" s="10" t="s">
        <v>7205</v>
      </c>
    </row>
    <row r="395" spans="1:75" ht="12.75" customHeight="1">
      <c r="A395" s="6" t="s">
        <v>201</v>
      </c>
      <c r="B395" s="6" t="s">
        <v>3387</v>
      </c>
      <c r="C395" s="6"/>
      <c r="D395" s="6" t="s">
        <v>3388</v>
      </c>
      <c r="E395" s="6"/>
      <c r="F395" s="6" t="s">
        <v>3389</v>
      </c>
      <c r="G395" s="6"/>
      <c r="H395" s="6"/>
      <c r="I395" s="6" t="s">
        <v>3390</v>
      </c>
      <c r="J395" s="6" t="s">
        <v>3391</v>
      </c>
      <c r="K395" s="6"/>
      <c r="L395" s="6"/>
      <c r="M395" s="6"/>
      <c r="N395" s="6" t="s">
        <v>3392</v>
      </c>
      <c r="O395" s="6" t="s">
        <v>3393</v>
      </c>
      <c r="P395" s="6" t="s">
        <v>3394</v>
      </c>
      <c r="Q395" s="6" t="s">
        <v>3395</v>
      </c>
      <c r="R395" s="6"/>
      <c r="S395" s="6"/>
      <c r="T395" s="6" t="s">
        <v>3396</v>
      </c>
      <c r="U395" s="6"/>
      <c r="V395" s="6"/>
      <c r="W395" s="6"/>
      <c r="X395" s="6"/>
      <c r="Y395" s="6" t="s">
        <v>3397</v>
      </c>
      <c r="Z395" s="6" t="s">
        <v>3398</v>
      </c>
      <c r="AA395" s="6"/>
      <c r="AB395" s="6"/>
      <c r="AC395" s="6"/>
      <c r="AD395" s="6"/>
      <c r="AE395" s="6"/>
      <c r="AF395" s="6"/>
      <c r="AG395" s="6"/>
      <c r="AH395" s="6"/>
      <c r="AI395" s="6"/>
      <c r="AJ395" s="6"/>
      <c r="AK395" s="6"/>
      <c r="AL395" s="6"/>
      <c r="AM395" s="6"/>
      <c r="AN395" s="6"/>
      <c r="AO395" s="6" t="s">
        <v>3399</v>
      </c>
      <c r="AP395" s="6"/>
      <c r="AQ395" s="6"/>
      <c r="AR395" s="6"/>
      <c r="AS395" s="6">
        <v>2018</v>
      </c>
      <c r="AT395" s="6"/>
      <c r="AU395" s="6"/>
      <c r="AV395" s="6"/>
      <c r="AW395" s="6"/>
      <c r="AX395" s="6"/>
      <c r="AY395" s="6"/>
      <c r="AZ395" s="6">
        <v>362</v>
      </c>
      <c r="BA395" s="6">
        <v>372</v>
      </c>
      <c r="BB395" s="6"/>
      <c r="BC395" s="6"/>
      <c r="BD395" s="6"/>
      <c r="BE395" s="6"/>
      <c r="BF395" s="6"/>
      <c r="BG395" s="6"/>
      <c r="BH395" s="6"/>
      <c r="BI395" s="6"/>
      <c r="BJ395" s="6" t="s">
        <v>3400</v>
      </c>
      <c r="BK395" s="6"/>
      <c r="BL395" s="6"/>
      <c r="BM395" s="6"/>
      <c r="BN395" s="6"/>
      <c r="BO395" s="6"/>
      <c r="BP395" s="6"/>
      <c r="BQ395" s="6"/>
      <c r="BR395" s="6"/>
      <c r="BS395" s="6"/>
      <c r="BT395" s="6"/>
      <c r="BU395" s="8" t="s">
        <v>7210</v>
      </c>
      <c r="BV395" s="8" t="s">
        <v>7188</v>
      </c>
      <c r="BW395" s="8" t="s">
        <v>7189</v>
      </c>
    </row>
    <row r="396" spans="1:75" ht="12.75" customHeight="1">
      <c r="A396" s="4" t="s">
        <v>63</v>
      </c>
      <c r="B396" s="4" t="s">
        <v>2939</v>
      </c>
      <c r="C396" s="4"/>
      <c r="D396" s="4"/>
      <c r="E396" s="4"/>
      <c r="F396" s="4" t="s">
        <v>2940</v>
      </c>
      <c r="G396" s="4"/>
      <c r="H396" s="4"/>
      <c r="I396" s="4" t="s">
        <v>2941</v>
      </c>
      <c r="J396" s="4" t="s">
        <v>1142</v>
      </c>
      <c r="K396" s="4"/>
      <c r="L396" s="4"/>
      <c r="M396" s="4"/>
      <c r="N396" s="4"/>
      <c r="O396" s="4"/>
      <c r="P396" s="4"/>
      <c r="Q396" s="4"/>
      <c r="R396" s="4"/>
      <c r="S396" s="4"/>
      <c r="T396" s="4" t="s">
        <v>2942</v>
      </c>
      <c r="U396" s="4"/>
      <c r="V396" s="4"/>
      <c r="W396" s="4"/>
      <c r="X396" s="4"/>
      <c r="Y396" s="4" t="s">
        <v>2943</v>
      </c>
      <c r="Z396" s="4" t="s">
        <v>2944</v>
      </c>
      <c r="AA396" s="4"/>
      <c r="AB396" s="4"/>
      <c r="AC396" s="4"/>
      <c r="AD396" s="4"/>
      <c r="AE396" s="4"/>
      <c r="AF396" s="4"/>
      <c r="AG396" s="4"/>
      <c r="AH396" s="4"/>
      <c r="AI396" s="4"/>
      <c r="AJ396" s="4"/>
      <c r="AK396" s="4"/>
      <c r="AL396" s="4"/>
      <c r="AM396" s="4"/>
      <c r="AN396" s="4" t="s">
        <v>1144</v>
      </c>
      <c r="AO396" s="4"/>
      <c r="AP396" s="4"/>
      <c r="AQ396" s="4"/>
      <c r="AR396" s="4" t="s">
        <v>92</v>
      </c>
      <c r="AS396" s="4">
        <v>2017</v>
      </c>
      <c r="AT396" s="4">
        <v>14</v>
      </c>
      <c r="AU396" s="4">
        <v>10</v>
      </c>
      <c r="AV396" s="4"/>
      <c r="AW396" s="4"/>
      <c r="AX396" s="4"/>
      <c r="AY396" s="4"/>
      <c r="AZ396" s="4"/>
      <c r="BA396" s="4"/>
      <c r="BB396" s="4">
        <v>1242</v>
      </c>
      <c r="BC396" s="4" t="s">
        <v>2945</v>
      </c>
      <c r="BD396" s="5" t="str">
        <f>HYPERLINK("http://dx.doi.org/10.3390/ijerph14101242","http://dx.doi.org/10.3390/ijerph14101242")</f>
        <v>http://dx.doi.org/10.3390/ijerph14101242</v>
      </c>
      <c r="BE396" s="4"/>
      <c r="BF396" s="4"/>
      <c r="BG396" s="4"/>
      <c r="BH396" s="4"/>
      <c r="BI396" s="4">
        <v>29057794</v>
      </c>
      <c r="BJ396" s="4" t="s">
        <v>2946</v>
      </c>
      <c r="BK396" s="4"/>
      <c r="BL396" s="4"/>
      <c r="BM396" s="4"/>
      <c r="BN396" s="4"/>
      <c r="BO396" s="4"/>
      <c r="BP396" s="4"/>
      <c r="BQ396" s="4"/>
      <c r="BR396" s="4"/>
      <c r="BS396" s="4"/>
      <c r="BT396" s="4"/>
      <c r="BU396" s="12" t="s">
        <v>7262</v>
      </c>
      <c r="BV396" s="12" t="s">
        <v>7188</v>
      </c>
      <c r="BW396" s="12" t="s">
        <v>7189</v>
      </c>
    </row>
    <row r="397" spans="1:75" ht="12.75" customHeight="1">
      <c r="A397" s="4" t="s">
        <v>63</v>
      </c>
      <c r="B397" s="4" t="s">
        <v>4299</v>
      </c>
      <c r="C397" s="4"/>
      <c r="D397" s="4"/>
      <c r="E397" s="4"/>
      <c r="F397" s="4" t="s">
        <v>4300</v>
      </c>
      <c r="G397" s="4"/>
      <c r="H397" s="4"/>
      <c r="I397" s="4" t="s">
        <v>4301</v>
      </c>
      <c r="J397" s="4" t="s">
        <v>1142</v>
      </c>
      <c r="K397" s="4"/>
      <c r="L397" s="4"/>
      <c r="M397" s="4"/>
      <c r="N397" s="4"/>
      <c r="O397" s="4"/>
      <c r="P397" s="4"/>
      <c r="Q397" s="4"/>
      <c r="R397" s="4"/>
      <c r="S397" s="4"/>
      <c r="T397" s="4" t="s">
        <v>4302</v>
      </c>
      <c r="U397" s="4"/>
      <c r="V397" s="4"/>
      <c r="W397" s="4"/>
      <c r="X397" s="4"/>
      <c r="Y397" s="4"/>
      <c r="Z397" s="4"/>
      <c r="AA397" s="4"/>
      <c r="AB397" s="4"/>
      <c r="AC397" s="4"/>
      <c r="AD397" s="4"/>
      <c r="AE397" s="4"/>
      <c r="AF397" s="4"/>
      <c r="AG397" s="4"/>
      <c r="AH397" s="4"/>
      <c r="AI397" s="4"/>
      <c r="AJ397" s="4"/>
      <c r="AK397" s="4"/>
      <c r="AL397" s="4"/>
      <c r="AM397" s="4"/>
      <c r="AN397" s="4" t="s">
        <v>1144</v>
      </c>
      <c r="AO397" s="4"/>
      <c r="AP397" s="4"/>
      <c r="AQ397" s="4"/>
      <c r="AR397" s="4" t="s">
        <v>68</v>
      </c>
      <c r="AS397" s="4">
        <v>2020</v>
      </c>
      <c r="AT397" s="4">
        <v>17</v>
      </c>
      <c r="AU397" s="4">
        <v>7</v>
      </c>
      <c r="AV397" s="4"/>
      <c r="AW397" s="4"/>
      <c r="AX397" s="4"/>
      <c r="AY397" s="4"/>
      <c r="AZ397" s="4"/>
      <c r="BA397" s="4"/>
      <c r="BB397" s="4">
        <v>2434</v>
      </c>
      <c r="BC397" s="4" t="s">
        <v>4303</v>
      </c>
      <c r="BD397" s="5" t="str">
        <f>HYPERLINK("http://dx.doi.org/10.3390/ijerph17072434","http://dx.doi.org/10.3390/ijerph17072434")</f>
        <v>http://dx.doi.org/10.3390/ijerph17072434</v>
      </c>
      <c r="BE397" s="4"/>
      <c r="BF397" s="4"/>
      <c r="BG397" s="4"/>
      <c r="BH397" s="4"/>
      <c r="BI397" s="4">
        <v>32260107</v>
      </c>
      <c r="BJ397" s="4" t="s">
        <v>4304</v>
      </c>
      <c r="BK397" s="4"/>
      <c r="BL397" s="4"/>
      <c r="BM397" s="4"/>
      <c r="BN397" s="4"/>
      <c r="BO397" s="4"/>
      <c r="BP397" s="4"/>
      <c r="BQ397" s="4"/>
      <c r="BR397" s="4"/>
      <c r="BS397" s="4"/>
      <c r="BT397" s="4"/>
      <c r="BU397" s="14" t="s">
        <v>7222</v>
      </c>
      <c r="BV397" s="12" t="s">
        <v>7188</v>
      </c>
      <c r="BW397" s="12" t="s">
        <v>7189</v>
      </c>
    </row>
    <row r="398" spans="1:75" ht="12.75" customHeight="1">
      <c r="A398" s="3" t="s">
        <v>63</v>
      </c>
      <c r="B398" s="3" t="s">
        <v>2398</v>
      </c>
      <c r="C398" s="3"/>
      <c r="D398" s="3"/>
      <c r="E398" s="3"/>
      <c r="F398" s="3" t="s">
        <v>2399</v>
      </c>
      <c r="G398" s="3"/>
      <c r="H398" s="3"/>
      <c r="I398" s="3" t="s">
        <v>2400</v>
      </c>
      <c r="J398" s="3" t="s">
        <v>2401</v>
      </c>
      <c r="K398" s="3"/>
      <c r="L398" s="3"/>
      <c r="M398" s="3"/>
      <c r="N398" s="3" t="s">
        <v>2402</v>
      </c>
      <c r="O398" s="3" t="s">
        <v>1223</v>
      </c>
      <c r="P398" s="3" t="s">
        <v>2403</v>
      </c>
      <c r="Q398" s="3"/>
      <c r="R398" s="3"/>
      <c r="S398" s="3"/>
      <c r="T398" s="3"/>
      <c r="U398" s="3"/>
      <c r="V398" s="3"/>
      <c r="W398" s="3"/>
      <c r="X398" s="3"/>
      <c r="Y398" s="3"/>
      <c r="Z398" s="3"/>
      <c r="AA398" s="3"/>
      <c r="AB398" s="3"/>
      <c r="AC398" s="3"/>
      <c r="AD398" s="3"/>
      <c r="AE398" s="3"/>
      <c r="AF398" s="3"/>
      <c r="AG398" s="3"/>
      <c r="AH398" s="3"/>
      <c r="AI398" s="3"/>
      <c r="AJ398" s="3"/>
      <c r="AK398" s="3"/>
      <c r="AL398" s="3"/>
      <c r="AM398" s="3" t="s">
        <v>2404</v>
      </c>
      <c r="AN398" s="3" t="s">
        <v>2405</v>
      </c>
      <c r="AO398" s="3"/>
      <c r="AP398" s="3"/>
      <c r="AQ398" s="3"/>
      <c r="AR398" s="3" t="s">
        <v>78</v>
      </c>
      <c r="AS398" s="3">
        <v>2016</v>
      </c>
      <c r="AT398" s="3">
        <v>48</v>
      </c>
      <c r="AU398" s="3">
        <v>5</v>
      </c>
      <c r="AV398" s="3"/>
      <c r="AW398" s="3">
        <v>1</v>
      </c>
      <c r="AX398" s="3"/>
      <c r="AY398" s="3">
        <v>2687</v>
      </c>
      <c r="AZ398" s="3">
        <v>751</v>
      </c>
      <c r="BA398" s="3">
        <v>751</v>
      </c>
      <c r="BB398" s="3"/>
      <c r="BC398" s="3" t="s">
        <v>2406</v>
      </c>
      <c r="BD398" s="15" t="str">
        <f>HYPERLINK("http://dx.doi.org/10.1249/01.mss.0000487256.32175.16","http://dx.doi.org/10.1249/01.mss.0000487256.32175.16")</f>
        <v>http://dx.doi.org/10.1249/01.mss.0000487256.32175.16</v>
      </c>
      <c r="BE398" s="3"/>
      <c r="BF398" s="3"/>
      <c r="BG398" s="3"/>
      <c r="BH398" s="3"/>
      <c r="BI398" s="3"/>
      <c r="BJ398" s="3" t="s">
        <v>2407</v>
      </c>
      <c r="BK398" s="3"/>
      <c r="BL398" s="3"/>
      <c r="BM398" s="3"/>
      <c r="BN398" s="3"/>
      <c r="BO398" s="3"/>
      <c r="BP398" s="3"/>
      <c r="BQ398" s="3"/>
      <c r="BR398" s="3"/>
      <c r="BS398" s="3"/>
      <c r="BT398" s="3"/>
      <c r="BU398" s="2" t="s">
        <v>7193</v>
      </c>
      <c r="BV398" s="2" t="s">
        <v>7188</v>
      </c>
      <c r="BW398" s="2" t="s">
        <v>7189</v>
      </c>
    </row>
    <row r="399" spans="1:75" ht="12.75" customHeight="1">
      <c r="A399" s="3" t="s">
        <v>63</v>
      </c>
      <c r="B399" s="3" t="s">
        <v>2408</v>
      </c>
      <c r="C399" s="3"/>
      <c r="D399" s="3"/>
      <c r="E399" s="3"/>
      <c r="F399" s="3" t="s">
        <v>2409</v>
      </c>
      <c r="G399" s="3"/>
      <c r="H399" s="3"/>
      <c r="I399" s="3" t="s">
        <v>2410</v>
      </c>
      <c r="J399" s="3" t="s">
        <v>221</v>
      </c>
      <c r="K399" s="3"/>
      <c r="L399" s="3"/>
      <c r="M399" s="3"/>
      <c r="N399" s="3"/>
      <c r="O399" s="3"/>
      <c r="P399" s="3"/>
      <c r="Q399" s="3"/>
      <c r="R399" s="3"/>
      <c r="S399" s="3"/>
      <c r="T399" s="3" t="s">
        <v>2411</v>
      </c>
      <c r="U399" s="3"/>
      <c r="V399" s="3"/>
      <c r="W399" s="3"/>
      <c r="X399" s="3"/>
      <c r="Y399" s="3"/>
      <c r="Z399" s="3" t="s">
        <v>2412</v>
      </c>
      <c r="AA399" s="3"/>
      <c r="AB399" s="3"/>
      <c r="AC399" s="3"/>
      <c r="AD399" s="3"/>
      <c r="AE399" s="3"/>
      <c r="AF399" s="3"/>
      <c r="AG399" s="3"/>
      <c r="AH399" s="3"/>
      <c r="AI399" s="3"/>
      <c r="AJ399" s="3"/>
      <c r="AK399" s="3"/>
      <c r="AL399" s="3"/>
      <c r="AM399" s="3" t="s">
        <v>223</v>
      </c>
      <c r="AN399" s="3" t="s">
        <v>224</v>
      </c>
      <c r="AO399" s="3"/>
      <c r="AP399" s="3"/>
      <c r="AQ399" s="3"/>
      <c r="AR399" s="3" t="s">
        <v>65</v>
      </c>
      <c r="AS399" s="3">
        <v>2016</v>
      </c>
      <c r="AT399" s="3">
        <v>33</v>
      </c>
      <c r="AU399" s="3">
        <v>4</v>
      </c>
      <c r="AV399" s="3"/>
      <c r="AW399" s="3"/>
      <c r="AX399" s="3"/>
      <c r="AY399" s="3"/>
      <c r="AZ399" s="3">
        <v>877</v>
      </c>
      <c r="BA399" s="3">
        <v>893</v>
      </c>
      <c r="BB399" s="3"/>
      <c r="BC399" s="3" t="s">
        <v>2413</v>
      </c>
      <c r="BD399" s="15" t="str">
        <f>HYPERLINK("http://dx.doi.org/10.1007/s10460-016-9680-9","http://dx.doi.org/10.1007/s10460-016-9680-9")</f>
        <v>http://dx.doi.org/10.1007/s10460-016-9680-9</v>
      </c>
      <c r="BE399" s="3"/>
      <c r="BF399" s="3"/>
      <c r="BG399" s="3"/>
      <c r="BH399" s="3"/>
      <c r="BI399" s="3"/>
      <c r="BJ399" s="3" t="s">
        <v>2414</v>
      </c>
      <c r="BK399" s="3"/>
      <c r="BL399" s="3"/>
      <c r="BM399" s="3"/>
      <c r="BN399" s="3"/>
      <c r="BO399" s="3"/>
      <c r="BP399" s="3"/>
      <c r="BQ399" s="3"/>
      <c r="BR399" s="3"/>
      <c r="BS399" s="3"/>
      <c r="BT399" s="3"/>
      <c r="BU399" s="13" t="s">
        <v>7251</v>
      </c>
      <c r="BV399" s="10" t="s">
        <v>7188</v>
      </c>
      <c r="BW399" s="10" t="s">
        <v>7189</v>
      </c>
    </row>
    <row r="400" spans="1:75" ht="12.75" customHeight="1">
      <c r="A400" s="3" t="s">
        <v>63</v>
      </c>
      <c r="B400" s="3" t="s">
        <v>3401</v>
      </c>
      <c r="C400" s="3"/>
      <c r="D400" s="3"/>
      <c r="E400" s="3"/>
      <c r="F400" s="3" t="s">
        <v>3402</v>
      </c>
      <c r="G400" s="3"/>
      <c r="H400" s="3"/>
      <c r="I400" s="3" t="s">
        <v>3403</v>
      </c>
      <c r="J400" s="3" t="s">
        <v>3404</v>
      </c>
      <c r="K400" s="3"/>
      <c r="L400" s="3"/>
      <c r="M400" s="3"/>
      <c r="N400" s="3"/>
      <c r="O400" s="3"/>
      <c r="P400" s="3"/>
      <c r="Q400" s="3"/>
      <c r="R400" s="3"/>
      <c r="S400" s="3"/>
      <c r="T400" s="3" t="s">
        <v>3405</v>
      </c>
      <c r="U400" s="3"/>
      <c r="V400" s="3"/>
      <c r="W400" s="3"/>
      <c r="X400" s="3"/>
      <c r="Y400" s="3" t="s">
        <v>3406</v>
      </c>
      <c r="Z400" s="3" t="s">
        <v>3407</v>
      </c>
      <c r="AA400" s="3"/>
      <c r="AB400" s="3"/>
      <c r="AC400" s="3"/>
      <c r="AD400" s="3"/>
      <c r="AE400" s="3"/>
      <c r="AF400" s="3"/>
      <c r="AG400" s="3"/>
      <c r="AH400" s="3"/>
      <c r="AI400" s="3"/>
      <c r="AJ400" s="3"/>
      <c r="AK400" s="3"/>
      <c r="AL400" s="3"/>
      <c r="AM400" s="3" t="s">
        <v>3408</v>
      </c>
      <c r="AN400" s="3"/>
      <c r="AO400" s="3"/>
      <c r="AP400" s="3"/>
      <c r="AQ400" s="3"/>
      <c r="AR400" s="3" t="s">
        <v>3409</v>
      </c>
      <c r="AS400" s="3">
        <v>2018</v>
      </c>
      <c r="AT400" s="3"/>
      <c r="AU400" s="3">
        <v>25</v>
      </c>
      <c r="AV400" s="3"/>
      <c r="AW400" s="3"/>
      <c r="AX400" s="3"/>
      <c r="AY400" s="3"/>
      <c r="AZ400" s="3">
        <v>396</v>
      </c>
      <c r="BA400" s="3">
        <v>411</v>
      </c>
      <c r="BB400" s="3"/>
      <c r="BC400" s="3"/>
      <c r="BD400" s="3"/>
      <c r="BE400" s="3"/>
      <c r="BF400" s="3"/>
      <c r="BG400" s="3"/>
      <c r="BH400" s="3"/>
      <c r="BI400" s="3"/>
      <c r="BJ400" s="3" t="s">
        <v>3410</v>
      </c>
      <c r="BK400" s="3"/>
      <c r="BL400" s="3"/>
      <c r="BM400" s="3"/>
      <c r="BN400" s="3"/>
      <c r="BO400" s="3"/>
      <c r="BP400" s="3"/>
      <c r="BQ400" s="3"/>
      <c r="BR400" s="3"/>
      <c r="BS400" s="3"/>
      <c r="BT400" s="3"/>
      <c r="BU400" s="19" t="s">
        <v>7374</v>
      </c>
      <c r="BV400" s="2" t="s">
        <v>6423</v>
      </c>
      <c r="BW400" s="2" t="s">
        <v>7196</v>
      </c>
    </row>
    <row r="401" spans="1:75" ht="12.75" customHeight="1">
      <c r="A401" s="3" t="s">
        <v>63</v>
      </c>
      <c r="B401" s="3" t="s">
        <v>1489</v>
      </c>
      <c r="C401" s="3"/>
      <c r="D401" s="3"/>
      <c r="E401" s="3"/>
      <c r="F401" s="3" t="s">
        <v>1490</v>
      </c>
      <c r="G401" s="3"/>
      <c r="H401" s="3"/>
      <c r="I401" s="3" t="s">
        <v>1491</v>
      </c>
      <c r="J401" s="3" t="s">
        <v>650</v>
      </c>
      <c r="K401" s="3"/>
      <c r="L401" s="3"/>
      <c r="M401" s="3"/>
      <c r="N401" s="3"/>
      <c r="O401" s="3"/>
      <c r="P401" s="3"/>
      <c r="Q401" s="3"/>
      <c r="R401" s="3"/>
      <c r="S401" s="3"/>
      <c r="T401" s="3" t="s">
        <v>1492</v>
      </c>
      <c r="U401" s="3"/>
      <c r="V401" s="3"/>
      <c r="W401" s="3"/>
      <c r="X401" s="3"/>
      <c r="Y401" s="3" t="s">
        <v>1493</v>
      </c>
      <c r="Z401" s="3" t="s">
        <v>1494</v>
      </c>
      <c r="AA401" s="3"/>
      <c r="AB401" s="3"/>
      <c r="AC401" s="3"/>
      <c r="AD401" s="3"/>
      <c r="AE401" s="3"/>
      <c r="AF401" s="3"/>
      <c r="AG401" s="3"/>
      <c r="AH401" s="3"/>
      <c r="AI401" s="3"/>
      <c r="AJ401" s="3"/>
      <c r="AK401" s="3"/>
      <c r="AL401" s="3"/>
      <c r="AM401" s="3" t="s">
        <v>654</v>
      </c>
      <c r="AN401" s="3" t="s">
        <v>655</v>
      </c>
      <c r="AO401" s="3"/>
      <c r="AP401" s="3"/>
      <c r="AQ401" s="3"/>
      <c r="AR401" s="3" t="s">
        <v>64</v>
      </c>
      <c r="AS401" s="3">
        <v>2014</v>
      </c>
      <c r="AT401" s="3">
        <v>47</v>
      </c>
      <c r="AU401" s="3">
        <v>5</v>
      </c>
      <c r="AV401" s="3"/>
      <c r="AW401" s="3"/>
      <c r="AX401" s="3"/>
      <c r="AY401" s="3"/>
      <c r="AZ401" s="3">
        <v>587</v>
      </c>
      <c r="BA401" s="3">
        <v>595</v>
      </c>
      <c r="BB401" s="3"/>
      <c r="BC401" s="3" t="s">
        <v>1495</v>
      </c>
      <c r="BD401" s="15" t="str">
        <f>HYPERLINK("http://dx.doi.org/10.1016/j.amepre.2014.07.005","http://dx.doi.org/10.1016/j.amepre.2014.07.005")</f>
        <v>http://dx.doi.org/10.1016/j.amepre.2014.07.005</v>
      </c>
      <c r="BE401" s="3"/>
      <c r="BF401" s="3"/>
      <c r="BG401" s="3"/>
      <c r="BH401" s="3"/>
      <c r="BI401" s="3">
        <v>25217097</v>
      </c>
      <c r="BJ401" s="3" t="s">
        <v>1496</v>
      </c>
      <c r="BK401" s="3"/>
      <c r="BL401" s="3"/>
      <c r="BM401" s="3"/>
      <c r="BN401" s="3"/>
      <c r="BO401" s="3"/>
      <c r="BP401" s="3"/>
      <c r="BQ401" s="3"/>
      <c r="BR401" s="3"/>
      <c r="BS401" s="3"/>
      <c r="BT401" s="3"/>
      <c r="BU401" s="1" t="s">
        <v>7222</v>
      </c>
      <c r="BV401" s="10" t="s">
        <v>7188</v>
      </c>
      <c r="BW401" s="10" t="s">
        <v>7189</v>
      </c>
    </row>
    <row r="402" spans="1:75" ht="12.75" customHeight="1">
      <c r="A402" s="6" t="s">
        <v>63</v>
      </c>
      <c r="B402" s="6" t="s">
        <v>2415</v>
      </c>
      <c r="C402" s="6"/>
      <c r="D402" s="6"/>
      <c r="E402" s="6"/>
      <c r="F402" s="6" t="s">
        <v>2416</v>
      </c>
      <c r="G402" s="6"/>
      <c r="H402" s="6"/>
      <c r="I402" s="6" t="s">
        <v>2417</v>
      </c>
      <c r="J402" s="6" t="s">
        <v>2418</v>
      </c>
      <c r="K402" s="6"/>
      <c r="L402" s="6"/>
      <c r="M402" s="6"/>
      <c r="N402" s="6"/>
      <c r="O402" s="6"/>
      <c r="P402" s="6"/>
      <c r="Q402" s="6"/>
      <c r="R402" s="6"/>
      <c r="S402" s="6"/>
      <c r="T402" s="6" t="s">
        <v>2419</v>
      </c>
      <c r="U402" s="6"/>
      <c r="V402" s="6"/>
      <c r="W402" s="6"/>
      <c r="X402" s="6"/>
      <c r="Y402" s="6" t="s">
        <v>2420</v>
      </c>
      <c r="Z402" s="6" t="s">
        <v>2421</v>
      </c>
      <c r="AA402" s="6"/>
      <c r="AB402" s="6"/>
      <c r="AC402" s="6"/>
      <c r="AD402" s="6"/>
      <c r="AE402" s="6"/>
      <c r="AF402" s="6"/>
      <c r="AG402" s="6"/>
      <c r="AH402" s="6"/>
      <c r="AI402" s="6"/>
      <c r="AJ402" s="6"/>
      <c r="AK402" s="6"/>
      <c r="AL402" s="6"/>
      <c r="AM402" s="6" t="s">
        <v>2422</v>
      </c>
      <c r="AN402" s="6"/>
      <c r="AO402" s="6"/>
      <c r="AP402" s="6"/>
      <c r="AQ402" s="6"/>
      <c r="AR402" s="6" t="s">
        <v>602</v>
      </c>
      <c r="AS402" s="6">
        <v>2016</v>
      </c>
      <c r="AT402" s="6">
        <v>5</v>
      </c>
      <c r="AU402" s="6">
        <v>2</v>
      </c>
      <c r="AV402" s="6"/>
      <c r="AW402" s="6"/>
      <c r="AX402" s="6"/>
      <c r="AY402" s="6"/>
      <c r="AZ402" s="6"/>
      <c r="BA402" s="6"/>
      <c r="BB402" s="6" t="s">
        <v>2423</v>
      </c>
      <c r="BC402" s="6" t="s">
        <v>2424</v>
      </c>
      <c r="BD402" s="9" t="str">
        <f>HYPERLINK("http://dx.doi.org/10.2196/resprot.5303","http://dx.doi.org/10.2196/resprot.5303")</f>
        <v>http://dx.doi.org/10.2196/resprot.5303</v>
      </c>
      <c r="BE402" s="6"/>
      <c r="BF402" s="6"/>
      <c r="BG402" s="6"/>
      <c r="BH402" s="6"/>
      <c r="BI402" s="6">
        <v>27079140</v>
      </c>
      <c r="BJ402" s="6" t="s">
        <v>2425</v>
      </c>
      <c r="BK402" s="6"/>
      <c r="BL402" s="6"/>
      <c r="BM402" s="6"/>
      <c r="BN402" s="6"/>
      <c r="BO402" s="6"/>
      <c r="BP402" s="6"/>
      <c r="BQ402" s="6"/>
      <c r="BR402" s="6"/>
      <c r="BS402" s="6"/>
      <c r="BT402" s="6"/>
      <c r="BU402" s="8" t="s">
        <v>7375</v>
      </c>
      <c r="BV402" s="8" t="s">
        <v>2039</v>
      </c>
      <c r="BW402" s="8" t="s">
        <v>7189</v>
      </c>
    </row>
    <row r="403" spans="1:75" ht="12.75" customHeight="1">
      <c r="A403" s="7" t="s">
        <v>63</v>
      </c>
      <c r="B403" s="7" t="s">
        <v>2947</v>
      </c>
      <c r="C403" s="7"/>
      <c r="D403" s="7"/>
      <c r="E403" s="7"/>
      <c r="F403" s="7" t="s">
        <v>2948</v>
      </c>
      <c r="G403" s="7"/>
      <c r="H403" s="7"/>
      <c r="I403" s="7" t="s">
        <v>2949</v>
      </c>
      <c r="J403" s="7" t="s">
        <v>1221</v>
      </c>
      <c r="K403" s="7"/>
      <c r="L403" s="7"/>
      <c r="M403" s="7"/>
      <c r="N403" s="7" t="s">
        <v>2950</v>
      </c>
      <c r="O403" s="7" t="s">
        <v>2542</v>
      </c>
      <c r="P403" s="7" t="s">
        <v>2951</v>
      </c>
      <c r="Q403" s="7"/>
      <c r="R403" s="7"/>
      <c r="S403" s="7"/>
      <c r="T403" s="7"/>
      <c r="U403" s="7"/>
      <c r="V403" s="7"/>
      <c r="W403" s="7"/>
      <c r="X403" s="7"/>
      <c r="Y403" s="7" t="s">
        <v>2952</v>
      </c>
      <c r="Z403" s="7"/>
      <c r="AA403" s="7"/>
      <c r="AB403" s="7"/>
      <c r="AC403" s="7"/>
      <c r="AD403" s="7"/>
      <c r="AE403" s="7"/>
      <c r="AF403" s="7"/>
      <c r="AG403" s="7"/>
      <c r="AH403" s="7"/>
      <c r="AI403" s="7"/>
      <c r="AJ403" s="7"/>
      <c r="AK403" s="7"/>
      <c r="AL403" s="7"/>
      <c r="AM403" s="7" t="s">
        <v>1225</v>
      </c>
      <c r="AN403" s="7" t="s">
        <v>2019</v>
      </c>
      <c r="AO403" s="7"/>
      <c r="AP403" s="7"/>
      <c r="AQ403" s="7"/>
      <c r="AR403" s="7" t="s">
        <v>68</v>
      </c>
      <c r="AS403" s="7">
        <v>2017</v>
      </c>
      <c r="AT403" s="7">
        <v>31</v>
      </c>
      <c r="AU403" s="7"/>
      <c r="AV403" s="7"/>
      <c r="AW403" s="7">
        <v>1</v>
      </c>
      <c r="AX403" s="7"/>
      <c r="AY403" s="7">
        <v>45.6</v>
      </c>
      <c r="AZ403" s="7"/>
      <c r="BA403" s="7"/>
      <c r="BB403" s="7"/>
      <c r="BC403" s="7"/>
      <c r="BD403" s="7"/>
      <c r="BE403" s="7"/>
      <c r="BF403" s="7"/>
      <c r="BG403" s="7"/>
      <c r="BH403" s="7"/>
      <c r="BI403" s="7"/>
      <c r="BJ403" s="7" t="s">
        <v>2953</v>
      </c>
      <c r="BK403" s="7"/>
      <c r="BL403" s="7"/>
      <c r="BM403" s="7"/>
      <c r="BN403" s="7"/>
      <c r="BO403" s="7"/>
      <c r="BP403" s="7"/>
      <c r="BQ403" s="7"/>
      <c r="BR403" s="7"/>
      <c r="BS403" s="7"/>
      <c r="BT403" s="7"/>
      <c r="BU403" s="1" t="s">
        <v>7303</v>
      </c>
      <c r="BV403" s="10" t="s">
        <v>7188</v>
      </c>
      <c r="BW403" s="10" t="s">
        <v>7189</v>
      </c>
    </row>
    <row r="404" spans="1:75" ht="12.75" customHeight="1">
      <c r="A404" s="3" t="s">
        <v>63</v>
      </c>
      <c r="B404" s="3" t="s">
        <v>2954</v>
      </c>
      <c r="C404" s="3"/>
      <c r="D404" s="3"/>
      <c r="E404" s="3"/>
      <c r="F404" s="3" t="s">
        <v>2955</v>
      </c>
      <c r="G404" s="3"/>
      <c r="H404" s="3"/>
      <c r="I404" s="3" t="s">
        <v>2956</v>
      </c>
      <c r="J404" s="3" t="s">
        <v>2957</v>
      </c>
      <c r="K404" s="3"/>
      <c r="L404" s="3"/>
      <c r="M404" s="3"/>
      <c r="N404" s="3"/>
      <c r="O404" s="3"/>
      <c r="P404" s="3"/>
      <c r="Q404" s="3"/>
      <c r="R404" s="3"/>
      <c r="S404" s="3"/>
      <c r="T404" s="3" t="s">
        <v>2958</v>
      </c>
      <c r="U404" s="3"/>
      <c r="V404" s="3"/>
      <c r="W404" s="3"/>
      <c r="X404" s="3"/>
      <c r="Y404" s="3" t="s">
        <v>2959</v>
      </c>
      <c r="Z404" s="3" t="s">
        <v>2960</v>
      </c>
      <c r="AA404" s="3"/>
      <c r="AB404" s="3"/>
      <c r="AC404" s="3"/>
      <c r="AD404" s="3"/>
      <c r="AE404" s="3"/>
      <c r="AF404" s="3"/>
      <c r="AG404" s="3"/>
      <c r="AH404" s="3"/>
      <c r="AI404" s="3"/>
      <c r="AJ404" s="3"/>
      <c r="AK404" s="3"/>
      <c r="AL404" s="3"/>
      <c r="AM404" s="3" t="s">
        <v>2961</v>
      </c>
      <c r="AN404" s="3" t="s">
        <v>2962</v>
      </c>
      <c r="AO404" s="3"/>
      <c r="AP404" s="3"/>
      <c r="AQ404" s="3"/>
      <c r="AR404" s="3" t="s">
        <v>445</v>
      </c>
      <c r="AS404" s="3">
        <v>2017</v>
      </c>
      <c r="AT404" s="3">
        <v>10</v>
      </c>
      <c r="AU404" s="3">
        <v>9</v>
      </c>
      <c r="AV404" s="3"/>
      <c r="AW404" s="3"/>
      <c r="AX404" s="3"/>
      <c r="AY404" s="3"/>
      <c r="AZ404" s="3"/>
      <c r="BA404" s="3"/>
      <c r="BB404" s="3" t="s">
        <v>2963</v>
      </c>
      <c r="BC404" s="3" t="s">
        <v>2964</v>
      </c>
      <c r="BD404" s="15" t="str">
        <f>HYPERLINK("http://dx.doi.org/10.1161/CIRCOUTCOMES.116.003532","http://dx.doi.org/10.1161/CIRCOUTCOMES.116.003532")</f>
        <v>http://dx.doi.org/10.1161/CIRCOUTCOMES.116.003532</v>
      </c>
      <c r="BE404" s="3"/>
      <c r="BF404" s="3"/>
      <c r="BG404" s="3"/>
      <c r="BH404" s="3"/>
      <c r="BI404" s="3">
        <v>28904075</v>
      </c>
      <c r="BJ404" s="3" t="s">
        <v>2965</v>
      </c>
      <c r="BK404" s="3"/>
      <c r="BL404" s="3"/>
      <c r="BM404" s="3"/>
      <c r="BN404" s="3"/>
      <c r="BO404" s="3"/>
      <c r="BP404" s="3"/>
      <c r="BQ404" s="3"/>
      <c r="BR404" s="3"/>
      <c r="BS404" s="3"/>
      <c r="BT404" s="3"/>
      <c r="BU404" s="1" t="s">
        <v>7376</v>
      </c>
      <c r="BV404" s="10" t="s">
        <v>7188</v>
      </c>
      <c r="BW404" s="10" t="s">
        <v>7189</v>
      </c>
    </row>
    <row r="405" spans="1:75" ht="12.75" customHeight="1">
      <c r="A405" s="3" t="s">
        <v>63</v>
      </c>
      <c r="B405" s="3" t="s">
        <v>647</v>
      </c>
      <c r="C405" s="3"/>
      <c r="D405" s="3"/>
      <c r="E405" s="3"/>
      <c r="F405" s="3" t="s">
        <v>648</v>
      </c>
      <c r="G405" s="3"/>
      <c r="H405" s="3"/>
      <c r="I405" s="3" t="s">
        <v>1155</v>
      </c>
      <c r="J405" s="3" t="s">
        <v>434</v>
      </c>
      <c r="K405" s="3"/>
      <c r="L405" s="3"/>
      <c r="M405" s="3"/>
      <c r="N405" s="3"/>
      <c r="O405" s="3"/>
      <c r="P405" s="3"/>
      <c r="Q405" s="3"/>
      <c r="R405" s="3"/>
      <c r="S405" s="3"/>
      <c r="T405" s="3" t="s">
        <v>1156</v>
      </c>
      <c r="U405" s="3"/>
      <c r="V405" s="3"/>
      <c r="W405" s="3"/>
      <c r="X405" s="3"/>
      <c r="Y405" s="3" t="s">
        <v>830</v>
      </c>
      <c r="Z405" s="3" t="s">
        <v>653</v>
      </c>
      <c r="AA405" s="3"/>
      <c r="AB405" s="3"/>
      <c r="AC405" s="3"/>
      <c r="AD405" s="3"/>
      <c r="AE405" s="3"/>
      <c r="AF405" s="3"/>
      <c r="AG405" s="3"/>
      <c r="AH405" s="3"/>
      <c r="AI405" s="3"/>
      <c r="AJ405" s="3"/>
      <c r="AK405" s="3"/>
      <c r="AL405" s="3"/>
      <c r="AM405" s="3" t="s">
        <v>436</v>
      </c>
      <c r="AN405" s="3" t="s">
        <v>568</v>
      </c>
      <c r="AO405" s="3"/>
      <c r="AP405" s="3"/>
      <c r="AQ405" s="3"/>
      <c r="AR405" s="3" t="s">
        <v>66</v>
      </c>
      <c r="AS405" s="3">
        <v>2013</v>
      </c>
      <c r="AT405" s="3">
        <v>40</v>
      </c>
      <c r="AU405" s="3"/>
      <c r="AV405" s="3"/>
      <c r="AW405" s="3"/>
      <c r="AX405" s="3"/>
      <c r="AY405" s="3"/>
      <c r="AZ405" s="3">
        <v>1</v>
      </c>
      <c r="BA405" s="3">
        <v>10</v>
      </c>
      <c r="BB405" s="3"/>
      <c r="BC405" s="3" t="s">
        <v>1157</v>
      </c>
      <c r="BD405" s="15" t="str">
        <f>HYPERLINK("http://dx.doi.org/10.1016/j.apgeog.2013.01.003","http://dx.doi.org/10.1016/j.apgeog.2013.01.003")</f>
        <v>http://dx.doi.org/10.1016/j.apgeog.2013.01.003</v>
      </c>
      <c r="BE405" s="3"/>
      <c r="BF405" s="3"/>
      <c r="BG405" s="3"/>
      <c r="BH405" s="3"/>
      <c r="BI405" s="3"/>
      <c r="BJ405" s="3" t="s">
        <v>1158</v>
      </c>
      <c r="BK405" s="3"/>
      <c r="BL405" s="3"/>
      <c r="BM405" s="3"/>
      <c r="BN405" s="3"/>
      <c r="BO405" s="3"/>
      <c r="BP405" s="3"/>
      <c r="BQ405" s="3"/>
      <c r="BR405" s="3"/>
      <c r="BS405" s="3"/>
      <c r="BT405" s="3"/>
      <c r="BU405" s="1" t="s">
        <v>7377</v>
      </c>
      <c r="BV405" s="10" t="s">
        <v>7188</v>
      </c>
      <c r="BW405" s="10" t="s">
        <v>7189</v>
      </c>
    </row>
    <row r="406" spans="1:75" ht="12.75" customHeight="1">
      <c r="A406" s="3" t="s">
        <v>63</v>
      </c>
      <c r="B406" s="3" t="s">
        <v>4944</v>
      </c>
      <c r="C406" s="3"/>
      <c r="D406" s="3"/>
      <c r="E406" s="3"/>
      <c r="F406" s="3" t="s">
        <v>4945</v>
      </c>
      <c r="G406" s="3"/>
      <c r="H406" s="3"/>
      <c r="I406" s="3" t="s">
        <v>4946</v>
      </c>
      <c r="J406" s="3" t="s">
        <v>4506</v>
      </c>
      <c r="K406" s="3"/>
      <c r="L406" s="3"/>
      <c r="M406" s="3"/>
      <c r="N406" s="3"/>
      <c r="O406" s="3"/>
      <c r="P406" s="3"/>
      <c r="Q406" s="3"/>
      <c r="R406" s="3"/>
      <c r="S406" s="3"/>
      <c r="T406" s="3" t="s">
        <v>4947</v>
      </c>
      <c r="U406" s="3"/>
      <c r="V406" s="3"/>
      <c r="W406" s="3"/>
      <c r="X406" s="3"/>
      <c r="Y406" s="3"/>
      <c r="Z406" s="3" t="s">
        <v>4948</v>
      </c>
      <c r="AA406" s="3"/>
      <c r="AB406" s="3"/>
      <c r="AC406" s="3"/>
      <c r="AD406" s="3"/>
      <c r="AE406" s="3"/>
      <c r="AF406" s="3"/>
      <c r="AG406" s="3"/>
      <c r="AH406" s="3"/>
      <c r="AI406" s="3"/>
      <c r="AJ406" s="3"/>
      <c r="AK406" s="3"/>
      <c r="AL406" s="3"/>
      <c r="AM406" s="3"/>
      <c r="AN406" s="3" t="s">
        <v>4510</v>
      </c>
      <c r="AO406" s="3"/>
      <c r="AP406" s="3"/>
      <c r="AQ406" s="3"/>
      <c r="AR406" s="3" t="s">
        <v>64</v>
      </c>
      <c r="AS406" s="3">
        <v>2021</v>
      </c>
      <c r="AT406" s="3">
        <v>10</v>
      </c>
      <c r="AU406" s="3">
        <v>11</v>
      </c>
      <c r="AV406" s="3"/>
      <c r="AW406" s="3"/>
      <c r="AX406" s="3"/>
      <c r="AY406" s="3"/>
      <c r="AZ406" s="3"/>
      <c r="BA406" s="3"/>
      <c r="BB406" s="3">
        <v>745</v>
      </c>
      <c r="BC406" s="3" t="s">
        <v>4949</v>
      </c>
      <c r="BD406" s="15" t="str">
        <f>HYPERLINK("http://dx.doi.org/10.3390/ijgi10110745","http://dx.doi.org/10.3390/ijgi10110745")</f>
        <v>http://dx.doi.org/10.3390/ijgi10110745</v>
      </c>
      <c r="BE406" s="3"/>
      <c r="BF406" s="3"/>
      <c r="BG406" s="3"/>
      <c r="BH406" s="3"/>
      <c r="BI406" s="3"/>
      <c r="BJ406" s="3" t="s">
        <v>4950</v>
      </c>
      <c r="BK406" s="3"/>
      <c r="BL406" s="3"/>
      <c r="BM406" s="3"/>
      <c r="BN406" s="3"/>
      <c r="BO406" s="3"/>
      <c r="BP406" s="3"/>
      <c r="BQ406" s="3"/>
      <c r="BR406" s="3"/>
      <c r="BS406" s="3"/>
      <c r="BT406" s="3"/>
      <c r="BU406" s="1" t="s">
        <v>7225</v>
      </c>
      <c r="BV406" s="10" t="s">
        <v>7188</v>
      </c>
      <c r="BW406" s="10" t="s">
        <v>7189</v>
      </c>
    </row>
    <row r="407" spans="1:75" ht="12.75" customHeight="1">
      <c r="A407" s="4" t="s">
        <v>63</v>
      </c>
      <c r="B407" s="4" t="s">
        <v>3833</v>
      </c>
      <c r="C407" s="4"/>
      <c r="D407" s="4"/>
      <c r="E407" s="4"/>
      <c r="F407" s="4" t="s">
        <v>3834</v>
      </c>
      <c r="G407" s="4"/>
      <c r="H407" s="4"/>
      <c r="I407" s="4" t="s">
        <v>3835</v>
      </c>
      <c r="J407" s="4" t="s">
        <v>3836</v>
      </c>
      <c r="K407" s="4"/>
      <c r="L407" s="4"/>
      <c r="M407" s="4"/>
      <c r="N407" s="4"/>
      <c r="O407" s="4"/>
      <c r="P407" s="4"/>
      <c r="Q407" s="4"/>
      <c r="R407" s="4"/>
      <c r="S407" s="4"/>
      <c r="T407" s="4" t="s">
        <v>3837</v>
      </c>
      <c r="U407" s="4"/>
      <c r="V407" s="4"/>
      <c r="W407" s="4"/>
      <c r="X407" s="4"/>
      <c r="Y407" s="4"/>
      <c r="Z407" s="4" t="s">
        <v>3838</v>
      </c>
      <c r="AA407" s="4"/>
      <c r="AB407" s="4"/>
      <c r="AC407" s="4"/>
      <c r="AD407" s="4"/>
      <c r="AE407" s="4"/>
      <c r="AF407" s="4"/>
      <c r="AG407" s="4"/>
      <c r="AH407" s="4"/>
      <c r="AI407" s="4"/>
      <c r="AJ407" s="4"/>
      <c r="AK407" s="4"/>
      <c r="AL407" s="4"/>
      <c r="AM407" s="4" t="s">
        <v>3839</v>
      </c>
      <c r="AN407" s="4" t="s">
        <v>3840</v>
      </c>
      <c r="AO407" s="4"/>
      <c r="AP407" s="4"/>
      <c r="AQ407" s="4"/>
      <c r="AR407" s="4" t="s">
        <v>68</v>
      </c>
      <c r="AS407" s="4">
        <v>2019</v>
      </c>
      <c r="AT407" s="4">
        <v>19</v>
      </c>
      <c r="AU407" s="4">
        <v>4</v>
      </c>
      <c r="AV407" s="4"/>
      <c r="AW407" s="4"/>
      <c r="AX407" s="4" t="s">
        <v>569</v>
      </c>
      <c r="AY407" s="4"/>
      <c r="AZ407" s="4">
        <v>1087</v>
      </c>
      <c r="BA407" s="4">
        <v>1099</v>
      </c>
      <c r="BB407" s="4"/>
      <c r="BC407" s="4" t="s">
        <v>3841</v>
      </c>
      <c r="BD407" s="5" t="str">
        <f>HYPERLINK("http://dx.doi.org/10.1007/s10113-018-1455-y","http://dx.doi.org/10.1007/s10113-018-1455-y")</f>
        <v>http://dx.doi.org/10.1007/s10113-018-1455-y</v>
      </c>
      <c r="BE407" s="4"/>
      <c r="BF407" s="4"/>
      <c r="BG407" s="4"/>
      <c r="BH407" s="4"/>
      <c r="BI407" s="4"/>
      <c r="BJ407" s="4" t="s">
        <v>3842</v>
      </c>
      <c r="BK407" s="4"/>
      <c r="BL407" s="4"/>
      <c r="BM407" s="4"/>
      <c r="BN407" s="4"/>
      <c r="BO407" s="4"/>
      <c r="BP407" s="4"/>
      <c r="BQ407" s="4"/>
      <c r="BR407" s="4"/>
      <c r="BS407" s="4"/>
      <c r="BT407" s="4"/>
      <c r="BU407" s="12" t="s">
        <v>7321</v>
      </c>
      <c r="BV407" s="12" t="s">
        <v>7188</v>
      </c>
      <c r="BW407" s="12" t="s">
        <v>7189</v>
      </c>
    </row>
    <row r="408" spans="1:75" ht="12.75" customHeight="1">
      <c r="A408" s="4" t="s">
        <v>63</v>
      </c>
      <c r="B408" s="4" t="s">
        <v>5658</v>
      </c>
      <c r="C408" s="4"/>
      <c r="D408" s="4"/>
      <c r="E408" s="4"/>
      <c r="F408" s="4" t="s">
        <v>5659</v>
      </c>
      <c r="G408" s="4"/>
      <c r="H408" s="4"/>
      <c r="I408" s="4" t="s">
        <v>5660</v>
      </c>
      <c r="J408" s="4" t="s">
        <v>5661</v>
      </c>
      <c r="K408" s="4"/>
      <c r="L408" s="4"/>
      <c r="M408" s="4"/>
      <c r="N408" s="4"/>
      <c r="O408" s="4"/>
      <c r="P408" s="4"/>
      <c r="Q408" s="4"/>
      <c r="R408" s="4"/>
      <c r="S408" s="4"/>
      <c r="T408" s="4" t="s">
        <v>5662</v>
      </c>
      <c r="U408" s="4"/>
      <c r="V408" s="4"/>
      <c r="W408" s="4"/>
      <c r="X408" s="4"/>
      <c r="Y408" s="4"/>
      <c r="Z408" s="4" t="s">
        <v>5663</v>
      </c>
      <c r="AA408" s="4"/>
      <c r="AB408" s="4"/>
      <c r="AC408" s="4"/>
      <c r="AD408" s="4"/>
      <c r="AE408" s="4"/>
      <c r="AF408" s="4"/>
      <c r="AG408" s="4"/>
      <c r="AH408" s="4"/>
      <c r="AI408" s="4"/>
      <c r="AJ408" s="4"/>
      <c r="AK408" s="4"/>
      <c r="AL408" s="4"/>
      <c r="AM408" s="4" t="s">
        <v>5664</v>
      </c>
      <c r="AN408" s="4" t="s">
        <v>5665</v>
      </c>
      <c r="AO408" s="4"/>
      <c r="AP408" s="4"/>
      <c r="AQ408" s="4"/>
      <c r="AR408" s="4" t="s">
        <v>5425</v>
      </c>
      <c r="AS408" s="4">
        <v>2022</v>
      </c>
      <c r="AT408" s="4">
        <v>30</v>
      </c>
      <c r="AU408" s="4">
        <v>21</v>
      </c>
      <c r="AV408" s="4"/>
      <c r="AW408" s="4"/>
      <c r="AX408" s="4"/>
      <c r="AY408" s="4"/>
      <c r="AZ408" s="4">
        <v>1028</v>
      </c>
      <c r="BA408" s="4">
        <v>1035</v>
      </c>
      <c r="BB408" s="4"/>
      <c r="BC408" s="4" t="s">
        <v>5666</v>
      </c>
      <c r="BD408" s="5" t="str">
        <f>HYPERLINK("http://dx.doi.org/10.5435/JAAOS-D-21-00424","http://dx.doi.org/10.5435/JAAOS-D-21-00424")</f>
        <v>http://dx.doi.org/10.5435/JAAOS-D-21-00424</v>
      </c>
      <c r="BE408" s="4"/>
      <c r="BF408" s="4"/>
      <c r="BG408" s="4"/>
      <c r="BH408" s="4"/>
      <c r="BI408" s="4">
        <v>35171875</v>
      </c>
      <c r="BJ408" s="4" t="s">
        <v>5667</v>
      </c>
      <c r="BK408" s="4"/>
      <c r="BL408" s="4"/>
      <c r="BM408" s="4"/>
      <c r="BN408" s="4"/>
      <c r="BO408" s="4"/>
      <c r="BP408" s="4"/>
      <c r="BQ408" s="4"/>
      <c r="BR408" s="4"/>
      <c r="BS408" s="4"/>
      <c r="BT408" s="4"/>
      <c r="BU408" s="12" t="s">
        <v>7378</v>
      </c>
      <c r="BV408" s="12" t="s">
        <v>7188</v>
      </c>
      <c r="BW408" s="12" t="s">
        <v>7189</v>
      </c>
    </row>
    <row r="409" spans="1:75" ht="12.75" customHeight="1">
      <c r="A409" s="4" t="s">
        <v>63</v>
      </c>
      <c r="B409" s="4" t="s">
        <v>5668</v>
      </c>
      <c r="C409" s="4"/>
      <c r="D409" s="4"/>
      <c r="E409" s="4"/>
      <c r="F409" s="4" t="s">
        <v>5669</v>
      </c>
      <c r="G409" s="4"/>
      <c r="H409" s="4"/>
      <c r="I409" s="4" t="s">
        <v>5670</v>
      </c>
      <c r="J409" s="4" t="s">
        <v>5671</v>
      </c>
      <c r="K409" s="4"/>
      <c r="L409" s="4"/>
      <c r="M409" s="4"/>
      <c r="N409" s="4"/>
      <c r="O409" s="4"/>
      <c r="P409" s="4"/>
      <c r="Q409" s="4"/>
      <c r="R409" s="4"/>
      <c r="S409" s="4"/>
      <c r="T409" s="4" t="s">
        <v>5672</v>
      </c>
      <c r="U409" s="4"/>
      <c r="V409" s="4"/>
      <c r="W409" s="4"/>
      <c r="X409" s="4"/>
      <c r="Y409" s="4"/>
      <c r="Z409" s="4" t="s">
        <v>5673</v>
      </c>
      <c r="AA409" s="4"/>
      <c r="AB409" s="4"/>
      <c r="AC409" s="4"/>
      <c r="AD409" s="4"/>
      <c r="AE409" s="4"/>
      <c r="AF409" s="4"/>
      <c r="AG409" s="4"/>
      <c r="AH409" s="4"/>
      <c r="AI409" s="4"/>
      <c r="AJ409" s="4"/>
      <c r="AK409" s="4"/>
      <c r="AL409" s="4"/>
      <c r="AM409" s="4"/>
      <c r="AN409" s="4" t="s">
        <v>5674</v>
      </c>
      <c r="AO409" s="4"/>
      <c r="AP409" s="4"/>
      <c r="AQ409" s="4"/>
      <c r="AR409" s="4" t="s">
        <v>68</v>
      </c>
      <c r="AS409" s="4">
        <v>2022</v>
      </c>
      <c r="AT409" s="4">
        <v>5</v>
      </c>
      <c r="AU409" s="4">
        <v>2</v>
      </c>
      <c r="AV409" s="4"/>
      <c r="AW409" s="4"/>
      <c r="AX409" s="4"/>
      <c r="AY409" s="4"/>
      <c r="AZ409" s="4"/>
      <c r="BA409" s="4"/>
      <c r="BB409" s="4">
        <v>33</v>
      </c>
      <c r="BC409" s="4" t="s">
        <v>5675</v>
      </c>
      <c r="BD409" s="5" t="str">
        <f>HYPERLINK("http://dx.doi.org/10.3390/mps5020033","http://dx.doi.org/10.3390/mps5020033")</f>
        <v>http://dx.doi.org/10.3390/mps5020033</v>
      </c>
      <c r="BE409" s="4"/>
      <c r="BF409" s="4"/>
      <c r="BG409" s="4"/>
      <c r="BH409" s="4"/>
      <c r="BI409" s="4">
        <v>35448698</v>
      </c>
      <c r="BJ409" s="4" t="s">
        <v>5676</v>
      </c>
      <c r="BK409" s="4"/>
      <c r="BL409" s="4"/>
      <c r="BM409" s="4"/>
      <c r="BN409" s="4"/>
      <c r="BO409" s="4"/>
      <c r="BP409" s="4"/>
      <c r="BQ409" s="4"/>
      <c r="BR409" s="4"/>
      <c r="BS409" s="4"/>
      <c r="BT409" s="4"/>
      <c r="BU409" s="12" t="s">
        <v>7379</v>
      </c>
      <c r="BV409" s="12" t="s">
        <v>2039</v>
      </c>
      <c r="BW409" s="12" t="s">
        <v>7189</v>
      </c>
    </row>
    <row r="410" spans="1:75" ht="12.75" customHeight="1">
      <c r="A410" s="4" t="s">
        <v>63</v>
      </c>
      <c r="B410" s="4" t="s">
        <v>5677</v>
      </c>
      <c r="C410" s="4"/>
      <c r="D410" s="4"/>
      <c r="E410" s="4"/>
      <c r="F410" s="4" t="s">
        <v>5678</v>
      </c>
      <c r="G410" s="4"/>
      <c r="H410" s="4"/>
      <c r="I410" s="4" t="s">
        <v>5679</v>
      </c>
      <c r="J410" s="4" t="s">
        <v>396</v>
      </c>
      <c r="K410" s="4"/>
      <c r="L410" s="4"/>
      <c r="M410" s="4"/>
      <c r="N410" s="4"/>
      <c r="O410" s="4"/>
      <c r="P410" s="4"/>
      <c r="Q410" s="4"/>
      <c r="R410" s="4"/>
      <c r="S410" s="4"/>
      <c r="T410" s="4" t="s">
        <v>5680</v>
      </c>
      <c r="U410" s="4"/>
      <c r="V410" s="4"/>
      <c r="W410" s="4"/>
      <c r="X410" s="4"/>
      <c r="Y410" s="4"/>
      <c r="Z410" s="4" t="s">
        <v>5681</v>
      </c>
      <c r="AA410" s="4"/>
      <c r="AB410" s="4"/>
      <c r="AC410" s="4"/>
      <c r="AD410" s="4"/>
      <c r="AE410" s="4"/>
      <c r="AF410" s="4"/>
      <c r="AG410" s="4"/>
      <c r="AH410" s="4"/>
      <c r="AI410" s="4"/>
      <c r="AJ410" s="4"/>
      <c r="AK410" s="4"/>
      <c r="AL410" s="4"/>
      <c r="AM410" s="4" t="s">
        <v>398</v>
      </c>
      <c r="AN410" s="4" t="s">
        <v>399</v>
      </c>
      <c r="AO410" s="4"/>
      <c r="AP410" s="4"/>
      <c r="AQ410" s="4"/>
      <c r="AR410" s="4" t="s">
        <v>92</v>
      </c>
      <c r="AS410" s="4">
        <v>2022</v>
      </c>
      <c r="AT410" s="4">
        <v>54</v>
      </c>
      <c r="AU410" s="4">
        <v>10</v>
      </c>
      <c r="AV410" s="4"/>
      <c r="AW410" s="4"/>
      <c r="AX410" s="4"/>
      <c r="AY410" s="4"/>
      <c r="AZ410" s="4">
        <v>957</v>
      </c>
      <c r="BA410" s="4">
        <v>963</v>
      </c>
      <c r="BB410" s="4"/>
      <c r="BC410" s="4" t="s">
        <v>5682</v>
      </c>
      <c r="BD410" s="5" t="str">
        <f>HYPERLINK("http://dx.doi.org/10.1016/j.jneb.2022.05.008","http://dx.doi.org/10.1016/j.jneb.2022.05.008")</f>
        <v>http://dx.doi.org/10.1016/j.jneb.2022.05.008</v>
      </c>
      <c r="BE410" s="4"/>
      <c r="BF410" s="4" t="s">
        <v>5683</v>
      </c>
      <c r="BG410" s="4"/>
      <c r="BH410" s="4"/>
      <c r="BI410" s="4">
        <v>35987904</v>
      </c>
      <c r="BJ410" s="4" t="s">
        <v>5684</v>
      </c>
      <c r="BK410" s="4"/>
      <c r="BL410" s="4"/>
      <c r="BM410" s="4"/>
      <c r="BN410" s="4"/>
      <c r="BO410" s="4"/>
      <c r="BP410" s="4"/>
      <c r="BQ410" s="4"/>
      <c r="BR410" s="4"/>
      <c r="BS410" s="4"/>
      <c r="BT410" s="4"/>
      <c r="BU410" s="12" t="s">
        <v>7380</v>
      </c>
      <c r="BV410" s="12" t="s">
        <v>7188</v>
      </c>
      <c r="BW410" s="12" t="s">
        <v>7189</v>
      </c>
    </row>
    <row r="411" spans="1:75" ht="12.75" customHeight="1">
      <c r="A411" s="4" t="s">
        <v>63</v>
      </c>
      <c r="B411" s="4" t="s">
        <v>5685</v>
      </c>
      <c r="C411" s="4"/>
      <c r="D411" s="4"/>
      <c r="E411" s="4"/>
      <c r="F411" s="4" t="s">
        <v>5686</v>
      </c>
      <c r="G411" s="4"/>
      <c r="H411" s="4"/>
      <c r="I411" s="4" t="s">
        <v>5687</v>
      </c>
      <c r="J411" s="4" t="s">
        <v>5688</v>
      </c>
      <c r="K411" s="4"/>
      <c r="L411" s="4"/>
      <c r="M411" s="4"/>
      <c r="N411" s="4"/>
      <c r="O411" s="4"/>
      <c r="P411" s="4"/>
      <c r="Q411" s="4"/>
      <c r="R411" s="4"/>
      <c r="S411" s="4"/>
      <c r="T411" s="4" t="s">
        <v>5689</v>
      </c>
      <c r="U411" s="4"/>
      <c r="V411" s="4"/>
      <c r="W411" s="4"/>
      <c r="X411" s="4"/>
      <c r="Y411" s="4" t="s">
        <v>5690</v>
      </c>
      <c r="Z411" s="4" t="s">
        <v>5691</v>
      </c>
      <c r="AA411" s="4"/>
      <c r="AB411" s="4"/>
      <c r="AC411" s="4"/>
      <c r="AD411" s="4"/>
      <c r="AE411" s="4"/>
      <c r="AF411" s="4"/>
      <c r="AG411" s="4"/>
      <c r="AH411" s="4"/>
      <c r="AI411" s="4"/>
      <c r="AJ411" s="4"/>
      <c r="AK411" s="4"/>
      <c r="AL411" s="4"/>
      <c r="AM411" s="4" t="s">
        <v>5692</v>
      </c>
      <c r="AN411" s="4" t="s">
        <v>5693</v>
      </c>
      <c r="AO411" s="4"/>
      <c r="AP411" s="4"/>
      <c r="AQ411" s="4"/>
      <c r="AR411" s="4" t="s">
        <v>445</v>
      </c>
      <c r="AS411" s="4">
        <v>2022</v>
      </c>
      <c r="AT411" s="4">
        <v>120</v>
      </c>
      <c r="AU411" s="4"/>
      <c r="AV411" s="4"/>
      <c r="AW411" s="4"/>
      <c r="AX411" s="4"/>
      <c r="AY411" s="4"/>
      <c r="AZ411" s="4"/>
      <c r="BA411" s="4"/>
      <c r="BB411" s="4">
        <v>106215</v>
      </c>
      <c r="BC411" s="4" t="s">
        <v>5694</v>
      </c>
      <c r="BD411" s="5" t="str">
        <f>HYPERLINK("http://dx.doi.org/10.1016/j.landusepol.2022.106215","http://dx.doi.org/10.1016/j.landusepol.2022.106215")</f>
        <v>http://dx.doi.org/10.1016/j.landusepol.2022.106215</v>
      </c>
      <c r="BE411" s="4"/>
      <c r="BF411" s="4" t="s">
        <v>5484</v>
      </c>
      <c r="BG411" s="4"/>
      <c r="BH411" s="4"/>
      <c r="BI411" s="4"/>
      <c r="BJ411" s="4" t="s">
        <v>5695</v>
      </c>
      <c r="BK411" s="4"/>
      <c r="BL411" s="4"/>
      <c r="BM411" s="4"/>
      <c r="BN411" s="4"/>
      <c r="BO411" s="4"/>
      <c r="BP411" s="4"/>
      <c r="BQ411" s="4"/>
      <c r="BR411" s="4"/>
      <c r="BS411" s="4"/>
      <c r="BT411" s="4"/>
      <c r="BU411" s="12" t="s">
        <v>7381</v>
      </c>
      <c r="BV411" s="12" t="s">
        <v>7382</v>
      </c>
      <c r="BW411" s="12" t="s">
        <v>7205</v>
      </c>
    </row>
    <row r="412" spans="1:75" ht="12" customHeight="1">
      <c r="A412" s="6" t="s">
        <v>63</v>
      </c>
      <c r="B412" s="6" t="s">
        <v>5696</v>
      </c>
      <c r="C412" s="6"/>
      <c r="D412" s="6"/>
      <c r="E412" s="6"/>
      <c r="F412" s="6" t="s">
        <v>5697</v>
      </c>
      <c r="G412" s="6"/>
      <c r="H412" s="6"/>
      <c r="I412" s="6" t="s">
        <v>5698</v>
      </c>
      <c r="J412" s="6" t="s">
        <v>532</v>
      </c>
      <c r="K412" s="6"/>
      <c r="L412" s="6"/>
      <c r="M412" s="6"/>
      <c r="N412" s="6"/>
      <c r="O412" s="6"/>
      <c r="P412" s="6"/>
      <c r="Q412" s="6"/>
      <c r="R412" s="6"/>
      <c r="S412" s="6"/>
      <c r="T412" s="6" t="s">
        <v>5699</v>
      </c>
      <c r="U412" s="6"/>
      <c r="V412" s="6"/>
      <c r="W412" s="6"/>
      <c r="X412" s="6"/>
      <c r="Y412" s="6" t="s">
        <v>5700</v>
      </c>
      <c r="Z412" s="6" t="s">
        <v>5701</v>
      </c>
      <c r="AA412" s="6"/>
      <c r="AB412" s="6"/>
      <c r="AC412" s="6"/>
      <c r="AD412" s="6"/>
      <c r="AE412" s="6"/>
      <c r="AF412" s="6"/>
      <c r="AG412" s="6"/>
      <c r="AH412" s="6"/>
      <c r="AI412" s="6"/>
      <c r="AJ412" s="6"/>
      <c r="AK412" s="6"/>
      <c r="AL412" s="6"/>
      <c r="AM412" s="6" t="s">
        <v>534</v>
      </c>
      <c r="AN412" s="6" t="s">
        <v>535</v>
      </c>
      <c r="AO412" s="6"/>
      <c r="AP412" s="6"/>
      <c r="AQ412" s="6"/>
      <c r="AR412" s="6" t="s">
        <v>536</v>
      </c>
      <c r="AS412" s="6">
        <v>2022</v>
      </c>
      <c r="AT412" s="6">
        <v>11</v>
      </c>
      <c r="AU412" s="6">
        <v>2</v>
      </c>
      <c r="AV412" s="6"/>
      <c r="AW412" s="6"/>
      <c r="AX412" s="6"/>
      <c r="AY412" s="6"/>
      <c r="AZ412" s="6"/>
      <c r="BA412" s="6"/>
      <c r="BB412" s="6"/>
      <c r="BC412" s="6" t="s">
        <v>5702</v>
      </c>
      <c r="BD412" s="9" t="str">
        <f>HYPERLINK("http://dx.doi.org/10.5304/jafscd.2022.112.013","http://dx.doi.org/10.5304/jafscd.2022.112.013")</f>
        <v>http://dx.doi.org/10.5304/jafscd.2022.112.013</v>
      </c>
      <c r="BE412" s="6"/>
      <c r="BF412" s="6"/>
      <c r="BG412" s="6"/>
      <c r="BH412" s="6"/>
      <c r="BI412" s="6"/>
      <c r="BJ412" s="6" t="s">
        <v>5703</v>
      </c>
      <c r="BK412" s="6"/>
      <c r="BL412" s="6"/>
      <c r="BM412" s="6"/>
      <c r="BN412" s="6"/>
      <c r="BO412" s="6"/>
      <c r="BP412" s="6"/>
      <c r="BQ412" s="6"/>
      <c r="BR412" s="6"/>
      <c r="BS412" s="6"/>
      <c r="BT412" s="6"/>
      <c r="BU412" s="8" t="s">
        <v>7383</v>
      </c>
      <c r="BV412" s="8" t="s">
        <v>7188</v>
      </c>
      <c r="BW412" s="8" t="s">
        <v>7189</v>
      </c>
    </row>
    <row r="413" spans="1:75" ht="12.75" customHeight="1">
      <c r="A413" s="4" t="s">
        <v>63</v>
      </c>
      <c r="B413" s="4" t="s">
        <v>6863</v>
      </c>
      <c r="C413" s="4"/>
      <c r="D413" s="4"/>
      <c r="E413" s="4"/>
      <c r="F413" s="4" t="s">
        <v>6864</v>
      </c>
      <c r="G413" s="4"/>
      <c r="H413" s="4"/>
      <c r="I413" s="4" t="s">
        <v>6865</v>
      </c>
      <c r="J413" s="4" t="s">
        <v>380</v>
      </c>
      <c r="K413" s="4"/>
      <c r="L413" s="4"/>
      <c r="M413" s="4"/>
      <c r="N413" s="4"/>
      <c r="O413" s="4"/>
      <c r="P413" s="4"/>
      <c r="Q413" s="4"/>
      <c r="R413" s="4"/>
      <c r="S413" s="4"/>
      <c r="T413" s="4" t="s">
        <v>6866</v>
      </c>
      <c r="U413" s="4"/>
      <c r="V413" s="4"/>
      <c r="W413" s="4"/>
      <c r="X413" s="4"/>
      <c r="Y413" s="4" t="s">
        <v>6160</v>
      </c>
      <c r="Z413" s="4" t="s">
        <v>6867</v>
      </c>
      <c r="AA413" s="4"/>
      <c r="AB413" s="4"/>
      <c r="AC413" s="4"/>
      <c r="AD413" s="4"/>
      <c r="AE413" s="4"/>
      <c r="AF413" s="4"/>
      <c r="AG413" s="4"/>
      <c r="AH413" s="4"/>
      <c r="AI413" s="4"/>
      <c r="AJ413" s="4"/>
      <c r="AK413" s="4"/>
      <c r="AL413" s="4"/>
      <c r="AM413" s="4" t="s">
        <v>382</v>
      </c>
      <c r="AN413" s="4" t="s">
        <v>383</v>
      </c>
      <c r="AO413" s="4"/>
      <c r="AP413" s="4"/>
      <c r="AQ413" s="4"/>
      <c r="AR413" s="4" t="s">
        <v>78</v>
      </c>
      <c r="AS413" s="4">
        <v>2024</v>
      </c>
      <c r="AT413" s="4">
        <v>87</v>
      </c>
      <c r="AU413" s="4"/>
      <c r="AV413" s="4"/>
      <c r="AW413" s="4"/>
      <c r="AX413" s="4"/>
      <c r="AY413" s="4"/>
      <c r="AZ413" s="4"/>
      <c r="BA413" s="4"/>
      <c r="BB413" s="4">
        <v>103220</v>
      </c>
      <c r="BC413" s="4" t="s">
        <v>6868</v>
      </c>
      <c r="BD413" s="5" t="str">
        <f>HYPERLINK("http://dx.doi.org/10.1016/j.healthplace.2024.103220","http://dx.doi.org/10.1016/j.healthplace.2024.103220")</f>
        <v>http://dx.doi.org/10.1016/j.healthplace.2024.103220</v>
      </c>
      <c r="BE413" s="4"/>
      <c r="BF413" s="4" t="s">
        <v>6813</v>
      </c>
      <c r="BG413" s="4"/>
      <c r="BH413" s="4"/>
      <c r="BI413" s="4">
        <v>38492528</v>
      </c>
      <c r="BJ413" s="4" t="s">
        <v>6869</v>
      </c>
      <c r="BK413" s="4"/>
      <c r="BL413" s="4"/>
      <c r="BM413" s="4"/>
      <c r="BN413" s="4"/>
      <c r="BO413" s="4"/>
      <c r="BP413" s="4"/>
      <c r="BQ413" s="4"/>
      <c r="BR413" s="4"/>
      <c r="BS413" s="4"/>
      <c r="BT413" s="4"/>
      <c r="BU413" s="12" t="s">
        <v>7187</v>
      </c>
      <c r="BV413" s="12" t="s">
        <v>7188</v>
      </c>
      <c r="BW413" s="12" t="s">
        <v>7189</v>
      </c>
    </row>
    <row r="414" spans="1:75" ht="12.75" customHeight="1">
      <c r="A414" s="4" t="s">
        <v>63</v>
      </c>
      <c r="B414" s="4" t="s">
        <v>2426</v>
      </c>
      <c r="C414" s="4"/>
      <c r="D414" s="4"/>
      <c r="E414" s="4"/>
      <c r="F414" s="4" t="s">
        <v>2427</v>
      </c>
      <c r="G414" s="4"/>
      <c r="H414" s="4"/>
      <c r="I414" s="4" t="s">
        <v>2428</v>
      </c>
      <c r="J414" s="4" t="s">
        <v>2429</v>
      </c>
      <c r="K414" s="4"/>
      <c r="L414" s="4"/>
      <c r="M414" s="4"/>
      <c r="N414" s="4"/>
      <c r="O414" s="4"/>
      <c r="P414" s="4"/>
      <c r="Q414" s="4"/>
      <c r="R414" s="4"/>
      <c r="S414" s="4"/>
      <c r="T414" s="4" t="s">
        <v>2430</v>
      </c>
      <c r="U414" s="4"/>
      <c r="V414" s="4"/>
      <c r="W414" s="4"/>
      <c r="X414" s="4"/>
      <c r="Y414" s="4"/>
      <c r="Z414" s="4"/>
      <c r="AA414" s="4"/>
      <c r="AB414" s="4"/>
      <c r="AC414" s="4"/>
      <c r="AD414" s="4"/>
      <c r="AE414" s="4"/>
      <c r="AF414" s="4"/>
      <c r="AG414" s="4"/>
      <c r="AH414" s="4"/>
      <c r="AI414" s="4"/>
      <c r="AJ414" s="4"/>
      <c r="AK414" s="4"/>
      <c r="AL414" s="4"/>
      <c r="AM414" s="4" t="s">
        <v>2431</v>
      </c>
      <c r="AN414" s="4"/>
      <c r="AO414" s="4"/>
      <c r="AP414" s="4"/>
      <c r="AQ414" s="4"/>
      <c r="AR414" s="4"/>
      <c r="AS414" s="4">
        <v>2016</v>
      </c>
      <c r="AT414" s="4">
        <v>4</v>
      </c>
      <c r="AU414" s="4">
        <v>4</v>
      </c>
      <c r="AV414" s="4"/>
      <c r="AW414" s="4"/>
      <c r="AX414" s="4"/>
      <c r="AY414" s="4"/>
      <c r="AZ414" s="4">
        <v>305</v>
      </c>
      <c r="BA414" s="4">
        <v>313</v>
      </c>
      <c r="BB414" s="4"/>
      <c r="BC414" s="4"/>
      <c r="BD414" s="4"/>
      <c r="BE414" s="4"/>
      <c r="BF414" s="4"/>
      <c r="BG414" s="4"/>
      <c r="BH414" s="4"/>
      <c r="BI414" s="4"/>
      <c r="BJ414" s="4" t="s">
        <v>2432</v>
      </c>
      <c r="BK414" s="4"/>
      <c r="BL414" s="4"/>
      <c r="BM414" s="4"/>
      <c r="BN414" s="4"/>
      <c r="BO414" s="4"/>
      <c r="BP414" s="4"/>
      <c r="BQ414" s="4"/>
      <c r="BR414" s="4"/>
      <c r="BS414" s="4"/>
      <c r="BT414" s="4"/>
      <c r="BU414" s="12" t="s">
        <v>7229</v>
      </c>
      <c r="BV414" s="12" t="s">
        <v>2039</v>
      </c>
      <c r="BW414" s="12" t="s">
        <v>7189</v>
      </c>
    </row>
    <row r="415" spans="1:75" ht="12.75" customHeight="1">
      <c r="A415" s="3" t="s">
        <v>63</v>
      </c>
      <c r="B415" s="3" t="s">
        <v>2966</v>
      </c>
      <c r="C415" s="3"/>
      <c r="D415" s="3"/>
      <c r="E415" s="3"/>
      <c r="F415" s="3" t="s">
        <v>2967</v>
      </c>
      <c r="G415" s="3"/>
      <c r="H415" s="3"/>
      <c r="I415" s="3" t="s">
        <v>2968</v>
      </c>
      <c r="J415" s="3" t="s">
        <v>434</v>
      </c>
      <c r="K415" s="3"/>
      <c r="L415" s="3"/>
      <c r="M415" s="3"/>
      <c r="N415" s="3"/>
      <c r="O415" s="3"/>
      <c r="P415" s="3"/>
      <c r="Q415" s="3"/>
      <c r="R415" s="3"/>
      <c r="S415" s="3"/>
      <c r="T415" s="3" t="s">
        <v>2969</v>
      </c>
      <c r="U415" s="3"/>
      <c r="V415" s="3"/>
      <c r="W415" s="3"/>
      <c r="X415" s="3"/>
      <c r="Y415" s="3"/>
      <c r="Z415" s="3" t="s">
        <v>2970</v>
      </c>
      <c r="AA415" s="3"/>
      <c r="AB415" s="3"/>
      <c r="AC415" s="3"/>
      <c r="AD415" s="3"/>
      <c r="AE415" s="3"/>
      <c r="AF415" s="3"/>
      <c r="AG415" s="3"/>
      <c r="AH415" s="3"/>
      <c r="AI415" s="3"/>
      <c r="AJ415" s="3"/>
      <c r="AK415" s="3"/>
      <c r="AL415" s="3"/>
      <c r="AM415" s="3" t="s">
        <v>436</v>
      </c>
      <c r="AN415" s="3" t="s">
        <v>568</v>
      </c>
      <c r="AO415" s="3"/>
      <c r="AP415" s="3"/>
      <c r="AQ415" s="3"/>
      <c r="AR415" s="3" t="s">
        <v>121</v>
      </c>
      <c r="AS415" s="3">
        <v>2017</v>
      </c>
      <c r="AT415" s="3">
        <v>85</v>
      </c>
      <c r="AU415" s="3"/>
      <c r="AV415" s="3"/>
      <c r="AW415" s="3"/>
      <c r="AX415" s="3"/>
      <c r="AY415" s="3"/>
      <c r="AZ415" s="3">
        <v>139</v>
      </c>
      <c r="BA415" s="3">
        <v>151</v>
      </c>
      <c r="BB415" s="3"/>
      <c r="BC415" s="3" t="s">
        <v>2971</v>
      </c>
      <c r="BD415" s="15" t="str">
        <f>HYPERLINK("http://dx.doi.org/10.1016/j.apgeog.2017.06.005","http://dx.doi.org/10.1016/j.apgeog.2017.06.005")</f>
        <v>http://dx.doi.org/10.1016/j.apgeog.2017.06.005</v>
      </c>
      <c r="BE415" s="3"/>
      <c r="BF415" s="3"/>
      <c r="BG415" s="3"/>
      <c r="BH415" s="3"/>
      <c r="BI415" s="3"/>
      <c r="BJ415" s="3" t="s">
        <v>2972</v>
      </c>
      <c r="BK415" s="3"/>
      <c r="BL415" s="3"/>
      <c r="BM415" s="3"/>
      <c r="BN415" s="3"/>
      <c r="BO415" s="3"/>
      <c r="BP415" s="3"/>
      <c r="BQ415" s="3"/>
      <c r="BR415" s="3"/>
      <c r="BS415" s="3"/>
      <c r="BT415" s="3"/>
      <c r="BU415" s="13" t="s">
        <v>7384</v>
      </c>
      <c r="BV415" s="10" t="s">
        <v>7188</v>
      </c>
      <c r="BW415" s="10" t="s">
        <v>7189</v>
      </c>
    </row>
    <row r="416" spans="1:75" ht="12.75" customHeight="1">
      <c r="A416" s="4" t="s">
        <v>63</v>
      </c>
      <c r="B416" s="4" t="s">
        <v>1898</v>
      </c>
      <c r="C416" s="4"/>
      <c r="D416" s="4"/>
      <c r="E416" s="4"/>
      <c r="F416" s="4" t="s">
        <v>1899</v>
      </c>
      <c r="G416" s="4"/>
      <c r="H416" s="4"/>
      <c r="I416" s="4" t="s">
        <v>1900</v>
      </c>
      <c r="J416" s="4" t="s">
        <v>1104</v>
      </c>
      <c r="K416" s="4"/>
      <c r="L416" s="4"/>
      <c r="M416" s="4"/>
      <c r="N416" s="4"/>
      <c r="O416" s="4"/>
      <c r="P416" s="4"/>
      <c r="Q416" s="4"/>
      <c r="R416" s="4"/>
      <c r="S416" s="4"/>
      <c r="T416" s="4" t="s">
        <v>1901</v>
      </c>
      <c r="U416" s="4"/>
      <c r="V416" s="4"/>
      <c r="W416" s="4"/>
      <c r="X416" s="4"/>
      <c r="Y416" s="4"/>
      <c r="Z416" s="4" t="s">
        <v>1902</v>
      </c>
      <c r="AA416" s="4"/>
      <c r="AB416" s="4"/>
      <c r="AC416" s="4"/>
      <c r="AD416" s="4"/>
      <c r="AE416" s="4"/>
      <c r="AF416" s="4"/>
      <c r="AG416" s="4"/>
      <c r="AH416" s="4"/>
      <c r="AI416" s="4"/>
      <c r="AJ416" s="4"/>
      <c r="AK416" s="4"/>
      <c r="AL416" s="4"/>
      <c r="AM416" s="4" t="s">
        <v>1106</v>
      </c>
      <c r="AN416" s="4" t="s">
        <v>1107</v>
      </c>
      <c r="AO416" s="4"/>
      <c r="AP416" s="4"/>
      <c r="AQ416" s="4"/>
      <c r="AR416" s="4" t="s">
        <v>78</v>
      </c>
      <c r="AS416" s="4">
        <v>2015</v>
      </c>
      <c r="AT416" s="4">
        <v>61</v>
      </c>
      <c r="AU416" s="4"/>
      <c r="AV416" s="4"/>
      <c r="AW416" s="4"/>
      <c r="AX416" s="4"/>
      <c r="AY416" s="4"/>
      <c r="AZ416" s="4">
        <v>17</v>
      </c>
      <c r="BA416" s="4">
        <v>26</v>
      </c>
      <c r="BB416" s="4"/>
      <c r="BC416" s="4" t="s">
        <v>1903</v>
      </c>
      <c r="BD416" s="5" t="str">
        <f>HYPERLINK("http://dx.doi.org/10.1016/j.geoforum.2015.02.003","http://dx.doi.org/10.1016/j.geoforum.2015.02.003")</f>
        <v>http://dx.doi.org/10.1016/j.geoforum.2015.02.003</v>
      </c>
      <c r="BE416" s="4"/>
      <c r="BF416" s="4"/>
      <c r="BG416" s="4"/>
      <c r="BH416" s="4"/>
      <c r="BI416" s="4"/>
      <c r="BJ416" s="4" t="s">
        <v>1904</v>
      </c>
      <c r="BK416" s="4"/>
      <c r="BL416" s="4"/>
      <c r="BM416" s="4"/>
      <c r="BN416" s="4"/>
      <c r="BO416" s="4"/>
      <c r="BP416" s="4"/>
      <c r="BQ416" s="4"/>
      <c r="BR416" s="4"/>
      <c r="BS416" s="4"/>
      <c r="BT416" s="4"/>
      <c r="BU416" s="12" t="s">
        <v>7385</v>
      </c>
      <c r="BV416" s="12" t="s">
        <v>7188</v>
      </c>
      <c r="BW416" s="12" t="s">
        <v>7189</v>
      </c>
    </row>
    <row r="417" spans="1:75" ht="12.75" customHeight="1">
      <c r="A417" s="4" t="s">
        <v>63</v>
      </c>
      <c r="B417" s="4" t="s">
        <v>1497</v>
      </c>
      <c r="C417" s="4"/>
      <c r="D417" s="4"/>
      <c r="E417" s="4"/>
      <c r="F417" s="4" t="s">
        <v>1498</v>
      </c>
      <c r="G417" s="4"/>
      <c r="H417" s="4"/>
      <c r="I417" s="4" t="s">
        <v>1499</v>
      </c>
      <c r="J417" s="4" t="s">
        <v>434</v>
      </c>
      <c r="K417" s="4"/>
      <c r="L417" s="4"/>
      <c r="M417" s="4"/>
      <c r="N417" s="4"/>
      <c r="O417" s="4"/>
      <c r="P417" s="4"/>
      <c r="Q417" s="4"/>
      <c r="R417" s="4"/>
      <c r="S417" s="4"/>
      <c r="T417" s="4" t="s">
        <v>1500</v>
      </c>
      <c r="U417" s="4"/>
      <c r="V417" s="4"/>
      <c r="W417" s="4"/>
      <c r="X417" s="4"/>
      <c r="Y417" s="4" t="s">
        <v>1501</v>
      </c>
      <c r="Z417" s="4" t="s">
        <v>653</v>
      </c>
      <c r="AA417" s="4"/>
      <c r="AB417" s="4"/>
      <c r="AC417" s="4"/>
      <c r="AD417" s="4"/>
      <c r="AE417" s="4"/>
      <c r="AF417" s="4"/>
      <c r="AG417" s="4"/>
      <c r="AH417" s="4"/>
      <c r="AI417" s="4"/>
      <c r="AJ417" s="4"/>
      <c r="AK417" s="4"/>
      <c r="AL417" s="4"/>
      <c r="AM417" s="4" t="s">
        <v>436</v>
      </c>
      <c r="AN417" s="4" t="s">
        <v>568</v>
      </c>
      <c r="AO417" s="4"/>
      <c r="AP417" s="4"/>
      <c r="AQ417" s="4"/>
      <c r="AR417" s="4" t="s">
        <v>92</v>
      </c>
      <c r="AS417" s="4">
        <v>2014</v>
      </c>
      <c r="AT417" s="4">
        <v>54</v>
      </c>
      <c r="AU417" s="4"/>
      <c r="AV417" s="4"/>
      <c r="AW417" s="4"/>
      <c r="AX417" s="4" t="s">
        <v>569</v>
      </c>
      <c r="AY417" s="4"/>
      <c r="AZ417" s="4">
        <v>189</v>
      </c>
      <c r="BA417" s="4">
        <v>197</v>
      </c>
      <c r="BB417" s="4"/>
      <c r="BC417" s="4" t="s">
        <v>1502</v>
      </c>
      <c r="BD417" s="5" t="str">
        <f>HYPERLINK("http://dx.doi.org/10.1016/j.apgeog.2014.07.017","http://dx.doi.org/10.1016/j.apgeog.2014.07.017")</f>
        <v>http://dx.doi.org/10.1016/j.apgeog.2014.07.017</v>
      </c>
      <c r="BE417" s="4"/>
      <c r="BF417" s="4"/>
      <c r="BG417" s="4"/>
      <c r="BH417" s="4"/>
      <c r="BI417" s="4"/>
      <c r="BJ417" s="4" t="s">
        <v>1503</v>
      </c>
      <c r="BK417" s="4"/>
      <c r="BL417" s="4"/>
      <c r="BM417" s="4"/>
      <c r="BN417" s="4"/>
      <c r="BO417" s="4"/>
      <c r="BP417" s="4"/>
      <c r="BQ417" s="4"/>
      <c r="BR417" s="4"/>
      <c r="BS417" s="4"/>
      <c r="BT417" s="4"/>
      <c r="BU417" s="12" t="s">
        <v>7201</v>
      </c>
      <c r="BV417" s="12" t="s">
        <v>7188</v>
      </c>
      <c r="BW417" s="12" t="s">
        <v>7189</v>
      </c>
    </row>
    <row r="418" spans="1:75" ht="12.75" customHeight="1">
      <c r="A418" s="4" t="s">
        <v>63</v>
      </c>
      <c r="B418" s="4" t="s">
        <v>2433</v>
      </c>
      <c r="C418" s="4"/>
      <c r="D418" s="4"/>
      <c r="E418" s="4"/>
      <c r="F418" s="4" t="s">
        <v>2434</v>
      </c>
      <c r="G418" s="4"/>
      <c r="H418" s="4"/>
      <c r="I418" s="4" t="s">
        <v>2435</v>
      </c>
      <c r="J418" s="4" t="s">
        <v>822</v>
      </c>
      <c r="K418" s="4"/>
      <c r="L418" s="4"/>
      <c r="M418" s="4"/>
      <c r="N418" s="4"/>
      <c r="O418" s="4"/>
      <c r="P418" s="4"/>
      <c r="Q418" s="4"/>
      <c r="R418" s="4"/>
      <c r="S418" s="4"/>
      <c r="T418" s="4" t="s">
        <v>2436</v>
      </c>
      <c r="U418" s="4"/>
      <c r="V418" s="4"/>
      <c r="W418" s="4"/>
      <c r="X418" s="4"/>
      <c r="Y418" s="4"/>
      <c r="Z418" s="4"/>
      <c r="AA418" s="4"/>
      <c r="AB418" s="4"/>
      <c r="AC418" s="4"/>
      <c r="AD418" s="4"/>
      <c r="AE418" s="4"/>
      <c r="AF418" s="4"/>
      <c r="AG418" s="4"/>
      <c r="AH418" s="4"/>
      <c r="AI418" s="4"/>
      <c r="AJ418" s="4"/>
      <c r="AK418" s="4"/>
      <c r="AL418" s="4"/>
      <c r="AM418" s="4" t="s">
        <v>824</v>
      </c>
      <c r="AN418" s="4" t="s">
        <v>825</v>
      </c>
      <c r="AO418" s="4"/>
      <c r="AP418" s="4"/>
      <c r="AQ418" s="4"/>
      <c r="AR418" s="4"/>
      <c r="AS418" s="4">
        <v>2016</v>
      </c>
      <c r="AT418" s="4">
        <v>19</v>
      </c>
      <c r="AU418" s="4">
        <v>1</v>
      </c>
      <c r="AV418" s="4"/>
      <c r="AW418" s="4"/>
      <c r="AX418" s="4" t="s">
        <v>569</v>
      </c>
      <c r="AY418" s="4"/>
      <c r="AZ418" s="4">
        <v>11</v>
      </c>
      <c r="BA418" s="4">
        <v>18</v>
      </c>
      <c r="BB418" s="4"/>
      <c r="BC418" s="4" t="s">
        <v>2437</v>
      </c>
      <c r="BD418" s="5" t="str">
        <f>HYPERLINK("http://dx.doi.org/10.1080/15528014.2016.1144995","http://dx.doi.org/10.1080/15528014.2016.1144995")</f>
        <v>http://dx.doi.org/10.1080/15528014.2016.1144995</v>
      </c>
      <c r="BE418" s="4"/>
      <c r="BF418" s="4"/>
      <c r="BG418" s="4"/>
      <c r="BH418" s="4"/>
      <c r="BI418" s="4"/>
      <c r="BJ418" s="4" t="s">
        <v>2438</v>
      </c>
      <c r="BK418" s="4"/>
      <c r="BL418" s="4"/>
      <c r="BM418" s="4"/>
      <c r="BN418" s="4"/>
      <c r="BO418" s="4"/>
      <c r="BP418" s="4"/>
      <c r="BQ418" s="4"/>
      <c r="BR418" s="4"/>
      <c r="BS418" s="4"/>
      <c r="BT418" s="4"/>
      <c r="BU418" s="12" t="s">
        <v>7201</v>
      </c>
      <c r="BV418" s="12" t="s">
        <v>7386</v>
      </c>
      <c r="BW418" s="12" t="s">
        <v>7387</v>
      </c>
    </row>
    <row r="419" spans="1:75" ht="12.75" customHeight="1">
      <c r="A419" s="3" t="s">
        <v>63</v>
      </c>
      <c r="B419" s="3" t="s">
        <v>5704</v>
      </c>
      <c r="C419" s="3"/>
      <c r="D419" s="3"/>
      <c r="E419" s="3"/>
      <c r="F419" s="3" t="s">
        <v>5705</v>
      </c>
      <c r="G419" s="3"/>
      <c r="H419" s="3"/>
      <c r="I419" s="3" t="s">
        <v>5706</v>
      </c>
      <c r="J419" s="3" t="s">
        <v>4332</v>
      </c>
      <c r="K419" s="3"/>
      <c r="L419" s="3"/>
      <c r="M419" s="3"/>
      <c r="N419" s="3"/>
      <c r="O419" s="3"/>
      <c r="P419" s="3"/>
      <c r="Q419" s="3"/>
      <c r="R419" s="3"/>
      <c r="S419" s="3"/>
      <c r="T419" s="3"/>
      <c r="U419" s="3"/>
      <c r="V419" s="3"/>
      <c r="W419" s="3"/>
      <c r="X419" s="3"/>
      <c r="Y419" s="3" t="s">
        <v>5707</v>
      </c>
      <c r="Z419" s="3" t="s">
        <v>4337</v>
      </c>
      <c r="AA419" s="3"/>
      <c r="AB419" s="3"/>
      <c r="AC419" s="3"/>
      <c r="AD419" s="3"/>
      <c r="AE419" s="3"/>
      <c r="AF419" s="3"/>
      <c r="AG419" s="3"/>
      <c r="AH419" s="3"/>
      <c r="AI419" s="3"/>
      <c r="AJ419" s="3"/>
      <c r="AK419" s="3"/>
      <c r="AL419" s="3"/>
      <c r="AM419" s="3" t="s">
        <v>4338</v>
      </c>
      <c r="AN419" s="3" t="s">
        <v>4339</v>
      </c>
      <c r="AO419" s="3"/>
      <c r="AP419" s="3"/>
      <c r="AQ419" s="3"/>
      <c r="AR419" s="3" t="s">
        <v>82</v>
      </c>
      <c r="AS419" s="3">
        <v>2022</v>
      </c>
      <c r="AT419" s="3">
        <v>29</v>
      </c>
      <c r="AU419" s="3" t="s">
        <v>4340</v>
      </c>
      <c r="AV419" s="3"/>
      <c r="AW419" s="3">
        <v>1</v>
      </c>
      <c r="AX419" s="3" t="s">
        <v>569</v>
      </c>
      <c r="AY419" s="3" t="s">
        <v>5708</v>
      </c>
      <c r="AZ419" s="3">
        <v>273</v>
      </c>
      <c r="BA419" s="3">
        <v>274</v>
      </c>
      <c r="BB419" s="3"/>
      <c r="BC419" s="3"/>
      <c r="BD419" s="3"/>
      <c r="BE419" s="3"/>
      <c r="BF419" s="3"/>
      <c r="BG419" s="3"/>
      <c r="BH419" s="3"/>
      <c r="BI419" s="3"/>
      <c r="BJ419" s="3" t="s">
        <v>5709</v>
      </c>
      <c r="BK419" s="3"/>
      <c r="BL419" s="3"/>
      <c r="BM419" s="3"/>
      <c r="BN419" s="3"/>
      <c r="BO419" s="3"/>
      <c r="BP419" s="3"/>
      <c r="BQ419" s="3"/>
      <c r="BR419" s="3"/>
      <c r="BS419" s="3"/>
      <c r="BT419" s="3"/>
      <c r="BU419" s="1" t="s">
        <v>7388</v>
      </c>
      <c r="BV419" s="10" t="s">
        <v>7188</v>
      </c>
      <c r="BW419" s="10" t="s">
        <v>7189</v>
      </c>
    </row>
    <row r="420" spans="1:75" ht="12.75" customHeight="1">
      <c r="A420" s="6" t="s">
        <v>63</v>
      </c>
      <c r="B420" s="6" t="s">
        <v>1159</v>
      </c>
      <c r="C420" s="6"/>
      <c r="D420" s="6"/>
      <c r="E420" s="6"/>
      <c r="F420" s="6" t="s">
        <v>1160</v>
      </c>
      <c r="G420" s="6"/>
      <c r="H420" s="6"/>
      <c r="I420" s="6" t="s">
        <v>1161</v>
      </c>
      <c r="J420" s="6" t="s">
        <v>380</v>
      </c>
      <c r="K420" s="6"/>
      <c r="L420" s="6"/>
      <c r="M420" s="6"/>
      <c r="N420" s="6"/>
      <c r="O420" s="6"/>
      <c r="P420" s="6"/>
      <c r="Q420" s="6"/>
      <c r="R420" s="6"/>
      <c r="S420" s="6"/>
      <c r="T420" s="6" t="s">
        <v>1162</v>
      </c>
      <c r="U420" s="6"/>
      <c r="V420" s="6"/>
      <c r="W420" s="6"/>
      <c r="X420" s="6"/>
      <c r="Y420" s="6"/>
      <c r="Z420" s="6" t="s">
        <v>1163</v>
      </c>
      <c r="AA420" s="6"/>
      <c r="AB420" s="6"/>
      <c r="AC420" s="6"/>
      <c r="AD420" s="6"/>
      <c r="AE420" s="6"/>
      <c r="AF420" s="6"/>
      <c r="AG420" s="6"/>
      <c r="AH420" s="6"/>
      <c r="AI420" s="6"/>
      <c r="AJ420" s="6"/>
      <c r="AK420" s="6"/>
      <c r="AL420" s="6"/>
      <c r="AM420" s="6" t="s">
        <v>382</v>
      </c>
      <c r="AN420" s="6" t="s">
        <v>383</v>
      </c>
      <c r="AO420" s="6"/>
      <c r="AP420" s="6"/>
      <c r="AQ420" s="6"/>
      <c r="AR420" s="6" t="s">
        <v>64</v>
      </c>
      <c r="AS420" s="6">
        <v>2013</v>
      </c>
      <c r="AT420" s="6">
        <v>24</v>
      </c>
      <c r="AU420" s="6"/>
      <c r="AV420" s="6"/>
      <c r="AW420" s="6"/>
      <c r="AX420" s="6"/>
      <c r="AY420" s="6"/>
      <c r="AZ420" s="6">
        <v>131</v>
      </c>
      <c r="BA420" s="6">
        <v>139</v>
      </c>
      <c r="BB420" s="6"/>
      <c r="BC420" s="6" t="s">
        <v>1164</v>
      </c>
      <c r="BD420" s="9" t="str">
        <f>HYPERLINK("http://dx.doi.org/10.1016/j.healthplace.2013.07.008","http://dx.doi.org/10.1016/j.healthplace.2013.07.008")</f>
        <v>http://dx.doi.org/10.1016/j.healthplace.2013.07.008</v>
      </c>
      <c r="BE420" s="6"/>
      <c r="BF420" s="6"/>
      <c r="BG420" s="6"/>
      <c r="BH420" s="6"/>
      <c r="BI420" s="6">
        <v>24100236</v>
      </c>
      <c r="BJ420" s="6" t="s">
        <v>1165</v>
      </c>
      <c r="BK420" s="6"/>
      <c r="BL420" s="6"/>
      <c r="BM420" s="6"/>
      <c r="BN420" s="6"/>
      <c r="BO420" s="6"/>
      <c r="BP420" s="6"/>
      <c r="BQ420" s="6"/>
      <c r="BR420" s="6"/>
      <c r="BS420" s="6"/>
      <c r="BT420" s="6"/>
      <c r="BU420" s="8" t="s">
        <v>7194</v>
      </c>
      <c r="BV420" s="8" t="s">
        <v>7188</v>
      </c>
      <c r="BW420" s="8" t="s">
        <v>7189</v>
      </c>
    </row>
    <row r="421" spans="1:75" ht="12.75" customHeight="1">
      <c r="A421" s="4" t="s">
        <v>63</v>
      </c>
      <c r="B421" s="4" t="s">
        <v>2439</v>
      </c>
      <c r="C421" s="4"/>
      <c r="D421" s="4"/>
      <c r="E421" s="4"/>
      <c r="F421" s="4" t="s">
        <v>2440</v>
      </c>
      <c r="G421" s="4"/>
      <c r="H421" s="4"/>
      <c r="I421" s="4" t="s">
        <v>2441</v>
      </c>
      <c r="J421" s="4" t="s">
        <v>2442</v>
      </c>
      <c r="K421" s="4"/>
      <c r="L421" s="4"/>
      <c r="M421" s="4"/>
      <c r="N421" s="4" t="s">
        <v>2443</v>
      </c>
      <c r="O421" s="4" t="s">
        <v>2444</v>
      </c>
      <c r="P421" s="4"/>
      <c r="Q421" s="4"/>
      <c r="R421" s="4"/>
      <c r="S421" s="4"/>
      <c r="T421" s="4"/>
      <c r="U421" s="4"/>
      <c r="V421" s="4"/>
      <c r="W421" s="4"/>
      <c r="X421" s="4"/>
      <c r="Y421" s="4"/>
      <c r="Z421" s="4"/>
      <c r="AA421" s="4"/>
      <c r="AB421" s="4"/>
      <c r="AC421" s="4"/>
      <c r="AD421" s="4"/>
      <c r="AE421" s="4"/>
      <c r="AF421" s="4"/>
      <c r="AG421" s="4"/>
      <c r="AH421" s="4"/>
      <c r="AI421" s="4"/>
      <c r="AJ421" s="4"/>
      <c r="AK421" s="4"/>
      <c r="AL421" s="4"/>
      <c r="AM421" s="4" t="s">
        <v>2445</v>
      </c>
      <c r="AN421" s="4" t="s">
        <v>2446</v>
      </c>
      <c r="AO421" s="4"/>
      <c r="AP421" s="4"/>
      <c r="AQ421" s="4"/>
      <c r="AR421" s="4" t="s">
        <v>2447</v>
      </c>
      <c r="AS421" s="4">
        <v>2016</v>
      </c>
      <c r="AT421" s="4">
        <v>134</v>
      </c>
      <c r="AU421" s="4"/>
      <c r="AV421" s="4"/>
      <c r="AW421" s="4">
        <v>1</v>
      </c>
      <c r="AX421" s="4"/>
      <c r="AY421" s="4">
        <v>18580</v>
      </c>
      <c r="AZ421" s="4"/>
      <c r="BA421" s="4"/>
      <c r="BB421" s="4"/>
      <c r="BC421" s="4"/>
      <c r="BD421" s="4"/>
      <c r="BE421" s="4"/>
      <c r="BF421" s="4"/>
      <c r="BG421" s="4"/>
      <c r="BH421" s="4"/>
      <c r="BI421" s="4"/>
      <c r="BJ421" s="4" t="s">
        <v>2448</v>
      </c>
      <c r="BK421" s="4"/>
      <c r="BL421" s="4"/>
      <c r="BM421" s="4"/>
      <c r="BN421" s="4"/>
      <c r="BO421" s="4"/>
      <c r="BP421" s="4"/>
      <c r="BQ421" s="4"/>
      <c r="BR421" s="4"/>
      <c r="BS421" s="4"/>
      <c r="BT421" s="4"/>
      <c r="BU421" s="12" t="s">
        <v>7321</v>
      </c>
      <c r="BV421" s="12" t="s">
        <v>7188</v>
      </c>
      <c r="BW421" s="12" t="s">
        <v>7189</v>
      </c>
    </row>
    <row r="422" spans="1:75" ht="12.75" customHeight="1">
      <c r="A422" s="4" t="s">
        <v>63</v>
      </c>
      <c r="B422" s="4" t="s">
        <v>4951</v>
      </c>
      <c r="C422" s="4"/>
      <c r="D422" s="4"/>
      <c r="E422" s="4"/>
      <c r="F422" s="4" t="s">
        <v>4952</v>
      </c>
      <c r="G422" s="4"/>
      <c r="H422" s="4"/>
      <c r="I422" s="4" t="s">
        <v>4953</v>
      </c>
      <c r="J422" s="4" t="s">
        <v>4954</v>
      </c>
      <c r="K422" s="4"/>
      <c r="L422" s="4"/>
      <c r="M422" s="4"/>
      <c r="N422" s="4"/>
      <c r="O422" s="4"/>
      <c r="P422" s="4"/>
      <c r="Q422" s="4"/>
      <c r="R422" s="4"/>
      <c r="S422" s="4"/>
      <c r="T422" s="4" t="s">
        <v>4955</v>
      </c>
      <c r="U422" s="4"/>
      <c r="V422" s="4"/>
      <c r="W422" s="4"/>
      <c r="X422" s="4"/>
      <c r="Y422" s="4"/>
      <c r="Z422" s="4"/>
      <c r="AA422" s="4"/>
      <c r="AB422" s="4"/>
      <c r="AC422" s="4"/>
      <c r="AD422" s="4"/>
      <c r="AE422" s="4"/>
      <c r="AF422" s="4"/>
      <c r="AG422" s="4"/>
      <c r="AH422" s="4"/>
      <c r="AI422" s="4"/>
      <c r="AJ422" s="4"/>
      <c r="AK422" s="4"/>
      <c r="AL422" s="4"/>
      <c r="AM422" s="4" t="s">
        <v>4956</v>
      </c>
      <c r="AN422" s="4"/>
      <c r="AO422" s="4"/>
      <c r="AP422" s="4"/>
      <c r="AQ422" s="4"/>
      <c r="AR422" s="4" t="s">
        <v>66</v>
      </c>
      <c r="AS422" s="4">
        <v>2021</v>
      </c>
      <c r="AT422" s="4" t="s">
        <v>4957</v>
      </c>
      <c r="AU422" s="4">
        <v>6</v>
      </c>
      <c r="AV422" s="4"/>
      <c r="AW422" s="4" t="s">
        <v>1330</v>
      </c>
      <c r="AX422" s="4"/>
      <c r="AY422" s="4"/>
      <c r="AZ422" s="4">
        <v>113</v>
      </c>
      <c r="BA422" s="4">
        <v>118</v>
      </c>
      <c r="BB422" s="4"/>
      <c r="BC422" s="4" t="s">
        <v>4958</v>
      </c>
      <c r="BD422" s="5" t="str">
        <f>HYPERLINK("http://dx.doi.org/10.1302/0301-620X.103B6.BJJ-2020-2430.R1","http://dx.doi.org/10.1302/0301-620X.103B6.BJJ-2020-2430.R1")</f>
        <v>http://dx.doi.org/10.1302/0301-620X.103B6.BJJ-2020-2430.R1</v>
      </c>
      <c r="BE422" s="4"/>
      <c r="BF422" s="4"/>
      <c r="BG422" s="4"/>
      <c r="BH422" s="4"/>
      <c r="BI422" s="4">
        <v>34053276</v>
      </c>
      <c r="BJ422" s="4" t="s">
        <v>4959</v>
      </c>
      <c r="BK422" s="4"/>
      <c r="BL422" s="4"/>
      <c r="BM422" s="4"/>
      <c r="BN422" s="4"/>
      <c r="BO422" s="4"/>
      <c r="BP422" s="4"/>
      <c r="BQ422" s="4"/>
      <c r="BR422" s="4"/>
      <c r="BS422" s="4"/>
      <c r="BT422" s="4"/>
      <c r="BU422" s="12" t="s">
        <v>7354</v>
      </c>
      <c r="BV422" s="12" t="s">
        <v>7188</v>
      </c>
      <c r="BW422" s="12" t="s">
        <v>7189</v>
      </c>
    </row>
    <row r="423" spans="1:75" ht="12.75" customHeight="1">
      <c r="A423" s="6" t="s">
        <v>63</v>
      </c>
      <c r="B423" s="6" t="s">
        <v>636</v>
      </c>
      <c r="C423" s="6"/>
      <c r="D423" s="6"/>
      <c r="E423" s="6"/>
      <c r="F423" s="6" t="s">
        <v>637</v>
      </c>
      <c r="G423" s="6"/>
      <c r="H423" s="6"/>
      <c r="I423" s="6" t="s">
        <v>638</v>
      </c>
      <c r="J423" s="6" t="s">
        <v>639</v>
      </c>
      <c r="K423" s="6"/>
      <c r="L423" s="6"/>
      <c r="M423" s="6"/>
      <c r="N423" s="6"/>
      <c r="O423" s="6"/>
      <c r="P423" s="6"/>
      <c r="Q423" s="6"/>
      <c r="R423" s="6"/>
      <c r="S423" s="6"/>
      <c r="T423" s="6" t="s">
        <v>640</v>
      </c>
      <c r="U423" s="6"/>
      <c r="V423" s="6"/>
      <c r="W423" s="6"/>
      <c r="X423" s="6"/>
      <c r="Y423" s="6" t="s">
        <v>641</v>
      </c>
      <c r="Z423" s="6" t="s">
        <v>642</v>
      </c>
      <c r="AA423" s="6"/>
      <c r="AB423" s="6"/>
      <c r="AC423" s="6"/>
      <c r="AD423" s="6"/>
      <c r="AE423" s="6"/>
      <c r="AF423" s="6"/>
      <c r="AG423" s="6"/>
      <c r="AH423" s="6"/>
      <c r="AI423" s="6"/>
      <c r="AJ423" s="6"/>
      <c r="AK423" s="6"/>
      <c r="AL423" s="6"/>
      <c r="AM423" s="6" t="s">
        <v>643</v>
      </c>
      <c r="AN423" s="6" t="s">
        <v>644</v>
      </c>
      <c r="AO423" s="6"/>
      <c r="AP423" s="6"/>
      <c r="AQ423" s="6"/>
      <c r="AR423" s="6" t="s">
        <v>173</v>
      </c>
      <c r="AS423" s="6">
        <v>2011</v>
      </c>
      <c r="AT423" s="6">
        <v>5</v>
      </c>
      <c r="AU423" s="6">
        <v>3</v>
      </c>
      <c r="AV423" s="6"/>
      <c r="AW423" s="6"/>
      <c r="AX423" s="6"/>
      <c r="AY423" s="6"/>
      <c r="AZ423" s="6">
        <v>247</v>
      </c>
      <c r="BA423" s="6">
        <v>267</v>
      </c>
      <c r="BB423" s="6"/>
      <c r="BC423" s="6" t="s">
        <v>645</v>
      </c>
      <c r="BD423" s="9" t="str">
        <f>HYPERLINK("http://dx.doi.org/10.1177/1558689811412971","http://dx.doi.org/10.1177/1558689811412971")</f>
        <v>http://dx.doi.org/10.1177/1558689811412971</v>
      </c>
      <c r="BE423" s="6"/>
      <c r="BF423" s="6"/>
      <c r="BG423" s="6"/>
      <c r="BH423" s="6"/>
      <c r="BI423" s="6"/>
      <c r="BJ423" s="6" t="s">
        <v>646</v>
      </c>
      <c r="BK423" s="6"/>
      <c r="BL423" s="6"/>
      <c r="BM423" s="6"/>
      <c r="BN423" s="6"/>
      <c r="BO423" s="6"/>
      <c r="BP423" s="6"/>
      <c r="BQ423" s="6"/>
      <c r="BR423" s="6"/>
      <c r="BS423" s="6"/>
      <c r="BT423" s="6"/>
      <c r="BU423" s="8" t="s">
        <v>7304</v>
      </c>
      <c r="BV423" s="8" t="s">
        <v>7188</v>
      </c>
      <c r="BW423" s="8" t="s">
        <v>7189</v>
      </c>
    </row>
    <row r="424" spans="1:75" ht="12.75" customHeight="1">
      <c r="A424" s="3" t="s">
        <v>63</v>
      </c>
      <c r="B424" s="3" t="s">
        <v>4960</v>
      </c>
      <c r="C424" s="3"/>
      <c r="D424" s="3"/>
      <c r="E424" s="3"/>
      <c r="F424" s="3" t="s">
        <v>4961</v>
      </c>
      <c r="G424" s="3"/>
      <c r="H424" s="3"/>
      <c r="I424" s="3" t="s">
        <v>4962</v>
      </c>
      <c r="J424" s="3" t="s">
        <v>4963</v>
      </c>
      <c r="K424" s="3"/>
      <c r="L424" s="3"/>
      <c r="M424" s="3"/>
      <c r="N424" s="3"/>
      <c r="O424" s="3"/>
      <c r="P424" s="3"/>
      <c r="Q424" s="3"/>
      <c r="R424" s="3"/>
      <c r="S424" s="3"/>
      <c r="T424" s="3"/>
      <c r="U424" s="3"/>
      <c r="V424" s="3"/>
      <c r="W424" s="3"/>
      <c r="X424" s="3"/>
      <c r="Y424" s="3" t="s">
        <v>4835</v>
      </c>
      <c r="Z424" s="3"/>
      <c r="AA424" s="3"/>
      <c r="AB424" s="3"/>
      <c r="AC424" s="3"/>
      <c r="AD424" s="3"/>
      <c r="AE424" s="3"/>
      <c r="AF424" s="3"/>
      <c r="AG424" s="3"/>
      <c r="AH424" s="3"/>
      <c r="AI424" s="3"/>
      <c r="AJ424" s="3"/>
      <c r="AK424" s="3"/>
      <c r="AL424" s="3"/>
      <c r="AM424" s="3" t="s">
        <v>4964</v>
      </c>
      <c r="AN424" s="3" t="s">
        <v>4965</v>
      </c>
      <c r="AO424" s="3"/>
      <c r="AP424" s="3"/>
      <c r="AQ424" s="3"/>
      <c r="AR424" s="3" t="s">
        <v>64</v>
      </c>
      <c r="AS424" s="3">
        <v>2021</v>
      </c>
      <c r="AT424" s="3">
        <v>233</v>
      </c>
      <c r="AU424" s="3">
        <v>5</v>
      </c>
      <c r="AV424" s="3"/>
      <c r="AW424" s="3">
        <v>1</v>
      </c>
      <c r="AX424" s="3"/>
      <c r="AY424" s="3"/>
      <c r="AZ424" s="3" t="s">
        <v>4966</v>
      </c>
      <c r="BA424" s="3" t="s">
        <v>4967</v>
      </c>
      <c r="BB424" s="3"/>
      <c r="BC424" s="3"/>
      <c r="BD424" s="3"/>
      <c r="BE424" s="3"/>
      <c r="BF424" s="3"/>
      <c r="BG424" s="3"/>
      <c r="BH424" s="3"/>
      <c r="BI424" s="3"/>
      <c r="BJ424" s="3" t="s">
        <v>4968</v>
      </c>
      <c r="BK424" s="3"/>
      <c r="BL424" s="3"/>
      <c r="BM424" s="3"/>
      <c r="BN424" s="3"/>
      <c r="BO424" s="3"/>
      <c r="BP424" s="3"/>
      <c r="BQ424" s="3"/>
      <c r="BR424" s="3"/>
      <c r="BS424" s="3"/>
      <c r="BT424" s="3"/>
      <c r="BU424" s="1" t="s">
        <v>7263</v>
      </c>
      <c r="BV424" s="10" t="s">
        <v>7188</v>
      </c>
      <c r="BW424" s="10" t="s">
        <v>7189</v>
      </c>
    </row>
    <row r="425" spans="1:75" ht="12.75" customHeight="1">
      <c r="A425" s="4" t="s">
        <v>63</v>
      </c>
      <c r="B425" s="4" t="s">
        <v>1504</v>
      </c>
      <c r="C425" s="4"/>
      <c r="D425" s="4"/>
      <c r="E425" s="4"/>
      <c r="F425" s="4" t="s">
        <v>1505</v>
      </c>
      <c r="G425" s="4"/>
      <c r="H425" s="4"/>
      <c r="I425" s="4" t="s">
        <v>1506</v>
      </c>
      <c r="J425" s="4" t="s">
        <v>822</v>
      </c>
      <c r="K425" s="4"/>
      <c r="L425" s="4"/>
      <c r="M425" s="4"/>
      <c r="N425" s="4"/>
      <c r="O425" s="4"/>
      <c r="P425" s="4"/>
      <c r="Q425" s="4"/>
      <c r="R425" s="4"/>
      <c r="S425" s="4"/>
      <c r="T425" s="4" t="s">
        <v>1507</v>
      </c>
      <c r="U425" s="4"/>
      <c r="V425" s="4"/>
      <c r="W425" s="4"/>
      <c r="X425" s="4"/>
      <c r="Y425" s="4"/>
      <c r="Z425" s="4"/>
      <c r="AA425" s="4"/>
      <c r="AB425" s="4"/>
      <c r="AC425" s="4"/>
      <c r="AD425" s="4"/>
      <c r="AE425" s="4"/>
      <c r="AF425" s="4"/>
      <c r="AG425" s="4"/>
      <c r="AH425" s="4"/>
      <c r="AI425" s="4"/>
      <c r="AJ425" s="4"/>
      <c r="AK425" s="4"/>
      <c r="AL425" s="4"/>
      <c r="AM425" s="4" t="s">
        <v>824</v>
      </c>
      <c r="AN425" s="4" t="s">
        <v>825</v>
      </c>
      <c r="AO425" s="4"/>
      <c r="AP425" s="4"/>
      <c r="AQ425" s="4"/>
      <c r="AR425" s="4" t="s">
        <v>445</v>
      </c>
      <c r="AS425" s="4">
        <v>2014</v>
      </c>
      <c r="AT425" s="4">
        <v>17</v>
      </c>
      <c r="AU425" s="4">
        <v>3</v>
      </c>
      <c r="AV425" s="4"/>
      <c r="AW425" s="4"/>
      <c r="AX425" s="4"/>
      <c r="AY425" s="4"/>
      <c r="AZ425" s="4">
        <v>395</v>
      </c>
      <c r="BA425" s="4">
        <v>416</v>
      </c>
      <c r="BB425" s="4"/>
      <c r="BC425" s="4" t="s">
        <v>1508</v>
      </c>
      <c r="BD425" s="5" t="str">
        <f>HYPERLINK("http://dx.doi.org/10.2752/175174414X13948130848386","http://dx.doi.org/10.2752/175174414X13948130848386")</f>
        <v>http://dx.doi.org/10.2752/175174414X13948130848386</v>
      </c>
      <c r="BE425" s="4"/>
      <c r="BF425" s="4"/>
      <c r="BG425" s="4"/>
      <c r="BH425" s="4"/>
      <c r="BI425" s="4"/>
      <c r="BJ425" s="4" t="s">
        <v>1509</v>
      </c>
      <c r="BK425" s="4"/>
      <c r="BL425" s="4"/>
      <c r="BM425" s="4"/>
      <c r="BN425" s="4"/>
      <c r="BO425" s="4"/>
      <c r="BP425" s="4"/>
      <c r="BQ425" s="4"/>
      <c r="BR425" s="4"/>
      <c r="BS425" s="4"/>
      <c r="BT425" s="4"/>
      <c r="BU425" s="12" t="s">
        <v>7193</v>
      </c>
      <c r="BV425" s="12" t="s">
        <v>7188</v>
      </c>
      <c r="BW425" s="12" t="s">
        <v>7189</v>
      </c>
    </row>
    <row r="426" spans="1:75" ht="12.75" customHeight="1">
      <c r="A426" s="4" t="s">
        <v>63</v>
      </c>
      <c r="B426" s="4" t="s">
        <v>3843</v>
      </c>
      <c r="C426" s="4"/>
      <c r="D426" s="4"/>
      <c r="E426" s="4"/>
      <c r="F426" s="4" t="s">
        <v>3844</v>
      </c>
      <c r="G426" s="4"/>
      <c r="H426" s="4"/>
      <c r="I426" s="4" t="s">
        <v>3845</v>
      </c>
      <c r="J426" s="4" t="s">
        <v>3846</v>
      </c>
      <c r="K426" s="4"/>
      <c r="L426" s="4"/>
      <c r="M426" s="4"/>
      <c r="N426" s="4"/>
      <c r="O426" s="4"/>
      <c r="P426" s="4"/>
      <c r="Q426" s="4"/>
      <c r="R426" s="4"/>
      <c r="S426" s="4"/>
      <c r="T426" s="4" t="s">
        <v>3847</v>
      </c>
      <c r="U426" s="4"/>
      <c r="V426" s="4"/>
      <c r="W426" s="4"/>
      <c r="X426" s="4"/>
      <c r="Y426" s="4"/>
      <c r="Z426" s="4" t="s">
        <v>3848</v>
      </c>
      <c r="AA426" s="4"/>
      <c r="AB426" s="4"/>
      <c r="AC426" s="4"/>
      <c r="AD426" s="4"/>
      <c r="AE426" s="4"/>
      <c r="AF426" s="4"/>
      <c r="AG426" s="4"/>
      <c r="AH426" s="4"/>
      <c r="AI426" s="4"/>
      <c r="AJ426" s="4"/>
      <c r="AK426" s="4"/>
      <c r="AL426" s="4"/>
      <c r="AM426" s="4" t="s">
        <v>3849</v>
      </c>
      <c r="AN426" s="4"/>
      <c r="AO426" s="4"/>
      <c r="AP426" s="4"/>
      <c r="AQ426" s="4"/>
      <c r="AR426" s="4" t="s">
        <v>173</v>
      </c>
      <c r="AS426" s="4">
        <v>2019</v>
      </c>
      <c r="AT426" s="4">
        <v>24</v>
      </c>
      <c r="AU426" s="4">
        <v>2</v>
      </c>
      <c r="AV426" s="4"/>
      <c r="AW426" s="4"/>
      <c r="AX426" s="4"/>
      <c r="AY426" s="4"/>
      <c r="AZ426" s="4"/>
      <c r="BA426" s="4"/>
      <c r="BB426" s="4">
        <v>18</v>
      </c>
      <c r="BC426" s="4" t="s">
        <v>3850</v>
      </c>
      <c r="BD426" s="5" t="str">
        <f>HYPERLINK("http://dx.doi.org/10.5751/ES-10650-240218","http://dx.doi.org/10.5751/ES-10650-240218")</f>
        <v>http://dx.doi.org/10.5751/ES-10650-240218</v>
      </c>
      <c r="BE426" s="4"/>
      <c r="BF426" s="4"/>
      <c r="BG426" s="4"/>
      <c r="BH426" s="4"/>
      <c r="BI426" s="4"/>
      <c r="BJ426" s="4" t="s">
        <v>3851</v>
      </c>
      <c r="BK426" s="4"/>
      <c r="BL426" s="4"/>
      <c r="BM426" s="4"/>
      <c r="BN426" s="4"/>
      <c r="BO426" s="4"/>
      <c r="BP426" s="4"/>
      <c r="BQ426" s="4"/>
      <c r="BR426" s="4"/>
      <c r="BS426" s="4"/>
      <c r="BT426" s="4"/>
      <c r="BU426" s="12" t="s">
        <v>7191</v>
      </c>
      <c r="BV426" s="12" t="s">
        <v>7188</v>
      </c>
      <c r="BW426" s="12" t="s">
        <v>7189</v>
      </c>
    </row>
    <row r="427" spans="1:75" ht="12.75" customHeight="1">
      <c r="A427" s="7" t="s">
        <v>63</v>
      </c>
      <c r="B427" s="7" t="s">
        <v>6285</v>
      </c>
      <c r="C427" s="7"/>
      <c r="D427" s="7"/>
      <c r="E427" s="7"/>
      <c r="F427" s="7" t="s">
        <v>6286</v>
      </c>
      <c r="G427" s="7"/>
      <c r="H427" s="7"/>
      <c r="I427" s="7" t="s">
        <v>5641</v>
      </c>
      <c r="J427" s="7" t="s">
        <v>6287</v>
      </c>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t="s">
        <v>6288</v>
      </c>
      <c r="AN427" s="7" t="s">
        <v>6289</v>
      </c>
      <c r="AO427" s="7"/>
      <c r="AP427" s="7"/>
      <c r="AQ427" s="7"/>
      <c r="AR427" s="7" t="s">
        <v>67</v>
      </c>
      <c r="AS427" s="7">
        <v>2023</v>
      </c>
      <c r="AT427" s="7">
        <v>46</v>
      </c>
      <c r="AU427" s="7">
        <v>1</v>
      </c>
      <c r="AV427" s="7"/>
      <c r="AW427" s="7"/>
      <c r="AX427" s="7"/>
      <c r="AY427" s="7"/>
      <c r="AZ427" s="7">
        <v>94</v>
      </c>
      <c r="BA427" s="7">
        <v>97</v>
      </c>
      <c r="BB427" s="7"/>
      <c r="BC427" s="7" t="s">
        <v>6290</v>
      </c>
      <c r="BD427" s="11" t="str">
        <f>HYPERLINK("http://dx.doi.org/10.1002/SYMB.597","http://dx.doi.org/10.1002/SYMB.597")</f>
        <v>http://dx.doi.org/10.1002/SYMB.597</v>
      </c>
      <c r="BE427" s="7"/>
      <c r="BF427" s="7" t="s">
        <v>5408</v>
      </c>
      <c r="BG427" s="7"/>
      <c r="BH427" s="7"/>
      <c r="BI427" s="7"/>
      <c r="BJ427" s="7" t="s">
        <v>6291</v>
      </c>
      <c r="BK427" s="7"/>
      <c r="BL427" s="7"/>
      <c r="BM427" s="7"/>
      <c r="BN427" s="7"/>
      <c r="BO427" s="7"/>
      <c r="BP427" s="7"/>
      <c r="BQ427" s="7"/>
      <c r="BR427" s="7"/>
      <c r="BS427" s="7"/>
      <c r="BT427" s="7"/>
      <c r="BU427" s="2" t="s">
        <v>7193</v>
      </c>
      <c r="BV427" s="2" t="s">
        <v>7193</v>
      </c>
      <c r="BW427" s="2" t="s">
        <v>7193</v>
      </c>
    </row>
    <row r="428" spans="1:75" ht="12.75" customHeight="1">
      <c r="A428" s="3" t="s">
        <v>63</v>
      </c>
      <c r="B428" s="3" t="s">
        <v>4305</v>
      </c>
      <c r="C428" s="3"/>
      <c r="D428" s="3"/>
      <c r="E428" s="3"/>
      <c r="F428" s="3" t="s">
        <v>4306</v>
      </c>
      <c r="G428" s="3"/>
      <c r="H428" s="3"/>
      <c r="I428" s="3" t="s">
        <v>4307</v>
      </c>
      <c r="J428" s="3" t="s">
        <v>3439</v>
      </c>
      <c r="K428" s="3"/>
      <c r="L428" s="3"/>
      <c r="M428" s="3"/>
      <c r="N428" s="3" t="s">
        <v>4308</v>
      </c>
      <c r="O428" s="3" t="s">
        <v>4309</v>
      </c>
      <c r="P428" s="3" t="s">
        <v>3441</v>
      </c>
      <c r="Q428" s="3"/>
      <c r="R428" s="3"/>
      <c r="S428" s="3"/>
      <c r="T428" s="3"/>
      <c r="U428" s="3"/>
      <c r="V428" s="3"/>
      <c r="W428" s="3"/>
      <c r="X428" s="3"/>
      <c r="Y428" s="3"/>
      <c r="Z428" s="3"/>
      <c r="AA428" s="3"/>
      <c r="AB428" s="3"/>
      <c r="AC428" s="3"/>
      <c r="AD428" s="3"/>
      <c r="AE428" s="3"/>
      <c r="AF428" s="3"/>
      <c r="AG428" s="3"/>
      <c r="AH428" s="3"/>
      <c r="AI428" s="3"/>
      <c r="AJ428" s="3"/>
      <c r="AK428" s="3"/>
      <c r="AL428" s="3"/>
      <c r="AM428" s="3" t="s">
        <v>3442</v>
      </c>
      <c r="AN428" s="3" t="s">
        <v>3443</v>
      </c>
      <c r="AO428" s="3"/>
      <c r="AP428" s="3"/>
      <c r="AQ428" s="3"/>
      <c r="AR428" s="3" t="s">
        <v>133</v>
      </c>
      <c r="AS428" s="3">
        <v>2020</v>
      </c>
      <c r="AT428" s="3">
        <v>222</v>
      </c>
      <c r="AU428" s="3">
        <v>1</v>
      </c>
      <c r="AV428" s="3"/>
      <c r="AW428" s="3" t="s">
        <v>151</v>
      </c>
      <c r="AX428" s="3"/>
      <c r="AY428" s="3">
        <v>402</v>
      </c>
      <c r="AZ428" s="3" t="s">
        <v>4310</v>
      </c>
      <c r="BA428" s="3" t="s">
        <v>4311</v>
      </c>
      <c r="BB428" s="3"/>
      <c r="BC428" s="3" t="s">
        <v>4312</v>
      </c>
      <c r="BD428" s="15" t="str">
        <f>HYPERLINK("http://dx.doi.org/10.1016/j.ajog.2019.11.418","http://dx.doi.org/10.1016/j.ajog.2019.11.418")</f>
        <v>http://dx.doi.org/10.1016/j.ajog.2019.11.418</v>
      </c>
      <c r="BE428" s="3"/>
      <c r="BF428" s="3"/>
      <c r="BG428" s="3"/>
      <c r="BH428" s="3"/>
      <c r="BI428" s="3"/>
      <c r="BJ428" s="3" t="s">
        <v>4313</v>
      </c>
      <c r="BK428" s="3"/>
      <c r="BL428" s="3"/>
      <c r="BM428" s="3"/>
      <c r="BN428" s="3"/>
      <c r="BO428" s="3"/>
      <c r="BP428" s="3"/>
      <c r="BQ428" s="3"/>
      <c r="BR428" s="3"/>
      <c r="BS428" s="3"/>
      <c r="BT428" s="3"/>
      <c r="BU428" s="1" t="s">
        <v>7389</v>
      </c>
      <c r="BV428" s="10" t="s">
        <v>7188</v>
      </c>
      <c r="BW428" s="10" t="s">
        <v>7189</v>
      </c>
    </row>
    <row r="429" spans="1:75" ht="12.75" customHeight="1">
      <c r="A429" s="6" t="s">
        <v>63</v>
      </c>
      <c r="B429" s="6" t="s">
        <v>847</v>
      </c>
      <c r="C429" s="6"/>
      <c r="D429" s="6"/>
      <c r="E429" s="6"/>
      <c r="F429" s="6" t="s">
        <v>848</v>
      </c>
      <c r="G429" s="6"/>
      <c r="H429" s="6"/>
      <c r="I429" s="6" t="s">
        <v>849</v>
      </c>
      <c r="J429" s="6" t="s">
        <v>396</v>
      </c>
      <c r="K429" s="6"/>
      <c r="L429" s="6"/>
      <c r="M429" s="6"/>
      <c r="N429" s="6"/>
      <c r="O429" s="6"/>
      <c r="P429" s="6"/>
      <c r="Q429" s="6"/>
      <c r="R429" s="6"/>
      <c r="S429" s="6"/>
      <c r="T429" s="6" t="s">
        <v>850</v>
      </c>
      <c r="U429" s="6"/>
      <c r="V429" s="6"/>
      <c r="W429" s="6"/>
      <c r="X429" s="6"/>
      <c r="Y429" s="6"/>
      <c r="Z429" s="6"/>
      <c r="AA429" s="6"/>
      <c r="AB429" s="6"/>
      <c r="AC429" s="6"/>
      <c r="AD429" s="6"/>
      <c r="AE429" s="6"/>
      <c r="AF429" s="6"/>
      <c r="AG429" s="6"/>
      <c r="AH429" s="6"/>
      <c r="AI429" s="6"/>
      <c r="AJ429" s="6"/>
      <c r="AK429" s="6"/>
      <c r="AL429" s="6"/>
      <c r="AM429" s="6" t="s">
        <v>398</v>
      </c>
      <c r="AN429" s="6" t="s">
        <v>399</v>
      </c>
      <c r="AO429" s="6"/>
      <c r="AP429" s="6"/>
      <c r="AQ429" s="6"/>
      <c r="AR429" s="6" t="s">
        <v>851</v>
      </c>
      <c r="AS429" s="6">
        <v>2012</v>
      </c>
      <c r="AT429" s="6">
        <v>44</v>
      </c>
      <c r="AU429" s="6">
        <v>6</v>
      </c>
      <c r="AV429" s="6"/>
      <c r="AW429" s="6"/>
      <c r="AX429" s="6"/>
      <c r="AY429" s="6"/>
      <c r="AZ429" s="6">
        <v>539</v>
      </c>
      <c r="BA429" s="6">
        <v>547</v>
      </c>
      <c r="BB429" s="6"/>
      <c r="BC429" s="6" t="s">
        <v>852</v>
      </c>
      <c r="BD429" s="9" t="str">
        <f>HYPERLINK("http://dx.doi.org/10.1016/j.jneb.2011.06.007","http://dx.doi.org/10.1016/j.jneb.2011.06.007")</f>
        <v>http://dx.doi.org/10.1016/j.jneb.2011.06.007</v>
      </c>
      <c r="BE429" s="6"/>
      <c r="BF429" s="6"/>
      <c r="BG429" s="6"/>
      <c r="BH429" s="6"/>
      <c r="BI429" s="6">
        <v>22236493</v>
      </c>
      <c r="BJ429" s="6" t="s">
        <v>853</v>
      </c>
      <c r="BK429" s="6"/>
      <c r="BL429" s="6"/>
      <c r="BM429" s="6"/>
      <c r="BN429" s="6"/>
      <c r="BO429" s="6"/>
      <c r="BP429" s="6"/>
      <c r="BQ429" s="6"/>
      <c r="BR429" s="6"/>
      <c r="BS429" s="6"/>
      <c r="BT429" s="6"/>
      <c r="BU429" s="8" t="s">
        <v>7390</v>
      </c>
      <c r="BV429" s="8" t="s">
        <v>7188</v>
      </c>
      <c r="BW429" s="8" t="s">
        <v>7391</v>
      </c>
    </row>
    <row r="430" spans="1:75" ht="12.75" customHeight="1">
      <c r="A430" s="7" t="s">
        <v>63</v>
      </c>
      <c r="B430" s="7" t="s">
        <v>404</v>
      </c>
      <c r="C430" s="7"/>
      <c r="D430" s="7"/>
      <c r="E430" s="7"/>
      <c r="F430" s="7" t="s">
        <v>404</v>
      </c>
      <c r="G430" s="7"/>
      <c r="H430" s="7"/>
      <c r="I430" s="7" t="s">
        <v>405</v>
      </c>
      <c r="J430" s="7" t="s">
        <v>406</v>
      </c>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t="s">
        <v>407</v>
      </c>
      <c r="AN430" s="7"/>
      <c r="AO430" s="7"/>
      <c r="AP430" s="7"/>
      <c r="AQ430" s="7"/>
      <c r="AR430" s="7" t="s">
        <v>81</v>
      </c>
      <c r="AS430" s="7">
        <v>2009</v>
      </c>
      <c r="AT430" s="7">
        <v>61</v>
      </c>
      <c r="AU430" s="7" t="s">
        <v>174</v>
      </c>
      <c r="AV430" s="7"/>
      <c r="AW430" s="7"/>
      <c r="AX430" s="7"/>
      <c r="AY430" s="7"/>
      <c r="AZ430" s="7">
        <v>42</v>
      </c>
      <c r="BA430" s="7">
        <v>42</v>
      </c>
      <c r="BB430" s="7"/>
      <c r="BC430" s="7"/>
      <c r="BD430" s="7"/>
      <c r="BE430" s="7"/>
      <c r="BF430" s="7"/>
      <c r="BG430" s="7"/>
      <c r="BH430" s="7"/>
      <c r="BI430" s="7"/>
      <c r="BJ430" s="7" t="s">
        <v>408</v>
      </c>
      <c r="BK430" s="7"/>
      <c r="BL430" s="7"/>
      <c r="BM430" s="7"/>
      <c r="BN430" s="7"/>
      <c r="BO430" s="7"/>
      <c r="BP430" s="7"/>
      <c r="BQ430" s="7"/>
      <c r="BR430" s="7"/>
      <c r="BS430" s="7"/>
      <c r="BT430" s="7"/>
      <c r="BU430" s="1" t="s">
        <v>7193</v>
      </c>
      <c r="BV430" s="10" t="s">
        <v>7300</v>
      </c>
      <c r="BW430" s="10" t="s">
        <v>7301</v>
      </c>
    </row>
    <row r="431" spans="1:75" ht="12.75" customHeight="1">
      <c r="A431" s="3" t="s">
        <v>63</v>
      </c>
      <c r="B431" s="3" t="s">
        <v>6870</v>
      </c>
      <c r="C431" s="3"/>
      <c r="D431" s="3"/>
      <c r="E431" s="3"/>
      <c r="F431" s="3" t="s">
        <v>6871</v>
      </c>
      <c r="G431" s="3"/>
      <c r="H431" s="3"/>
      <c r="I431" s="3" t="s">
        <v>6872</v>
      </c>
      <c r="J431" s="3" t="s">
        <v>6712</v>
      </c>
      <c r="K431" s="3"/>
      <c r="L431" s="3"/>
      <c r="M431" s="3"/>
      <c r="N431" s="3"/>
      <c r="O431" s="3"/>
      <c r="P431" s="3"/>
      <c r="Q431" s="3"/>
      <c r="R431" s="3"/>
      <c r="S431" s="3"/>
      <c r="T431" s="3" t="s">
        <v>6873</v>
      </c>
      <c r="U431" s="3"/>
      <c r="V431" s="3"/>
      <c r="W431" s="3"/>
      <c r="X431" s="3"/>
      <c r="Y431" s="3" t="s">
        <v>6874</v>
      </c>
      <c r="Z431" s="3" t="s">
        <v>6875</v>
      </c>
      <c r="AA431" s="3"/>
      <c r="AB431" s="3"/>
      <c r="AC431" s="3"/>
      <c r="AD431" s="3"/>
      <c r="AE431" s="3"/>
      <c r="AF431" s="3"/>
      <c r="AG431" s="3"/>
      <c r="AH431" s="3"/>
      <c r="AI431" s="3"/>
      <c r="AJ431" s="3"/>
      <c r="AK431" s="3"/>
      <c r="AL431" s="3"/>
      <c r="AM431" s="3"/>
      <c r="AN431" s="3" t="s">
        <v>6714</v>
      </c>
      <c r="AO431" s="3"/>
      <c r="AP431" s="3"/>
      <c r="AQ431" s="3"/>
      <c r="AR431" s="3" t="s">
        <v>121</v>
      </c>
      <c r="AS431" s="3">
        <v>2024</v>
      </c>
      <c r="AT431" s="3">
        <v>14</v>
      </c>
      <c r="AU431" s="3">
        <v>15</v>
      </c>
      <c r="AV431" s="3"/>
      <c r="AW431" s="3"/>
      <c r="AX431" s="3"/>
      <c r="AY431" s="3"/>
      <c r="AZ431" s="3"/>
      <c r="BA431" s="3"/>
      <c r="BB431" s="3">
        <v>6677</v>
      </c>
      <c r="BC431" s="3" t="s">
        <v>6876</v>
      </c>
      <c r="BD431" s="15" t="str">
        <f>HYPERLINK("http://dx.doi.org/10.3390/app14156677","http://dx.doi.org/10.3390/app14156677")</f>
        <v>http://dx.doi.org/10.3390/app14156677</v>
      </c>
      <c r="BE431" s="3"/>
      <c r="BF431" s="3"/>
      <c r="BG431" s="3"/>
      <c r="BH431" s="3"/>
      <c r="BI431" s="3"/>
      <c r="BJ431" s="3" t="s">
        <v>6877</v>
      </c>
      <c r="BK431" s="3"/>
      <c r="BL431" s="3"/>
      <c r="BM431" s="3"/>
      <c r="BN431" s="3"/>
      <c r="BO431" s="3"/>
      <c r="BP431" s="3"/>
      <c r="BQ431" s="3"/>
      <c r="BR431" s="3"/>
      <c r="BS431" s="3"/>
      <c r="BT431" s="3"/>
      <c r="BU431" s="1" t="s">
        <v>7201</v>
      </c>
      <c r="BV431" s="2" t="s">
        <v>7392</v>
      </c>
      <c r="BW431" s="2" t="s">
        <v>7205</v>
      </c>
    </row>
    <row r="432" spans="1:75" ht="12.75" customHeight="1">
      <c r="A432" s="3" t="s">
        <v>63</v>
      </c>
      <c r="B432" s="3" t="s">
        <v>3411</v>
      </c>
      <c r="C432" s="3"/>
      <c r="D432" s="3"/>
      <c r="E432" s="3"/>
      <c r="F432" s="3" t="s">
        <v>3412</v>
      </c>
      <c r="G432" s="3"/>
      <c r="H432" s="3"/>
      <c r="I432" s="3" t="s">
        <v>3413</v>
      </c>
      <c r="J432" s="3" t="s">
        <v>83</v>
      </c>
      <c r="K432" s="3"/>
      <c r="L432" s="3"/>
      <c r="M432" s="3"/>
      <c r="N432" s="3"/>
      <c r="O432" s="3"/>
      <c r="P432" s="3"/>
      <c r="Q432" s="3"/>
      <c r="R432" s="3"/>
      <c r="S432" s="3"/>
      <c r="T432" s="3" t="s">
        <v>3414</v>
      </c>
      <c r="U432" s="3"/>
      <c r="V432" s="3"/>
      <c r="W432" s="3"/>
      <c r="X432" s="3"/>
      <c r="Y432" s="3" t="s">
        <v>3415</v>
      </c>
      <c r="Z432" s="3"/>
      <c r="AA432" s="3"/>
      <c r="AB432" s="3"/>
      <c r="AC432" s="3"/>
      <c r="AD432" s="3"/>
      <c r="AE432" s="3"/>
      <c r="AF432" s="3"/>
      <c r="AG432" s="3"/>
      <c r="AH432" s="3"/>
      <c r="AI432" s="3"/>
      <c r="AJ432" s="3"/>
      <c r="AK432" s="3"/>
      <c r="AL432" s="3"/>
      <c r="AM432" s="3" t="s">
        <v>84</v>
      </c>
      <c r="AN432" s="3" t="s">
        <v>3416</v>
      </c>
      <c r="AO432" s="3"/>
      <c r="AP432" s="3"/>
      <c r="AQ432" s="3"/>
      <c r="AR432" s="3" t="s">
        <v>2083</v>
      </c>
      <c r="AS432" s="3">
        <v>2018</v>
      </c>
      <c r="AT432" s="3">
        <v>41</v>
      </c>
      <c r="AU432" s="3">
        <v>6</v>
      </c>
      <c r="AV432" s="3"/>
      <c r="AW432" s="3"/>
      <c r="AX432" s="3"/>
      <c r="AY432" s="3"/>
      <c r="AZ432" s="3">
        <v>1188</v>
      </c>
      <c r="BA432" s="3">
        <v>1195</v>
      </c>
      <c r="BB432" s="3"/>
      <c r="BC432" s="3" t="s">
        <v>3417</v>
      </c>
      <c r="BD432" s="15" t="str">
        <f>HYPERLINK("http://dx.doi.org/10.2337/dc17-1981","http://dx.doi.org/10.2337/dc17-1981")</f>
        <v>http://dx.doi.org/10.2337/dc17-1981</v>
      </c>
      <c r="BE432" s="3"/>
      <c r="BF432" s="3"/>
      <c r="BG432" s="3"/>
      <c r="BH432" s="3"/>
      <c r="BI432" s="3">
        <v>29555650</v>
      </c>
      <c r="BJ432" s="3" t="s">
        <v>3418</v>
      </c>
      <c r="BK432" s="3"/>
      <c r="BL432" s="3"/>
      <c r="BM432" s="3"/>
      <c r="BN432" s="3"/>
      <c r="BO432" s="3"/>
      <c r="BP432" s="3"/>
      <c r="BQ432" s="3"/>
      <c r="BR432" s="3"/>
      <c r="BS432" s="3"/>
      <c r="BT432" s="3"/>
      <c r="BU432" s="1" t="s">
        <v>7393</v>
      </c>
      <c r="BV432" s="10" t="s">
        <v>7188</v>
      </c>
      <c r="BW432" s="10" t="s">
        <v>7189</v>
      </c>
    </row>
    <row r="433" spans="1:75" ht="12.75" customHeight="1">
      <c r="A433" s="4" t="s">
        <v>63</v>
      </c>
      <c r="B433" s="4" t="s">
        <v>4314</v>
      </c>
      <c r="C433" s="4"/>
      <c r="D433" s="4"/>
      <c r="E433" s="4"/>
      <c r="F433" s="4" t="s">
        <v>4315</v>
      </c>
      <c r="G433" s="4"/>
      <c r="H433" s="4"/>
      <c r="I433" s="4" t="s">
        <v>4316</v>
      </c>
      <c r="J433" s="4" t="s">
        <v>3374</v>
      </c>
      <c r="K433" s="4"/>
      <c r="L433" s="4"/>
      <c r="M433" s="4"/>
      <c r="N433" s="4"/>
      <c r="O433" s="4"/>
      <c r="P433" s="4"/>
      <c r="Q433" s="4"/>
      <c r="R433" s="4"/>
      <c r="S433" s="4"/>
      <c r="T433" s="4" t="s">
        <v>4317</v>
      </c>
      <c r="U433" s="4"/>
      <c r="V433" s="4"/>
      <c r="W433" s="4"/>
      <c r="X433" s="4"/>
      <c r="Y433" s="4" t="s">
        <v>4207</v>
      </c>
      <c r="Z433" s="4" t="s">
        <v>4208</v>
      </c>
      <c r="AA433" s="4"/>
      <c r="AB433" s="4"/>
      <c r="AC433" s="4"/>
      <c r="AD433" s="4"/>
      <c r="AE433" s="4"/>
      <c r="AF433" s="4"/>
      <c r="AG433" s="4"/>
      <c r="AH433" s="4"/>
      <c r="AI433" s="4"/>
      <c r="AJ433" s="4"/>
      <c r="AK433" s="4"/>
      <c r="AL433" s="4"/>
      <c r="AM433" s="4"/>
      <c r="AN433" s="4" t="s">
        <v>3377</v>
      </c>
      <c r="AO433" s="4"/>
      <c r="AP433" s="4"/>
      <c r="AQ433" s="4"/>
      <c r="AR433" s="4" t="s">
        <v>78</v>
      </c>
      <c r="AS433" s="4">
        <v>2020</v>
      </c>
      <c r="AT433" s="4">
        <v>12</v>
      </c>
      <c r="AU433" s="4">
        <v>10</v>
      </c>
      <c r="AV433" s="4"/>
      <c r="AW433" s="4"/>
      <c r="AX433" s="4"/>
      <c r="AY433" s="4"/>
      <c r="AZ433" s="4"/>
      <c r="BA433" s="4"/>
      <c r="BB433" s="4">
        <v>4068</v>
      </c>
      <c r="BC433" s="4" t="s">
        <v>4318</v>
      </c>
      <c r="BD433" s="5" t="str">
        <f>HYPERLINK("http://dx.doi.org/10.3390/su12104068","http://dx.doi.org/10.3390/su12104068")</f>
        <v>http://dx.doi.org/10.3390/su12104068</v>
      </c>
      <c r="BE433" s="4"/>
      <c r="BF433" s="4"/>
      <c r="BG433" s="4"/>
      <c r="BH433" s="4"/>
      <c r="BI433" s="4"/>
      <c r="BJ433" s="4" t="s">
        <v>4319</v>
      </c>
      <c r="BK433" s="4"/>
      <c r="BL433" s="4"/>
      <c r="BM433" s="4"/>
      <c r="BN433" s="4"/>
      <c r="BO433" s="4"/>
      <c r="BP433" s="4"/>
      <c r="BQ433" s="4"/>
      <c r="BR433" s="4"/>
      <c r="BS433" s="4"/>
      <c r="BT433" s="4"/>
      <c r="BU433" s="12" t="s">
        <v>7394</v>
      </c>
      <c r="BV433" s="12" t="s">
        <v>7188</v>
      </c>
      <c r="BW433" s="12" t="s">
        <v>7189</v>
      </c>
    </row>
    <row r="434" spans="1:75" ht="12.75" customHeight="1">
      <c r="A434" s="3" t="s">
        <v>63</v>
      </c>
      <c r="B434" s="3" t="s">
        <v>647</v>
      </c>
      <c r="C434" s="3"/>
      <c r="D434" s="3"/>
      <c r="E434" s="3"/>
      <c r="F434" s="3" t="s">
        <v>648</v>
      </c>
      <c r="G434" s="3"/>
      <c r="H434" s="3"/>
      <c r="I434" s="3" t="s">
        <v>649</v>
      </c>
      <c r="J434" s="3" t="s">
        <v>650</v>
      </c>
      <c r="K434" s="3"/>
      <c r="L434" s="3"/>
      <c r="M434" s="3"/>
      <c r="N434" s="3"/>
      <c r="O434" s="3"/>
      <c r="P434" s="3"/>
      <c r="Q434" s="3"/>
      <c r="R434" s="3"/>
      <c r="S434" s="3"/>
      <c r="T434" s="3" t="s">
        <v>651</v>
      </c>
      <c r="U434" s="3"/>
      <c r="V434" s="3"/>
      <c r="W434" s="3"/>
      <c r="X434" s="3"/>
      <c r="Y434" s="3" t="s">
        <v>652</v>
      </c>
      <c r="Z434" s="3" t="s">
        <v>653</v>
      </c>
      <c r="AA434" s="3"/>
      <c r="AB434" s="3"/>
      <c r="AC434" s="3"/>
      <c r="AD434" s="3"/>
      <c r="AE434" s="3"/>
      <c r="AF434" s="3"/>
      <c r="AG434" s="3"/>
      <c r="AH434" s="3"/>
      <c r="AI434" s="3"/>
      <c r="AJ434" s="3"/>
      <c r="AK434" s="3"/>
      <c r="AL434" s="3"/>
      <c r="AM434" s="3" t="s">
        <v>654</v>
      </c>
      <c r="AN434" s="3" t="s">
        <v>655</v>
      </c>
      <c r="AO434" s="3"/>
      <c r="AP434" s="3"/>
      <c r="AQ434" s="3"/>
      <c r="AR434" s="3" t="s">
        <v>92</v>
      </c>
      <c r="AS434" s="3">
        <v>2011</v>
      </c>
      <c r="AT434" s="3">
        <v>41</v>
      </c>
      <c r="AU434" s="3">
        <v>4</v>
      </c>
      <c r="AV434" s="3"/>
      <c r="AW434" s="3"/>
      <c r="AX434" s="3"/>
      <c r="AY434" s="3"/>
      <c r="AZ434" s="3">
        <v>439</v>
      </c>
      <c r="BA434" s="3">
        <v>441</v>
      </c>
      <c r="BB434" s="3"/>
      <c r="BC434" s="3" t="s">
        <v>656</v>
      </c>
      <c r="BD434" s="15" t="str">
        <f>HYPERLINK("http://dx.doi.org/10.1016/j.amepre.2011.06.034","http://dx.doi.org/10.1016/j.amepre.2011.06.034")</f>
        <v>http://dx.doi.org/10.1016/j.amepre.2011.06.034</v>
      </c>
      <c r="BE434" s="3"/>
      <c r="BF434" s="3"/>
      <c r="BG434" s="3"/>
      <c r="BH434" s="3"/>
      <c r="BI434" s="3">
        <v>21961473</v>
      </c>
      <c r="BJ434" s="3" t="s">
        <v>657</v>
      </c>
      <c r="BK434" s="3"/>
      <c r="BL434" s="3"/>
      <c r="BM434" s="3"/>
      <c r="BN434" s="3"/>
      <c r="BO434" s="3"/>
      <c r="BP434" s="3"/>
      <c r="BQ434" s="3"/>
      <c r="BR434" s="3"/>
      <c r="BS434" s="3"/>
      <c r="BT434" s="3"/>
      <c r="BU434" s="1" t="s">
        <v>7377</v>
      </c>
      <c r="BV434" s="10" t="s">
        <v>7188</v>
      </c>
      <c r="BW434" s="10" t="s">
        <v>7189</v>
      </c>
    </row>
    <row r="435" spans="1:75" ht="12.75" customHeight="1">
      <c r="A435" s="4" t="s">
        <v>63</v>
      </c>
      <c r="B435" s="4" t="s">
        <v>1510</v>
      </c>
      <c r="C435" s="4"/>
      <c r="D435" s="4"/>
      <c r="E435" s="4"/>
      <c r="F435" s="4" t="s">
        <v>1511</v>
      </c>
      <c r="G435" s="4"/>
      <c r="H435" s="4"/>
      <c r="I435" s="4" t="s">
        <v>1512</v>
      </c>
      <c r="J435" s="4" t="s">
        <v>329</v>
      </c>
      <c r="K435" s="4"/>
      <c r="L435" s="4"/>
      <c r="M435" s="4"/>
      <c r="N435" s="4"/>
      <c r="O435" s="4"/>
      <c r="P435" s="4"/>
      <c r="Q435" s="4"/>
      <c r="R435" s="4"/>
      <c r="S435" s="4"/>
      <c r="T435" s="4" t="s">
        <v>1513</v>
      </c>
      <c r="U435" s="4"/>
      <c r="V435" s="4"/>
      <c r="W435" s="4"/>
      <c r="X435" s="4"/>
      <c r="Y435" s="4" t="s">
        <v>1514</v>
      </c>
      <c r="Z435" s="4" t="s">
        <v>1515</v>
      </c>
      <c r="AA435" s="4"/>
      <c r="AB435" s="4"/>
      <c r="AC435" s="4"/>
      <c r="AD435" s="4"/>
      <c r="AE435" s="4"/>
      <c r="AF435" s="4"/>
      <c r="AG435" s="4"/>
      <c r="AH435" s="4"/>
      <c r="AI435" s="4"/>
      <c r="AJ435" s="4"/>
      <c r="AK435" s="4"/>
      <c r="AL435" s="4"/>
      <c r="AM435" s="4" t="s">
        <v>330</v>
      </c>
      <c r="AN435" s="4" t="s">
        <v>1516</v>
      </c>
      <c r="AO435" s="4"/>
      <c r="AP435" s="4"/>
      <c r="AQ435" s="4"/>
      <c r="AR435" s="4" t="s">
        <v>66</v>
      </c>
      <c r="AS435" s="4">
        <v>2014</v>
      </c>
      <c r="AT435" s="4">
        <v>68</v>
      </c>
      <c r="AU435" s="4">
        <v>2</v>
      </c>
      <c r="AV435" s="4"/>
      <c r="AW435" s="4"/>
      <c r="AX435" s="4"/>
      <c r="AY435" s="4"/>
      <c r="AZ435" s="4">
        <v>177</v>
      </c>
      <c r="BA435" s="4">
        <v>189</v>
      </c>
      <c r="BB435" s="4"/>
      <c r="BC435" s="4" t="s">
        <v>1517</v>
      </c>
      <c r="BD435" s="5" t="str">
        <f>HYPERLINK("http://dx.doi.org/10.1007/s12231-014-9268-5","http://dx.doi.org/10.1007/s12231-014-9268-5")</f>
        <v>http://dx.doi.org/10.1007/s12231-014-9268-5</v>
      </c>
      <c r="BE435" s="4"/>
      <c r="BF435" s="4"/>
      <c r="BG435" s="4"/>
      <c r="BH435" s="4"/>
      <c r="BI435" s="4"/>
      <c r="BJ435" s="4" t="s">
        <v>1518</v>
      </c>
      <c r="BK435" s="4"/>
      <c r="BL435" s="4"/>
      <c r="BM435" s="4"/>
      <c r="BN435" s="4"/>
      <c r="BO435" s="4"/>
      <c r="BP435" s="4"/>
      <c r="BQ435" s="4"/>
      <c r="BR435" s="4"/>
      <c r="BS435" s="4"/>
      <c r="BT435" s="4"/>
      <c r="BU435" s="12" t="s">
        <v>7272</v>
      </c>
      <c r="BV435" s="12" t="s">
        <v>7188</v>
      </c>
      <c r="BW435" s="12" t="s">
        <v>7189</v>
      </c>
    </row>
    <row r="436" spans="1:75" ht="12.75" customHeight="1">
      <c r="A436" s="4" t="s">
        <v>63</v>
      </c>
      <c r="B436" s="4" t="s">
        <v>1905</v>
      </c>
      <c r="C436" s="4"/>
      <c r="D436" s="4"/>
      <c r="E436" s="4"/>
      <c r="F436" s="4" t="s">
        <v>1906</v>
      </c>
      <c r="G436" s="4"/>
      <c r="H436" s="4"/>
      <c r="I436" s="4" t="s">
        <v>1907</v>
      </c>
      <c r="J436" s="4" t="s">
        <v>434</v>
      </c>
      <c r="K436" s="4"/>
      <c r="L436" s="4"/>
      <c r="M436" s="4"/>
      <c r="N436" s="4"/>
      <c r="O436" s="4"/>
      <c r="P436" s="4"/>
      <c r="Q436" s="4"/>
      <c r="R436" s="4"/>
      <c r="S436" s="4"/>
      <c r="T436" s="4" t="s">
        <v>1908</v>
      </c>
      <c r="U436" s="4"/>
      <c r="V436" s="4"/>
      <c r="W436" s="4"/>
      <c r="X436" s="4"/>
      <c r="Y436" s="4" t="s">
        <v>1909</v>
      </c>
      <c r="Z436" s="4" t="s">
        <v>1910</v>
      </c>
      <c r="AA436" s="4"/>
      <c r="AB436" s="4"/>
      <c r="AC436" s="4"/>
      <c r="AD436" s="4"/>
      <c r="AE436" s="4"/>
      <c r="AF436" s="4"/>
      <c r="AG436" s="4"/>
      <c r="AH436" s="4"/>
      <c r="AI436" s="4"/>
      <c r="AJ436" s="4"/>
      <c r="AK436" s="4"/>
      <c r="AL436" s="4"/>
      <c r="AM436" s="4" t="s">
        <v>436</v>
      </c>
      <c r="AN436" s="4" t="s">
        <v>568</v>
      </c>
      <c r="AO436" s="4"/>
      <c r="AP436" s="4"/>
      <c r="AQ436" s="4"/>
      <c r="AR436" s="4" t="s">
        <v>121</v>
      </c>
      <c r="AS436" s="4">
        <v>2015</v>
      </c>
      <c r="AT436" s="4">
        <v>62</v>
      </c>
      <c r="AU436" s="4"/>
      <c r="AV436" s="4"/>
      <c r="AW436" s="4"/>
      <c r="AX436" s="4"/>
      <c r="AY436" s="4"/>
      <c r="AZ436" s="4">
        <v>19</v>
      </c>
      <c r="BA436" s="4">
        <v>28</v>
      </c>
      <c r="BB436" s="4"/>
      <c r="BC436" s="4" t="s">
        <v>1911</v>
      </c>
      <c r="BD436" s="5" t="str">
        <f>HYPERLINK("http://dx.doi.org/10.1016/j.apgeog.2015.03.016","http://dx.doi.org/10.1016/j.apgeog.2015.03.016")</f>
        <v>http://dx.doi.org/10.1016/j.apgeog.2015.03.016</v>
      </c>
      <c r="BE436" s="4"/>
      <c r="BF436" s="4"/>
      <c r="BG436" s="4"/>
      <c r="BH436" s="4"/>
      <c r="BI436" s="4"/>
      <c r="BJ436" s="4" t="s">
        <v>1912</v>
      </c>
      <c r="BK436" s="4"/>
      <c r="BL436" s="4"/>
      <c r="BM436" s="4"/>
      <c r="BN436" s="4"/>
      <c r="BO436" s="4"/>
      <c r="BP436" s="4"/>
      <c r="BQ436" s="4"/>
      <c r="BR436" s="4"/>
      <c r="BS436" s="4"/>
      <c r="BT436" s="4"/>
      <c r="BU436" s="12" t="s">
        <v>7206</v>
      </c>
      <c r="BV436" s="12" t="s">
        <v>7188</v>
      </c>
      <c r="BW436" s="12" t="s">
        <v>7189</v>
      </c>
    </row>
    <row r="437" spans="1:75" ht="12.75" customHeight="1">
      <c r="A437" s="4" t="s">
        <v>63</v>
      </c>
      <c r="B437" s="4" t="s">
        <v>3419</v>
      </c>
      <c r="C437" s="4"/>
      <c r="D437" s="4"/>
      <c r="E437" s="4"/>
      <c r="F437" s="4" t="s">
        <v>3420</v>
      </c>
      <c r="G437" s="4"/>
      <c r="H437" s="4"/>
      <c r="I437" s="4" t="s">
        <v>3421</v>
      </c>
      <c r="J437" s="4" t="s">
        <v>1142</v>
      </c>
      <c r="K437" s="4"/>
      <c r="L437" s="4"/>
      <c r="M437" s="4"/>
      <c r="N437" s="4"/>
      <c r="O437" s="4"/>
      <c r="P437" s="4"/>
      <c r="Q437" s="4"/>
      <c r="R437" s="4"/>
      <c r="S437" s="4"/>
      <c r="T437" s="4" t="s">
        <v>3422</v>
      </c>
      <c r="U437" s="4"/>
      <c r="V437" s="4"/>
      <c r="W437" s="4"/>
      <c r="X437" s="4"/>
      <c r="Y437" s="4" t="s">
        <v>3423</v>
      </c>
      <c r="Z437" s="4" t="s">
        <v>3424</v>
      </c>
      <c r="AA437" s="4"/>
      <c r="AB437" s="4"/>
      <c r="AC437" s="4"/>
      <c r="AD437" s="4"/>
      <c r="AE437" s="4"/>
      <c r="AF437" s="4"/>
      <c r="AG437" s="4"/>
      <c r="AH437" s="4"/>
      <c r="AI437" s="4"/>
      <c r="AJ437" s="4"/>
      <c r="AK437" s="4"/>
      <c r="AL437" s="4"/>
      <c r="AM437" s="4"/>
      <c r="AN437" s="4" t="s">
        <v>1144</v>
      </c>
      <c r="AO437" s="4"/>
      <c r="AP437" s="4"/>
      <c r="AQ437" s="4"/>
      <c r="AR437" s="4" t="s">
        <v>65</v>
      </c>
      <c r="AS437" s="4">
        <v>2018</v>
      </c>
      <c r="AT437" s="4">
        <v>15</v>
      </c>
      <c r="AU437" s="4">
        <v>12</v>
      </c>
      <c r="AV437" s="4"/>
      <c r="AW437" s="4"/>
      <c r="AX437" s="4"/>
      <c r="AY437" s="4"/>
      <c r="AZ437" s="4"/>
      <c r="BA437" s="4"/>
      <c r="BB437" s="4">
        <v>2773</v>
      </c>
      <c r="BC437" s="4" t="s">
        <v>3425</v>
      </c>
      <c r="BD437" s="5" t="str">
        <f>HYPERLINK("http://dx.doi.org/10.3390/ijerph15122773","http://dx.doi.org/10.3390/ijerph15122773")</f>
        <v>http://dx.doi.org/10.3390/ijerph15122773</v>
      </c>
      <c r="BE437" s="4"/>
      <c r="BF437" s="4"/>
      <c r="BG437" s="4"/>
      <c r="BH437" s="4"/>
      <c r="BI437" s="4">
        <v>30544503</v>
      </c>
      <c r="BJ437" s="4" t="s">
        <v>3426</v>
      </c>
      <c r="BK437" s="4"/>
      <c r="BL437" s="4"/>
      <c r="BM437" s="4"/>
      <c r="BN437" s="4"/>
      <c r="BO437" s="4"/>
      <c r="BP437" s="4"/>
      <c r="BQ437" s="4"/>
      <c r="BR437" s="4"/>
      <c r="BS437" s="4"/>
      <c r="BT437" s="4"/>
      <c r="BU437" s="12" t="s">
        <v>4523</v>
      </c>
      <c r="BV437" s="12" t="s">
        <v>7188</v>
      </c>
      <c r="BW437" s="12" t="s">
        <v>7189</v>
      </c>
    </row>
    <row r="438" spans="1:75" ht="12.75" customHeight="1">
      <c r="A438" s="3" t="s">
        <v>63</v>
      </c>
      <c r="B438" s="3" t="s">
        <v>6292</v>
      </c>
      <c r="C438" s="3"/>
      <c r="D438" s="3"/>
      <c r="E438" s="3"/>
      <c r="F438" s="3" t="s">
        <v>6293</v>
      </c>
      <c r="G438" s="3"/>
      <c r="H438" s="3"/>
      <c r="I438" s="3" t="s">
        <v>6294</v>
      </c>
      <c r="J438" s="3" t="s">
        <v>6295</v>
      </c>
      <c r="K438" s="3"/>
      <c r="L438" s="3"/>
      <c r="M438" s="3"/>
      <c r="N438" s="3" t="s">
        <v>6296</v>
      </c>
      <c r="O438" s="3" t="s">
        <v>6297</v>
      </c>
      <c r="P438" s="3"/>
      <c r="Q438" s="3"/>
      <c r="R438" s="3"/>
      <c r="S438" s="3"/>
      <c r="T438" s="3"/>
      <c r="U438" s="3"/>
      <c r="V438" s="3"/>
      <c r="W438" s="3"/>
      <c r="X438" s="3"/>
      <c r="Y438" s="3"/>
      <c r="Z438" s="3"/>
      <c r="AA438" s="3"/>
      <c r="AB438" s="3"/>
      <c r="AC438" s="3"/>
      <c r="AD438" s="3"/>
      <c r="AE438" s="3"/>
      <c r="AF438" s="3"/>
      <c r="AG438" s="3"/>
      <c r="AH438" s="3"/>
      <c r="AI438" s="3"/>
      <c r="AJ438" s="3"/>
      <c r="AK438" s="3"/>
      <c r="AL438" s="3"/>
      <c r="AM438" s="3" t="s">
        <v>6298</v>
      </c>
      <c r="AN438" s="3" t="s">
        <v>6299</v>
      </c>
      <c r="AO438" s="3"/>
      <c r="AP438" s="3"/>
      <c r="AQ438" s="3"/>
      <c r="AR438" s="3" t="s">
        <v>339</v>
      </c>
      <c r="AS438" s="3">
        <v>2023</v>
      </c>
      <c r="AT438" s="3">
        <v>83</v>
      </c>
      <c r="AU438" s="3">
        <v>7</v>
      </c>
      <c r="AV438" s="3"/>
      <c r="AW438" s="3" t="s">
        <v>151</v>
      </c>
      <c r="AX438" s="3"/>
      <c r="AY438" s="3">
        <v>6483</v>
      </c>
      <c r="AZ438" s="3"/>
      <c r="BA438" s="3"/>
      <c r="BB438" s="3"/>
      <c r="BC438" s="3" t="s">
        <v>6300</v>
      </c>
      <c r="BD438" s="15" t="str">
        <f>HYPERLINK("http://dx.doi.org/10.1158/1538-7445.AM2023-6483","http://dx.doi.org/10.1158/1538-7445.AM2023-6483")</f>
        <v>http://dx.doi.org/10.1158/1538-7445.AM2023-6483</v>
      </c>
      <c r="BE438" s="3"/>
      <c r="BF438" s="3"/>
      <c r="BG438" s="3"/>
      <c r="BH438" s="3"/>
      <c r="BI438" s="3"/>
      <c r="BJ438" s="3" t="s">
        <v>6301</v>
      </c>
      <c r="BK438" s="3"/>
      <c r="BL438" s="3"/>
      <c r="BM438" s="3"/>
      <c r="BN438" s="3"/>
      <c r="BO438" s="3"/>
      <c r="BP438" s="3"/>
      <c r="BQ438" s="3"/>
      <c r="BR438" s="3"/>
      <c r="BS438" s="3"/>
      <c r="BT438" s="3"/>
      <c r="BU438" s="2" t="s">
        <v>7201</v>
      </c>
      <c r="BV438" s="10" t="s">
        <v>7188</v>
      </c>
      <c r="BW438" s="10" t="s">
        <v>7189</v>
      </c>
    </row>
    <row r="439" spans="1:75" ht="12.75" customHeight="1">
      <c r="A439" s="3" t="s">
        <v>63</v>
      </c>
      <c r="B439" s="3" t="s">
        <v>6878</v>
      </c>
      <c r="C439" s="3"/>
      <c r="D439" s="3"/>
      <c r="E439" s="3"/>
      <c r="F439" s="3" t="s">
        <v>6879</v>
      </c>
      <c r="G439" s="3"/>
      <c r="H439" s="3"/>
      <c r="I439" s="3" t="s">
        <v>6880</v>
      </c>
      <c r="J439" s="3" t="s">
        <v>6881</v>
      </c>
      <c r="K439" s="3"/>
      <c r="L439" s="3"/>
      <c r="M439" s="3"/>
      <c r="N439" s="3"/>
      <c r="O439" s="3"/>
      <c r="P439" s="3"/>
      <c r="Q439" s="3"/>
      <c r="R439" s="3"/>
      <c r="S439" s="3"/>
      <c r="T439" s="3" t="s">
        <v>6882</v>
      </c>
      <c r="U439" s="3"/>
      <c r="V439" s="3"/>
      <c r="W439" s="3"/>
      <c r="X439" s="3"/>
      <c r="Y439" s="3"/>
      <c r="Z439" s="3" t="s">
        <v>6883</v>
      </c>
      <c r="AA439" s="3"/>
      <c r="AB439" s="3"/>
      <c r="AC439" s="3"/>
      <c r="AD439" s="3"/>
      <c r="AE439" s="3"/>
      <c r="AF439" s="3"/>
      <c r="AG439" s="3"/>
      <c r="AH439" s="3"/>
      <c r="AI439" s="3"/>
      <c r="AJ439" s="3"/>
      <c r="AK439" s="3"/>
      <c r="AL439" s="3"/>
      <c r="AM439" s="3" t="s">
        <v>6884</v>
      </c>
      <c r="AN439" s="3" t="s">
        <v>6885</v>
      </c>
      <c r="AO439" s="3"/>
      <c r="AP439" s="3"/>
      <c r="AQ439" s="3"/>
      <c r="AR439" s="3" t="s">
        <v>6886</v>
      </c>
      <c r="AS439" s="3">
        <v>2024</v>
      </c>
      <c r="AT439" s="3"/>
      <c r="AU439" s="3"/>
      <c r="AV439" s="3"/>
      <c r="AW439" s="3"/>
      <c r="AX439" s="3"/>
      <c r="AY439" s="3"/>
      <c r="AZ439" s="3"/>
      <c r="BA439" s="3"/>
      <c r="BB439" s="3"/>
      <c r="BC439" s="3" t="s">
        <v>6887</v>
      </c>
      <c r="BD439" s="15" t="str">
        <f>HYPERLINK("http://dx.doi.org/10.1002/ohn.969","http://dx.doi.org/10.1002/ohn.969")</f>
        <v>http://dx.doi.org/10.1002/ohn.969</v>
      </c>
      <c r="BE439" s="3"/>
      <c r="BF439" s="3" t="s">
        <v>6888</v>
      </c>
      <c r="BG439" s="3"/>
      <c r="BH439" s="3"/>
      <c r="BI439" s="3">
        <v>39253797</v>
      </c>
      <c r="BJ439" s="3" t="s">
        <v>6889</v>
      </c>
      <c r="BK439" s="3"/>
      <c r="BL439" s="3"/>
      <c r="BM439" s="3"/>
      <c r="BN439" s="3"/>
      <c r="BO439" s="3"/>
      <c r="BP439" s="3"/>
      <c r="BQ439" s="3"/>
      <c r="BR439" s="3"/>
      <c r="BS439" s="3"/>
      <c r="BT439" s="3"/>
      <c r="BU439" s="1" t="s">
        <v>7395</v>
      </c>
      <c r="BV439" s="10" t="s">
        <v>7188</v>
      </c>
      <c r="BW439" s="10" t="s">
        <v>7189</v>
      </c>
    </row>
    <row r="440" spans="1:75" ht="12.75" customHeight="1">
      <c r="A440" s="3" t="s">
        <v>63</v>
      </c>
      <c r="B440" s="3" t="s">
        <v>2449</v>
      </c>
      <c r="C440" s="3"/>
      <c r="D440" s="3"/>
      <c r="E440" s="3"/>
      <c r="F440" s="3" t="s">
        <v>2450</v>
      </c>
      <c r="G440" s="3"/>
      <c r="H440" s="3"/>
      <c r="I440" s="3" t="s">
        <v>2451</v>
      </c>
      <c r="J440" s="3" t="s">
        <v>373</v>
      </c>
      <c r="K440" s="3"/>
      <c r="L440" s="3"/>
      <c r="M440" s="3"/>
      <c r="N440" s="3"/>
      <c r="O440" s="3"/>
      <c r="P440" s="3"/>
      <c r="Q440" s="3"/>
      <c r="R440" s="3"/>
      <c r="S440" s="3"/>
      <c r="T440" s="3" t="s">
        <v>2452</v>
      </c>
      <c r="U440" s="3"/>
      <c r="V440" s="3"/>
      <c r="W440" s="3"/>
      <c r="X440" s="3"/>
      <c r="Y440" s="3" t="s">
        <v>2453</v>
      </c>
      <c r="Z440" s="3" t="s">
        <v>2454</v>
      </c>
      <c r="AA440" s="3"/>
      <c r="AB440" s="3"/>
      <c r="AC440" s="3"/>
      <c r="AD440" s="3"/>
      <c r="AE440" s="3"/>
      <c r="AF440" s="3"/>
      <c r="AG440" s="3"/>
      <c r="AH440" s="3"/>
      <c r="AI440" s="3"/>
      <c r="AJ440" s="3"/>
      <c r="AK440" s="3"/>
      <c r="AL440" s="3"/>
      <c r="AM440" s="3" t="s">
        <v>376</v>
      </c>
      <c r="AN440" s="3"/>
      <c r="AO440" s="3"/>
      <c r="AP440" s="3"/>
      <c r="AQ440" s="3"/>
      <c r="AR440" s="3" t="s">
        <v>68</v>
      </c>
      <c r="AS440" s="3">
        <v>2016</v>
      </c>
      <c r="AT440" s="3">
        <v>13</v>
      </c>
      <c r="AU440" s="3"/>
      <c r="AV440" s="3"/>
      <c r="AW440" s="3"/>
      <c r="AX440" s="3"/>
      <c r="AY440" s="3"/>
      <c r="AZ440" s="3"/>
      <c r="BA440" s="3"/>
      <c r="BB440" s="3" t="s">
        <v>2455</v>
      </c>
      <c r="BC440" s="3" t="s">
        <v>2456</v>
      </c>
      <c r="BD440" s="15" t="str">
        <f>HYPERLINK("http://dx.doi.org/10.5888/pcd13.150583","http://dx.doi.org/10.5888/pcd13.150583")</f>
        <v>http://dx.doi.org/10.5888/pcd13.150583</v>
      </c>
      <c r="BE440" s="3"/>
      <c r="BF440" s="3"/>
      <c r="BG440" s="3"/>
      <c r="BH440" s="3"/>
      <c r="BI440" s="3">
        <v>27126555</v>
      </c>
      <c r="BJ440" s="3" t="s">
        <v>2457</v>
      </c>
      <c r="BK440" s="3"/>
      <c r="BL440" s="3"/>
      <c r="BM440" s="3"/>
      <c r="BN440" s="3"/>
      <c r="BO440" s="3"/>
      <c r="BP440" s="3"/>
      <c r="BQ440" s="3"/>
      <c r="BR440" s="3"/>
      <c r="BS440" s="3"/>
      <c r="BT440" s="3"/>
      <c r="BU440" s="1" t="s">
        <v>7262</v>
      </c>
      <c r="BV440" s="10" t="s">
        <v>7188</v>
      </c>
      <c r="BW440" s="10" t="s">
        <v>7189</v>
      </c>
    </row>
    <row r="441" spans="1:75" ht="12.75" customHeight="1">
      <c r="A441" s="6" t="s">
        <v>63</v>
      </c>
      <c r="B441" s="6" t="s">
        <v>1913</v>
      </c>
      <c r="C441" s="6"/>
      <c r="D441" s="6"/>
      <c r="E441" s="6"/>
      <c r="F441" s="6" t="s">
        <v>1914</v>
      </c>
      <c r="G441" s="6"/>
      <c r="H441" s="6"/>
      <c r="I441" s="6" t="s">
        <v>1915</v>
      </c>
      <c r="J441" s="6" t="s">
        <v>239</v>
      </c>
      <c r="K441" s="6"/>
      <c r="L441" s="6"/>
      <c r="M441" s="6"/>
      <c r="N441" s="6"/>
      <c r="O441" s="6"/>
      <c r="P441" s="6"/>
      <c r="Q441" s="6"/>
      <c r="R441" s="6"/>
      <c r="S441" s="6"/>
      <c r="T441" s="6" t="s">
        <v>1916</v>
      </c>
      <c r="U441" s="6"/>
      <c r="V441" s="6"/>
      <c r="W441" s="6"/>
      <c r="X441" s="6"/>
      <c r="Y441" s="6"/>
      <c r="Z441" s="6" t="s">
        <v>1917</v>
      </c>
      <c r="AA441" s="6"/>
      <c r="AB441" s="6"/>
      <c r="AC441" s="6"/>
      <c r="AD441" s="6"/>
      <c r="AE441" s="6"/>
      <c r="AF441" s="6"/>
      <c r="AG441" s="6"/>
      <c r="AH441" s="6"/>
      <c r="AI441" s="6"/>
      <c r="AJ441" s="6"/>
      <c r="AK441" s="6"/>
      <c r="AL441" s="6"/>
      <c r="AM441" s="6" t="s">
        <v>243</v>
      </c>
      <c r="AN441" s="6"/>
      <c r="AO441" s="6"/>
      <c r="AP441" s="6"/>
      <c r="AQ441" s="6"/>
      <c r="AR441" s="6" t="s">
        <v>1918</v>
      </c>
      <c r="AS441" s="6">
        <v>2015</v>
      </c>
      <c r="AT441" s="6">
        <v>14</v>
      </c>
      <c r="AU441" s="6"/>
      <c r="AV441" s="6"/>
      <c r="AW441" s="6"/>
      <c r="AX441" s="6"/>
      <c r="AY441" s="6"/>
      <c r="AZ441" s="6"/>
      <c r="BA441" s="6"/>
      <c r="BB441" s="6">
        <v>37</v>
      </c>
      <c r="BC441" s="6" t="s">
        <v>1919</v>
      </c>
      <c r="BD441" s="9" t="str">
        <f>HYPERLINK("http://dx.doi.org/10.1186/s12942-015-0030-8","http://dx.doi.org/10.1186/s12942-015-0030-8")</f>
        <v>http://dx.doi.org/10.1186/s12942-015-0030-8</v>
      </c>
      <c r="BE441" s="6"/>
      <c r="BF441" s="6"/>
      <c r="BG441" s="6"/>
      <c r="BH441" s="6"/>
      <c r="BI441" s="6">
        <v>26714645</v>
      </c>
      <c r="BJ441" s="6" t="s">
        <v>1920</v>
      </c>
      <c r="BK441" s="6"/>
      <c r="BL441" s="6"/>
      <c r="BM441" s="6"/>
      <c r="BN441" s="6"/>
      <c r="BO441" s="6"/>
      <c r="BP441" s="6"/>
      <c r="BQ441" s="6"/>
      <c r="BR441" s="6"/>
      <c r="BS441" s="6"/>
      <c r="BT441" s="6"/>
      <c r="BU441" s="8" t="s">
        <v>7396</v>
      </c>
      <c r="BV441" s="8" t="s">
        <v>2039</v>
      </c>
      <c r="BW441" s="8" t="s">
        <v>7189</v>
      </c>
    </row>
    <row r="442" spans="1:75" ht="12.75" customHeight="1">
      <c r="A442" s="4" t="s">
        <v>201</v>
      </c>
      <c r="B442" s="4" t="s">
        <v>4969</v>
      </c>
      <c r="C442" s="4"/>
      <c r="D442" s="4" t="s">
        <v>4970</v>
      </c>
      <c r="E442" s="4"/>
      <c r="F442" s="4" t="s">
        <v>4971</v>
      </c>
      <c r="G442" s="4"/>
      <c r="H442" s="4"/>
      <c r="I442" s="4" t="s">
        <v>4972</v>
      </c>
      <c r="J442" s="4" t="s">
        <v>4973</v>
      </c>
      <c r="K442" s="4" t="s">
        <v>923</v>
      </c>
      <c r="L442" s="4"/>
      <c r="M442" s="4"/>
      <c r="N442" s="4" t="s">
        <v>4974</v>
      </c>
      <c r="O442" s="4" t="s">
        <v>4975</v>
      </c>
      <c r="P442" s="4" t="s">
        <v>4976</v>
      </c>
      <c r="Q442" s="4"/>
      <c r="R442" s="4"/>
      <c r="S442" s="4"/>
      <c r="T442" s="4" t="s">
        <v>4977</v>
      </c>
      <c r="U442" s="4"/>
      <c r="V442" s="4"/>
      <c r="W442" s="4"/>
      <c r="X442" s="4"/>
      <c r="Y442" s="4" t="s">
        <v>4978</v>
      </c>
      <c r="Z442" s="4"/>
      <c r="AA442" s="4"/>
      <c r="AB442" s="4"/>
      <c r="AC442" s="4"/>
      <c r="AD442" s="4"/>
      <c r="AE442" s="4"/>
      <c r="AF442" s="4"/>
      <c r="AG442" s="4"/>
      <c r="AH442" s="4"/>
      <c r="AI442" s="4"/>
      <c r="AJ442" s="4"/>
      <c r="AK442" s="4"/>
      <c r="AL442" s="4"/>
      <c r="AM442" s="4" t="s">
        <v>928</v>
      </c>
      <c r="AN442" s="4" t="s">
        <v>4067</v>
      </c>
      <c r="AO442" s="4" t="s">
        <v>4979</v>
      </c>
      <c r="AP442" s="4"/>
      <c r="AQ442" s="4"/>
      <c r="AR442" s="4"/>
      <c r="AS442" s="4">
        <v>2021</v>
      </c>
      <c r="AT442" s="4">
        <v>1321</v>
      </c>
      <c r="AU442" s="4"/>
      <c r="AV442" s="4"/>
      <c r="AW442" s="4"/>
      <c r="AX442" s="4"/>
      <c r="AY442" s="4"/>
      <c r="AZ442" s="4">
        <v>235</v>
      </c>
      <c r="BA442" s="4">
        <v>241</v>
      </c>
      <c r="BB442" s="4"/>
      <c r="BC442" s="4" t="s">
        <v>4980</v>
      </c>
      <c r="BD442" s="5" t="str">
        <f>HYPERLINK("http://dx.doi.org/10.17660/ActaHortic.2021.1321.31","http://dx.doi.org/10.17660/ActaHortic.2021.1321.31")</f>
        <v>http://dx.doi.org/10.17660/ActaHortic.2021.1321.31</v>
      </c>
      <c r="BE442" s="4"/>
      <c r="BF442" s="4"/>
      <c r="BG442" s="4"/>
      <c r="BH442" s="4"/>
      <c r="BI442" s="4"/>
      <c r="BJ442" s="4" t="s">
        <v>4981</v>
      </c>
      <c r="BK442" s="4"/>
      <c r="BL442" s="4"/>
      <c r="BM442" s="4"/>
      <c r="BN442" s="4"/>
      <c r="BO442" s="4"/>
      <c r="BP442" s="4"/>
      <c r="BQ442" s="4"/>
      <c r="BR442" s="4"/>
      <c r="BS442" s="4"/>
      <c r="BT442" s="4"/>
      <c r="BU442" s="12" t="s">
        <v>7397</v>
      </c>
      <c r="BV442" s="12" t="s">
        <v>7398</v>
      </c>
      <c r="BW442" s="12" t="s">
        <v>7205</v>
      </c>
    </row>
    <row r="443" spans="1:75" ht="12.75" customHeight="1">
      <c r="A443" s="7" t="s">
        <v>63</v>
      </c>
      <c r="B443" s="7" t="s">
        <v>1166</v>
      </c>
      <c r="C443" s="7"/>
      <c r="D443" s="7"/>
      <c r="E443" s="7"/>
      <c r="F443" s="7" t="s">
        <v>1167</v>
      </c>
      <c r="G443" s="7"/>
      <c r="H443" s="7"/>
      <c r="I443" s="7" t="s">
        <v>1168</v>
      </c>
      <c r="J443" s="7" t="s">
        <v>1169</v>
      </c>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t="s">
        <v>1170</v>
      </c>
      <c r="AN443" s="7" t="s">
        <v>1171</v>
      </c>
      <c r="AO443" s="7"/>
      <c r="AP443" s="7"/>
      <c r="AQ443" s="7"/>
      <c r="AR443" s="7" t="s">
        <v>82</v>
      </c>
      <c r="AS443" s="7">
        <v>2013</v>
      </c>
      <c r="AT443" s="7">
        <v>45</v>
      </c>
      <c r="AU443" s="7"/>
      <c r="AV443" s="7"/>
      <c r="AW443" s="7">
        <v>2</v>
      </c>
      <c r="AX443" s="7"/>
      <c r="AY443" s="7" t="s">
        <v>1172</v>
      </c>
      <c r="AZ443" s="7" t="s">
        <v>1173</v>
      </c>
      <c r="BA443" s="7" t="s">
        <v>1173</v>
      </c>
      <c r="BB443" s="7"/>
      <c r="BC443" s="7"/>
      <c r="BD443" s="7"/>
      <c r="BE443" s="7"/>
      <c r="BF443" s="7"/>
      <c r="BG443" s="7"/>
      <c r="BH443" s="7"/>
      <c r="BI443" s="7"/>
      <c r="BJ443" s="7" t="s">
        <v>1174</v>
      </c>
      <c r="BK443" s="7"/>
      <c r="BL443" s="7"/>
      <c r="BM443" s="7"/>
      <c r="BN443" s="7"/>
      <c r="BO443" s="7"/>
      <c r="BP443" s="7"/>
      <c r="BQ443" s="7"/>
      <c r="BR443" s="7"/>
      <c r="BS443" s="7"/>
      <c r="BT443" s="7"/>
      <c r="BU443" s="13" t="s">
        <v>7399</v>
      </c>
      <c r="BV443" s="10" t="s">
        <v>7188</v>
      </c>
      <c r="BW443" s="10" t="s">
        <v>7189</v>
      </c>
    </row>
    <row r="444" spans="1:75" ht="12.75" customHeight="1">
      <c r="A444" s="3" t="s">
        <v>63</v>
      </c>
      <c r="B444" s="3" t="s">
        <v>5710</v>
      </c>
      <c r="C444" s="3"/>
      <c r="D444" s="3"/>
      <c r="E444" s="3"/>
      <c r="F444" s="3" t="s">
        <v>5711</v>
      </c>
      <c r="G444" s="3"/>
      <c r="H444" s="3"/>
      <c r="I444" s="3" t="s">
        <v>5712</v>
      </c>
      <c r="J444" s="3" t="s">
        <v>1924</v>
      </c>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t="s">
        <v>1928</v>
      </c>
      <c r="AN444" s="3" t="s">
        <v>1929</v>
      </c>
      <c r="AO444" s="3"/>
      <c r="AP444" s="3"/>
      <c r="AQ444" s="3"/>
      <c r="AR444" s="3" t="s">
        <v>67</v>
      </c>
      <c r="AS444" s="3">
        <v>2022</v>
      </c>
      <c r="AT444" s="3">
        <v>149</v>
      </c>
      <c r="AU444" s="3">
        <v>2</v>
      </c>
      <c r="AV444" s="3"/>
      <c r="AW444" s="3" t="s">
        <v>151</v>
      </c>
      <c r="AX444" s="3"/>
      <c r="AY444" s="3">
        <v>254</v>
      </c>
      <c r="AZ444" s="3" t="s">
        <v>5713</v>
      </c>
      <c r="BA444" s="3" t="s">
        <v>5713</v>
      </c>
      <c r="BB444" s="3"/>
      <c r="BC444" s="3"/>
      <c r="BD444" s="3"/>
      <c r="BE444" s="3"/>
      <c r="BF444" s="3"/>
      <c r="BG444" s="3"/>
      <c r="BH444" s="3"/>
      <c r="BI444" s="3"/>
      <c r="BJ444" s="3" t="s">
        <v>5714</v>
      </c>
      <c r="BK444" s="3"/>
      <c r="BL444" s="3"/>
      <c r="BM444" s="3"/>
      <c r="BN444" s="3"/>
      <c r="BO444" s="3"/>
      <c r="BP444" s="3"/>
      <c r="BQ444" s="3"/>
      <c r="BR444" s="3"/>
      <c r="BS444" s="3"/>
      <c r="BT444" s="3"/>
      <c r="BU444" s="1" t="s">
        <v>7400</v>
      </c>
      <c r="BV444" s="10" t="s">
        <v>7188</v>
      </c>
      <c r="BW444" s="10" t="s">
        <v>7189</v>
      </c>
    </row>
    <row r="445" spans="1:75" ht="12.75" customHeight="1">
      <c r="A445" s="3" t="s">
        <v>63</v>
      </c>
      <c r="B445" s="3" t="s">
        <v>3427</v>
      </c>
      <c r="C445" s="3"/>
      <c r="D445" s="3"/>
      <c r="E445" s="3"/>
      <c r="F445" s="3" t="s">
        <v>3428</v>
      </c>
      <c r="G445" s="3"/>
      <c r="H445" s="3"/>
      <c r="I445" s="3" t="s">
        <v>3429</v>
      </c>
      <c r="J445" s="3" t="s">
        <v>3430</v>
      </c>
      <c r="K445" s="3"/>
      <c r="L445" s="3"/>
      <c r="M445" s="3"/>
      <c r="N445" s="3"/>
      <c r="O445" s="3"/>
      <c r="P445" s="3"/>
      <c r="Q445" s="3"/>
      <c r="R445" s="3"/>
      <c r="S445" s="3"/>
      <c r="T445" s="3" t="s">
        <v>3431</v>
      </c>
      <c r="U445" s="3"/>
      <c r="V445" s="3"/>
      <c r="W445" s="3"/>
      <c r="X445" s="3"/>
      <c r="Y445" s="3"/>
      <c r="Z445" s="3"/>
      <c r="AA445" s="3"/>
      <c r="AB445" s="3"/>
      <c r="AC445" s="3"/>
      <c r="AD445" s="3"/>
      <c r="AE445" s="3"/>
      <c r="AF445" s="3"/>
      <c r="AG445" s="3"/>
      <c r="AH445" s="3"/>
      <c r="AI445" s="3"/>
      <c r="AJ445" s="3"/>
      <c r="AK445" s="3"/>
      <c r="AL445" s="3"/>
      <c r="AM445" s="3" t="s">
        <v>3432</v>
      </c>
      <c r="AN445" s="3" t="s">
        <v>3433</v>
      </c>
      <c r="AO445" s="3"/>
      <c r="AP445" s="3"/>
      <c r="AQ445" s="3"/>
      <c r="AR445" s="3" t="s">
        <v>82</v>
      </c>
      <c r="AS445" s="3">
        <v>2018</v>
      </c>
      <c r="AT445" s="3">
        <v>41</v>
      </c>
      <c r="AU445" s="3">
        <v>1</v>
      </c>
      <c r="AV445" s="3"/>
      <c r="AW445" s="3"/>
      <c r="AX445" s="3"/>
      <c r="AY445" s="3"/>
      <c r="AZ445" s="3">
        <v>63</v>
      </c>
      <c r="BA445" s="3">
        <v>87</v>
      </c>
      <c r="BB445" s="3"/>
      <c r="BC445" s="3" t="s">
        <v>3434</v>
      </c>
      <c r="BD445" s="15" t="str">
        <f>HYPERLINK("http://dx.doi.org/10.1007/s11133-017-9370-y","http://dx.doi.org/10.1007/s11133-017-9370-y")</f>
        <v>http://dx.doi.org/10.1007/s11133-017-9370-y</v>
      </c>
      <c r="BE445" s="3"/>
      <c r="BF445" s="3"/>
      <c r="BG445" s="3"/>
      <c r="BH445" s="3"/>
      <c r="BI445" s="3"/>
      <c r="BJ445" s="3" t="s">
        <v>3435</v>
      </c>
      <c r="BK445" s="3"/>
      <c r="BL445" s="3"/>
      <c r="BM445" s="3"/>
      <c r="BN445" s="3"/>
      <c r="BO445" s="3"/>
      <c r="BP445" s="3"/>
      <c r="BQ445" s="3"/>
      <c r="BR445" s="3"/>
      <c r="BS445" s="3"/>
      <c r="BT445" s="3"/>
      <c r="BU445" s="10" t="s">
        <v>7193</v>
      </c>
      <c r="BV445" s="10" t="s">
        <v>7188</v>
      </c>
      <c r="BW445" s="10" t="s">
        <v>7189</v>
      </c>
    </row>
    <row r="446" spans="1:75" ht="12.75" customHeight="1">
      <c r="A446" s="4" t="s">
        <v>63</v>
      </c>
      <c r="B446" s="4" t="s">
        <v>4320</v>
      </c>
      <c r="C446" s="4"/>
      <c r="D446" s="4"/>
      <c r="E446" s="4"/>
      <c r="F446" s="4" t="s">
        <v>4321</v>
      </c>
      <c r="G446" s="4"/>
      <c r="H446" s="4"/>
      <c r="I446" s="4" t="s">
        <v>4322</v>
      </c>
      <c r="J446" s="4" t="s">
        <v>1531</v>
      </c>
      <c r="K446" s="4"/>
      <c r="L446" s="4"/>
      <c r="M446" s="4"/>
      <c r="N446" s="4"/>
      <c r="O446" s="4"/>
      <c r="P446" s="4"/>
      <c r="Q446" s="4"/>
      <c r="R446" s="4"/>
      <c r="S446" s="4"/>
      <c r="T446" s="4" t="s">
        <v>4323</v>
      </c>
      <c r="U446" s="4"/>
      <c r="V446" s="4"/>
      <c r="W446" s="4"/>
      <c r="X446" s="4"/>
      <c r="Y446" s="4"/>
      <c r="Z446" s="4" t="s">
        <v>4324</v>
      </c>
      <c r="AA446" s="4"/>
      <c r="AB446" s="4"/>
      <c r="AC446" s="4"/>
      <c r="AD446" s="4"/>
      <c r="AE446" s="4"/>
      <c r="AF446" s="4"/>
      <c r="AG446" s="4"/>
      <c r="AH446" s="4"/>
      <c r="AI446" s="4"/>
      <c r="AJ446" s="4"/>
      <c r="AK446" s="4"/>
      <c r="AL446" s="4"/>
      <c r="AM446" s="4" t="s">
        <v>1533</v>
      </c>
      <c r="AN446" s="4"/>
      <c r="AO446" s="4"/>
      <c r="AP446" s="4"/>
      <c r="AQ446" s="4"/>
      <c r="AR446" s="4" t="s">
        <v>4325</v>
      </c>
      <c r="AS446" s="4">
        <v>2020</v>
      </c>
      <c r="AT446" s="4">
        <v>15</v>
      </c>
      <c r="AU446" s="4">
        <v>4</v>
      </c>
      <c r="AV446" s="4"/>
      <c r="AW446" s="4"/>
      <c r="AX446" s="4"/>
      <c r="AY446" s="4"/>
      <c r="AZ446" s="4"/>
      <c r="BA446" s="4"/>
      <c r="BB446" s="4" t="s">
        <v>4326</v>
      </c>
      <c r="BC446" s="4" t="s">
        <v>4327</v>
      </c>
      <c r="BD446" s="5" t="str">
        <f>HYPERLINK("http://dx.doi.org/10.1371/journal.pone.0232157","http://dx.doi.org/10.1371/journal.pone.0232157")</f>
        <v>http://dx.doi.org/10.1371/journal.pone.0232157</v>
      </c>
      <c r="BE446" s="4"/>
      <c r="BF446" s="4"/>
      <c r="BG446" s="4"/>
      <c r="BH446" s="4"/>
      <c r="BI446" s="4">
        <v>32324818</v>
      </c>
      <c r="BJ446" s="4" t="s">
        <v>4328</v>
      </c>
      <c r="BK446" s="4"/>
      <c r="BL446" s="4"/>
      <c r="BM446" s="4"/>
      <c r="BN446" s="4"/>
      <c r="BO446" s="4"/>
      <c r="BP446" s="4"/>
      <c r="BQ446" s="4"/>
      <c r="BR446" s="4"/>
      <c r="BS446" s="4"/>
      <c r="BT446" s="4"/>
      <c r="BU446" s="12" t="s">
        <v>7193</v>
      </c>
      <c r="BV446" s="12" t="s">
        <v>7188</v>
      </c>
      <c r="BW446" s="12" t="s">
        <v>7189</v>
      </c>
    </row>
    <row r="447" spans="1:75" ht="12.75" customHeight="1">
      <c r="A447" s="4" t="s">
        <v>63</v>
      </c>
      <c r="B447" s="4" t="s">
        <v>2367</v>
      </c>
      <c r="C447" s="4"/>
      <c r="D447" s="4"/>
      <c r="E447" s="4"/>
      <c r="F447" s="4" t="s">
        <v>2368</v>
      </c>
      <c r="G447" s="4"/>
      <c r="H447" s="4"/>
      <c r="I447" s="4" t="s">
        <v>2458</v>
      </c>
      <c r="J447" s="4" t="s">
        <v>239</v>
      </c>
      <c r="K447" s="4"/>
      <c r="L447" s="4"/>
      <c r="M447" s="4"/>
      <c r="N447" s="4"/>
      <c r="O447" s="4"/>
      <c r="P447" s="4"/>
      <c r="Q447" s="4"/>
      <c r="R447" s="4"/>
      <c r="S447" s="4"/>
      <c r="T447" s="4" t="s">
        <v>2459</v>
      </c>
      <c r="U447" s="4"/>
      <c r="V447" s="4"/>
      <c r="W447" s="4"/>
      <c r="X447" s="4"/>
      <c r="Y447" s="4"/>
      <c r="Z447" s="4"/>
      <c r="AA447" s="4"/>
      <c r="AB447" s="4"/>
      <c r="AC447" s="4"/>
      <c r="AD447" s="4"/>
      <c r="AE447" s="4"/>
      <c r="AF447" s="4"/>
      <c r="AG447" s="4"/>
      <c r="AH447" s="4"/>
      <c r="AI447" s="4"/>
      <c r="AJ447" s="4"/>
      <c r="AK447" s="4"/>
      <c r="AL447" s="4"/>
      <c r="AM447" s="4" t="s">
        <v>243</v>
      </c>
      <c r="AN447" s="4"/>
      <c r="AO447" s="4"/>
      <c r="AP447" s="4"/>
      <c r="AQ447" s="4"/>
      <c r="AR447" s="4" t="s">
        <v>2460</v>
      </c>
      <c r="AS447" s="4">
        <v>2016</v>
      </c>
      <c r="AT447" s="4">
        <v>15</v>
      </c>
      <c r="AU447" s="4"/>
      <c r="AV447" s="4"/>
      <c r="AW447" s="4"/>
      <c r="AX447" s="4"/>
      <c r="AY447" s="4"/>
      <c r="AZ447" s="4"/>
      <c r="BA447" s="4"/>
      <c r="BB447" s="4">
        <v>19</v>
      </c>
      <c r="BC447" s="4" t="s">
        <v>2461</v>
      </c>
      <c r="BD447" s="5" t="str">
        <f>HYPERLINK("http://dx.doi.org/10.1186/s12942-016-0048-6","http://dx.doi.org/10.1186/s12942-016-0048-6")</f>
        <v>http://dx.doi.org/10.1186/s12942-016-0048-6</v>
      </c>
      <c r="BE447" s="4"/>
      <c r="BF447" s="4"/>
      <c r="BG447" s="4"/>
      <c r="BH447" s="4"/>
      <c r="BI447" s="4">
        <v>27312971</v>
      </c>
      <c r="BJ447" s="4" t="s">
        <v>2462</v>
      </c>
      <c r="BK447" s="4"/>
      <c r="BL447" s="4"/>
      <c r="BM447" s="4"/>
      <c r="BN447" s="4"/>
      <c r="BO447" s="4"/>
      <c r="BP447" s="4"/>
      <c r="BQ447" s="4"/>
      <c r="BR447" s="4"/>
      <c r="BS447" s="4"/>
      <c r="BT447" s="4"/>
      <c r="BU447" s="12" t="s">
        <v>7401</v>
      </c>
      <c r="BV447" s="12" t="s">
        <v>7188</v>
      </c>
      <c r="BW447" s="12" t="s">
        <v>7189</v>
      </c>
    </row>
    <row r="448" spans="1:75" ht="12.75" customHeight="1">
      <c r="A448" s="7" t="s">
        <v>63</v>
      </c>
      <c r="B448" s="7" t="s">
        <v>658</v>
      </c>
      <c r="C448" s="7"/>
      <c r="D448" s="7"/>
      <c r="E448" s="7"/>
      <c r="F448" s="7" t="s">
        <v>659</v>
      </c>
      <c r="G448" s="7"/>
      <c r="H448" s="7"/>
      <c r="I448" s="7" t="s">
        <v>660</v>
      </c>
      <c r="J448" s="7" t="s">
        <v>661</v>
      </c>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t="s">
        <v>662</v>
      </c>
      <c r="AN448" s="7"/>
      <c r="AO448" s="7"/>
      <c r="AP448" s="7"/>
      <c r="AQ448" s="7"/>
      <c r="AR448" s="7" t="s">
        <v>133</v>
      </c>
      <c r="AS448" s="7">
        <v>2011</v>
      </c>
      <c r="AT448" s="7">
        <v>111</v>
      </c>
      <c r="AU448" s="7">
        <v>1</v>
      </c>
      <c r="AV448" s="7"/>
      <c r="AW448" s="7"/>
      <c r="AX448" s="7"/>
      <c r="AY448" s="7"/>
      <c r="AZ448" s="7">
        <v>14</v>
      </c>
      <c r="BA448" s="7">
        <v>14</v>
      </c>
      <c r="BB448" s="7"/>
      <c r="BC448" s="7" t="s">
        <v>663</v>
      </c>
      <c r="BD448" s="11" t="str">
        <f>HYPERLINK("http://dx.doi.org/10.1016/j.jada.2010.11.009","http://dx.doi.org/10.1016/j.jada.2010.11.009")</f>
        <v>http://dx.doi.org/10.1016/j.jada.2010.11.009</v>
      </c>
      <c r="BE448" s="7"/>
      <c r="BF448" s="7"/>
      <c r="BG448" s="7"/>
      <c r="BH448" s="7"/>
      <c r="BI448" s="7">
        <v>21185958</v>
      </c>
      <c r="BJ448" s="7" t="s">
        <v>664</v>
      </c>
      <c r="BK448" s="7"/>
      <c r="BL448" s="7"/>
      <c r="BM448" s="7"/>
      <c r="BN448" s="7"/>
      <c r="BO448" s="7"/>
      <c r="BP448" s="7"/>
      <c r="BQ448" s="7"/>
      <c r="BR448" s="7"/>
      <c r="BS448" s="7"/>
      <c r="BT448" s="7"/>
      <c r="BU448" s="10" t="s">
        <v>7193</v>
      </c>
      <c r="BV448" s="10" t="s">
        <v>7188</v>
      </c>
      <c r="BW448" s="10" t="s">
        <v>7189</v>
      </c>
    </row>
    <row r="449" spans="1:75" ht="12.75" customHeight="1">
      <c r="A449" s="3" t="s">
        <v>63</v>
      </c>
      <c r="B449" s="3" t="s">
        <v>1175</v>
      </c>
      <c r="C449" s="3"/>
      <c r="D449" s="3"/>
      <c r="E449" s="3"/>
      <c r="F449" s="3" t="s">
        <v>1176</v>
      </c>
      <c r="G449" s="3"/>
      <c r="H449" s="3"/>
      <c r="I449" s="3" t="s">
        <v>1177</v>
      </c>
      <c r="J449" s="3" t="s">
        <v>532</v>
      </c>
      <c r="K449" s="3"/>
      <c r="L449" s="3"/>
      <c r="M449" s="3"/>
      <c r="N449" s="3"/>
      <c r="O449" s="3"/>
      <c r="P449" s="3"/>
      <c r="Q449" s="3"/>
      <c r="R449" s="3"/>
      <c r="S449" s="3"/>
      <c r="T449" s="3" t="s">
        <v>1178</v>
      </c>
      <c r="U449" s="3"/>
      <c r="V449" s="3"/>
      <c r="W449" s="3"/>
      <c r="X449" s="3"/>
      <c r="Y449" s="3"/>
      <c r="Z449" s="3"/>
      <c r="AA449" s="3"/>
      <c r="AB449" s="3"/>
      <c r="AC449" s="3"/>
      <c r="AD449" s="3"/>
      <c r="AE449" s="3"/>
      <c r="AF449" s="3"/>
      <c r="AG449" s="3"/>
      <c r="AH449" s="3"/>
      <c r="AI449" s="3"/>
      <c r="AJ449" s="3"/>
      <c r="AK449" s="3"/>
      <c r="AL449" s="3"/>
      <c r="AM449" s="3" t="s">
        <v>534</v>
      </c>
      <c r="AN449" s="3" t="s">
        <v>535</v>
      </c>
      <c r="AO449" s="3"/>
      <c r="AP449" s="3"/>
      <c r="AQ449" s="3"/>
      <c r="AR449" s="3" t="s">
        <v>279</v>
      </c>
      <c r="AS449" s="3">
        <v>2013</v>
      </c>
      <c r="AT449" s="3">
        <v>3</v>
      </c>
      <c r="AU449" s="3">
        <v>4</v>
      </c>
      <c r="AV449" s="3"/>
      <c r="AW449" s="3"/>
      <c r="AX449" s="3"/>
      <c r="AY449" s="3"/>
      <c r="AZ449" s="3">
        <v>213</v>
      </c>
      <c r="BA449" s="3">
        <v>217</v>
      </c>
      <c r="BB449" s="3"/>
      <c r="BC449" s="3" t="s">
        <v>1179</v>
      </c>
      <c r="BD449" s="15" t="str">
        <f>HYPERLINK("http://dx.doi.org/10.5304/jafscd.2013.034.026","http://dx.doi.org/10.5304/jafscd.2013.034.026")</f>
        <v>http://dx.doi.org/10.5304/jafscd.2013.034.026</v>
      </c>
      <c r="BE449" s="3"/>
      <c r="BF449" s="3"/>
      <c r="BG449" s="3"/>
      <c r="BH449" s="3"/>
      <c r="BI449" s="3"/>
      <c r="BJ449" s="3" t="s">
        <v>1180</v>
      </c>
      <c r="BK449" s="3"/>
      <c r="BL449" s="3"/>
      <c r="BM449" s="3"/>
      <c r="BN449" s="3"/>
      <c r="BO449" s="3"/>
      <c r="BP449" s="3"/>
      <c r="BQ449" s="3"/>
      <c r="BR449" s="3"/>
      <c r="BS449" s="3"/>
      <c r="BT449" s="3"/>
      <c r="BU449" s="2" t="s">
        <v>7209</v>
      </c>
      <c r="BV449" s="2" t="s">
        <v>7209</v>
      </c>
      <c r="BW449" s="2" t="s">
        <v>7209</v>
      </c>
    </row>
    <row r="450" spans="1:75" ht="12.75" customHeight="1">
      <c r="A450" s="3" t="s">
        <v>63</v>
      </c>
      <c r="B450" s="3" t="s">
        <v>4329</v>
      </c>
      <c r="C450" s="3"/>
      <c r="D450" s="3"/>
      <c r="E450" s="3"/>
      <c r="F450" s="3" t="s">
        <v>4330</v>
      </c>
      <c r="G450" s="3"/>
      <c r="H450" s="3"/>
      <c r="I450" s="3" t="s">
        <v>4982</v>
      </c>
      <c r="J450" s="3" t="s">
        <v>4332</v>
      </c>
      <c r="K450" s="3"/>
      <c r="L450" s="3"/>
      <c r="M450" s="3"/>
      <c r="N450" s="3"/>
      <c r="O450" s="3"/>
      <c r="P450" s="3"/>
      <c r="Q450" s="3"/>
      <c r="R450" s="3"/>
      <c r="S450" s="3"/>
      <c r="T450" s="3"/>
      <c r="U450" s="3"/>
      <c r="V450" s="3"/>
      <c r="W450" s="3"/>
      <c r="X450" s="3"/>
      <c r="Y450" s="3" t="s">
        <v>4983</v>
      </c>
      <c r="Z450" s="3" t="s">
        <v>4337</v>
      </c>
      <c r="AA450" s="3"/>
      <c r="AB450" s="3"/>
      <c r="AC450" s="3"/>
      <c r="AD450" s="3"/>
      <c r="AE450" s="3"/>
      <c r="AF450" s="3"/>
      <c r="AG450" s="3"/>
      <c r="AH450" s="3"/>
      <c r="AI450" s="3"/>
      <c r="AJ450" s="3"/>
      <c r="AK450" s="3"/>
      <c r="AL450" s="3"/>
      <c r="AM450" s="3" t="s">
        <v>4338</v>
      </c>
      <c r="AN450" s="3" t="s">
        <v>4339</v>
      </c>
      <c r="AO450" s="3"/>
      <c r="AP450" s="3"/>
      <c r="AQ450" s="3"/>
      <c r="AR450" s="3" t="s">
        <v>173</v>
      </c>
      <c r="AS450" s="3">
        <v>2021</v>
      </c>
      <c r="AT450" s="3">
        <v>28</v>
      </c>
      <c r="AU450" s="3" t="s">
        <v>4340</v>
      </c>
      <c r="AV450" s="3"/>
      <c r="AW450" s="3">
        <v>1</v>
      </c>
      <c r="AX450" s="3" t="s">
        <v>569</v>
      </c>
      <c r="AY450" s="3" t="s">
        <v>4984</v>
      </c>
      <c r="AZ450" s="3" t="s">
        <v>4985</v>
      </c>
      <c r="BA450" s="3" t="s">
        <v>4985</v>
      </c>
      <c r="BB450" s="3"/>
      <c r="BC450" s="3"/>
      <c r="BD450" s="3"/>
      <c r="BE450" s="3"/>
      <c r="BF450" s="3"/>
      <c r="BG450" s="3"/>
      <c r="BH450" s="3"/>
      <c r="BI450" s="3"/>
      <c r="BJ450" s="3" t="s">
        <v>4986</v>
      </c>
      <c r="BK450" s="3"/>
      <c r="BL450" s="3"/>
      <c r="BM450" s="3"/>
      <c r="BN450" s="3"/>
      <c r="BO450" s="3"/>
      <c r="BP450" s="3"/>
      <c r="BQ450" s="3"/>
      <c r="BR450" s="3"/>
      <c r="BS450" s="3"/>
      <c r="BT450" s="3"/>
      <c r="BU450" s="1" t="s">
        <v>7402</v>
      </c>
      <c r="BV450" s="10" t="s">
        <v>7188</v>
      </c>
      <c r="BW450" s="10" t="s">
        <v>7189</v>
      </c>
    </row>
    <row r="451" spans="1:75" ht="12.75" customHeight="1">
      <c r="A451" s="3" t="s">
        <v>63</v>
      </c>
      <c r="B451" s="3" t="s">
        <v>3436</v>
      </c>
      <c r="C451" s="3"/>
      <c r="D451" s="3"/>
      <c r="E451" s="3"/>
      <c r="F451" s="3" t="s">
        <v>3437</v>
      </c>
      <c r="G451" s="3"/>
      <c r="H451" s="3"/>
      <c r="I451" s="3" t="s">
        <v>3438</v>
      </c>
      <c r="J451" s="3" t="s">
        <v>3439</v>
      </c>
      <c r="K451" s="3"/>
      <c r="L451" s="3"/>
      <c r="M451" s="3"/>
      <c r="N451" s="3" t="s">
        <v>3440</v>
      </c>
      <c r="O451" s="3" t="s">
        <v>3049</v>
      </c>
      <c r="P451" s="3" t="s">
        <v>3441</v>
      </c>
      <c r="Q451" s="3"/>
      <c r="R451" s="3"/>
      <c r="S451" s="3"/>
      <c r="T451" s="3"/>
      <c r="U451" s="3"/>
      <c r="V451" s="3"/>
      <c r="W451" s="3"/>
      <c r="X451" s="3"/>
      <c r="Y451" s="3"/>
      <c r="Z451" s="3"/>
      <c r="AA451" s="3"/>
      <c r="AB451" s="3"/>
      <c r="AC451" s="3"/>
      <c r="AD451" s="3"/>
      <c r="AE451" s="3"/>
      <c r="AF451" s="3"/>
      <c r="AG451" s="3"/>
      <c r="AH451" s="3"/>
      <c r="AI451" s="3"/>
      <c r="AJ451" s="3"/>
      <c r="AK451" s="3"/>
      <c r="AL451" s="3"/>
      <c r="AM451" s="3" t="s">
        <v>3442</v>
      </c>
      <c r="AN451" s="3" t="s">
        <v>3443</v>
      </c>
      <c r="AO451" s="3"/>
      <c r="AP451" s="3"/>
      <c r="AQ451" s="3"/>
      <c r="AR451" s="3" t="s">
        <v>133</v>
      </c>
      <c r="AS451" s="3">
        <v>2018</v>
      </c>
      <c r="AT451" s="3">
        <v>218</v>
      </c>
      <c r="AU451" s="3">
        <v>1</v>
      </c>
      <c r="AV451" s="3"/>
      <c r="AW451" s="3" t="s">
        <v>151</v>
      </c>
      <c r="AX451" s="3"/>
      <c r="AY451" s="3">
        <v>941</v>
      </c>
      <c r="AZ451" s="3" t="s">
        <v>3444</v>
      </c>
      <c r="BA451" s="3" t="s">
        <v>3445</v>
      </c>
      <c r="BB451" s="3"/>
      <c r="BC451" s="3" t="s">
        <v>3446</v>
      </c>
      <c r="BD451" s="15" t="str">
        <f>HYPERLINK("http://dx.doi.org/10.1016/j.ajog.2017.11.428","http://dx.doi.org/10.1016/j.ajog.2017.11.428")</f>
        <v>http://dx.doi.org/10.1016/j.ajog.2017.11.428</v>
      </c>
      <c r="BE451" s="3"/>
      <c r="BF451" s="3"/>
      <c r="BG451" s="3"/>
      <c r="BH451" s="3"/>
      <c r="BI451" s="3"/>
      <c r="BJ451" s="3" t="s">
        <v>3447</v>
      </c>
      <c r="BK451" s="3"/>
      <c r="BL451" s="3"/>
      <c r="BM451" s="3"/>
      <c r="BN451" s="3"/>
      <c r="BO451" s="3"/>
      <c r="BP451" s="3"/>
      <c r="BQ451" s="3"/>
      <c r="BR451" s="3"/>
      <c r="BS451" s="3"/>
      <c r="BT451" s="3"/>
      <c r="BU451" s="1" t="s">
        <v>7236</v>
      </c>
      <c r="BV451" s="10" t="s">
        <v>7188</v>
      </c>
      <c r="BW451" s="10" t="s">
        <v>7189</v>
      </c>
    </row>
    <row r="452" spans="1:75" ht="12.75" customHeight="1">
      <c r="A452" s="3" t="s">
        <v>63</v>
      </c>
      <c r="B452" s="3" t="s">
        <v>6890</v>
      </c>
      <c r="C452" s="3"/>
      <c r="D452" s="3"/>
      <c r="E452" s="3"/>
      <c r="F452" s="3" t="s">
        <v>6891</v>
      </c>
      <c r="G452" s="3"/>
      <c r="H452" s="3"/>
      <c r="I452" s="3" t="s">
        <v>6892</v>
      </c>
      <c r="J452" s="3" t="s">
        <v>6893</v>
      </c>
      <c r="K452" s="3"/>
      <c r="L452" s="3"/>
      <c r="M452" s="3"/>
      <c r="N452" s="3"/>
      <c r="O452" s="3"/>
      <c r="P452" s="3"/>
      <c r="Q452" s="3"/>
      <c r="R452" s="3"/>
      <c r="S452" s="3"/>
      <c r="T452" s="3" t="s">
        <v>6894</v>
      </c>
      <c r="U452" s="3"/>
      <c r="V452" s="3"/>
      <c r="W452" s="3"/>
      <c r="X452" s="3"/>
      <c r="Y452" s="3" t="s">
        <v>6895</v>
      </c>
      <c r="Z452" s="3" t="s">
        <v>6896</v>
      </c>
      <c r="AA452" s="3"/>
      <c r="AB452" s="3"/>
      <c r="AC452" s="3"/>
      <c r="AD452" s="3"/>
      <c r="AE452" s="3"/>
      <c r="AF452" s="3"/>
      <c r="AG452" s="3"/>
      <c r="AH452" s="3"/>
      <c r="AI452" s="3"/>
      <c r="AJ452" s="3"/>
      <c r="AK452" s="3"/>
      <c r="AL452" s="3"/>
      <c r="AM452" s="3" t="s">
        <v>6897</v>
      </c>
      <c r="AN452" s="3" t="s">
        <v>6898</v>
      </c>
      <c r="AO452" s="3"/>
      <c r="AP452" s="3"/>
      <c r="AQ452" s="3"/>
      <c r="AR452" s="3" t="s">
        <v>6899</v>
      </c>
      <c r="AS452" s="3">
        <v>2024</v>
      </c>
      <c r="AT452" s="3"/>
      <c r="AU452" s="3"/>
      <c r="AV452" s="3"/>
      <c r="AW452" s="3"/>
      <c r="AX452" s="3"/>
      <c r="AY452" s="3"/>
      <c r="AZ452" s="3"/>
      <c r="BA452" s="3"/>
      <c r="BB452" s="3"/>
      <c r="BC452" s="3" t="s">
        <v>6900</v>
      </c>
      <c r="BD452" s="15" t="str">
        <f>HYPERLINK("http://dx.doi.org/10.1007/s00464-024-11175-1","http://dx.doi.org/10.1007/s00464-024-11175-1")</f>
        <v>http://dx.doi.org/10.1007/s00464-024-11175-1</v>
      </c>
      <c r="BE452" s="3"/>
      <c r="BF452" s="3" t="s">
        <v>6901</v>
      </c>
      <c r="BG452" s="3"/>
      <c r="BH452" s="3"/>
      <c r="BI452" s="3">
        <v>39168860</v>
      </c>
      <c r="BJ452" s="3" t="s">
        <v>6902</v>
      </c>
      <c r="BK452" s="3"/>
      <c r="BL452" s="3"/>
      <c r="BM452" s="3"/>
      <c r="BN452" s="3"/>
      <c r="BO452" s="3"/>
      <c r="BP452" s="3"/>
      <c r="BQ452" s="3"/>
      <c r="BR452" s="3"/>
      <c r="BS452" s="3"/>
      <c r="BT452" s="3"/>
      <c r="BU452" s="1" t="s">
        <v>7403</v>
      </c>
      <c r="BV452" s="10" t="s">
        <v>7188</v>
      </c>
      <c r="BW452" s="10" t="s">
        <v>7189</v>
      </c>
    </row>
    <row r="453" spans="1:75" ht="12.75" customHeight="1">
      <c r="A453" s="3" t="s">
        <v>63</v>
      </c>
      <c r="B453" s="3" t="s">
        <v>6903</v>
      </c>
      <c r="C453" s="3"/>
      <c r="D453" s="3"/>
      <c r="E453" s="3"/>
      <c r="F453" s="3" t="s">
        <v>6904</v>
      </c>
      <c r="G453" s="3"/>
      <c r="H453" s="3"/>
      <c r="I453" s="3" t="s">
        <v>6905</v>
      </c>
      <c r="J453" s="3" t="s">
        <v>5401</v>
      </c>
      <c r="K453" s="3"/>
      <c r="L453" s="3"/>
      <c r="M453" s="3"/>
      <c r="N453" s="3"/>
      <c r="O453" s="3"/>
      <c r="P453" s="3"/>
      <c r="Q453" s="3"/>
      <c r="R453" s="3"/>
      <c r="S453" s="3"/>
      <c r="T453" s="3" t="s">
        <v>6906</v>
      </c>
      <c r="U453" s="3"/>
      <c r="V453" s="3"/>
      <c r="W453" s="3"/>
      <c r="X453" s="3"/>
      <c r="Y453" s="3"/>
      <c r="Z453" s="3" t="s">
        <v>6907</v>
      </c>
      <c r="AA453" s="3"/>
      <c r="AB453" s="3"/>
      <c r="AC453" s="3"/>
      <c r="AD453" s="3"/>
      <c r="AE453" s="3"/>
      <c r="AF453" s="3"/>
      <c r="AG453" s="3"/>
      <c r="AH453" s="3"/>
      <c r="AI453" s="3"/>
      <c r="AJ453" s="3"/>
      <c r="AK453" s="3"/>
      <c r="AL453" s="3"/>
      <c r="AM453" s="3" t="s">
        <v>5405</v>
      </c>
      <c r="AN453" s="3" t="s">
        <v>5406</v>
      </c>
      <c r="AO453" s="3"/>
      <c r="AP453" s="3"/>
      <c r="AQ453" s="3"/>
      <c r="AR453" s="3" t="s">
        <v>6908</v>
      </c>
      <c r="AS453" s="3">
        <v>2024</v>
      </c>
      <c r="AT453" s="3"/>
      <c r="AU453" s="3"/>
      <c r="AV453" s="3"/>
      <c r="AW453" s="3"/>
      <c r="AX453" s="3"/>
      <c r="AY453" s="3"/>
      <c r="AZ453" s="3"/>
      <c r="BA453" s="3"/>
      <c r="BB453" s="3"/>
      <c r="BC453" s="3" t="s">
        <v>6909</v>
      </c>
      <c r="BD453" s="15" t="str">
        <f>HYPERLINK("http://dx.doi.org/10.1177/03611981241254382","http://dx.doi.org/10.1177/03611981241254382")</f>
        <v>http://dx.doi.org/10.1177/03611981241254382</v>
      </c>
      <c r="BE453" s="3"/>
      <c r="BF453" s="3" t="s">
        <v>6652</v>
      </c>
      <c r="BG453" s="3"/>
      <c r="BH453" s="3"/>
      <c r="BI453" s="3"/>
      <c r="BJ453" s="3" t="s">
        <v>6910</v>
      </c>
      <c r="BK453" s="3"/>
      <c r="BL453" s="3"/>
      <c r="BM453" s="3"/>
      <c r="BN453" s="3"/>
      <c r="BO453" s="3"/>
      <c r="BP453" s="3"/>
      <c r="BQ453" s="3"/>
      <c r="BR453" s="3"/>
      <c r="BS453" s="3"/>
      <c r="BT453" s="3"/>
      <c r="BU453" s="10" t="s">
        <v>7193</v>
      </c>
      <c r="BV453" s="10" t="s">
        <v>7188</v>
      </c>
      <c r="BW453" s="10" t="s">
        <v>7189</v>
      </c>
    </row>
    <row r="454" spans="1:75" ht="12.75" customHeight="1">
      <c r="A454" s="3" t="s">
        <v>63</v>
      </c>
      <c r="B454" s="3" t="s">
        <v>4329</v>
      </c>
      <c r="C454" s="3"/>
      <c r="D454" s="3"/>
      <c r="E454" s="3"/>
      <c r="F454" s="3" t="s">
        <v>4330</v>
      </c>
      <c r="G454" s="3"/>
      <c r="H454" s="3"/>
      <c r="I454" s="3" t="s">
        <v>4331</v>
      </c>
      <c r="J454" s="3" t="s">
        <v>4332</v>
      </c>
      <c r="K454" s="3"/>
      <c r="L454" s="3"/>
      <c r="M454" s="3"/>
      <c r="N454" s="3" t="s">
        <v>4333</v>
      </c>
      <c r="O454" s="3" t="s">
        <v>4334</v>
      </c>
      <c r="P454" s="3" t="s">
        <v>4335</v>
      </c>
      <c r="Q454" s="3"/>
      <c r="R454" s="3"/>
      <c r="S454" s="3"/>
      <c r="T454" s="3"/>
      <c r="U454" s="3"/>
      <c r="V454" s="3"/>
      <c r="W454" s="3"/>
      <c r="X454" s="3"/>
      <c r="Y454" s="3" t="s">
        <v>4336</v>
      </c>
      <c r="Z454" s="3" t="s">
        <v>4337</v>
      </c>
      <c r="AA454" s="3"/>
      <c r="AB454" s="3"/>
      <c r="AC454" s="3"/>
      <c r="AD454" s="3"/>
      <c r="AE454" s="3"/>
      <c r="AF454" s="3"/>
      <c r="AG454" s="3"/>
      <c r="AH454" s="3"/>
      <c r="AI454" s="3"/>
      <c r="AJ454" s="3"/>
      <c r="AK454" s="3"/>
      <c r="AL454" s="3"/>
      <c r="AM454" s="3" t="s">
        <v>4338</v>
      </c>
      <c r="AN454" s="3" t="s">
        <v>4339</v>
      </c>
      <c r="AO454" s="3"/>
      <c r="AP454" s="3"/>
      <c r="AQ454" s="3"/>
      <c r="AR454" s="3" t="s">
        <v>82</v>
      </c>
      <c r="AS454" s="3">
        <v>2020</v>
      </c>
      <c r="AT454" s="3">
        <v>27</v>
      </c>
      <c r="AU454" s="3" t="s">
        <v>4340</v>
      </c>
      <c r="AV454" s="3"/>
      <c r="AW454" s="3">
        <v>1</v>
      </c>
      <c r="AX454" s="3" t="s">
        <v>569</v>
      </c>
      <c r="AY454" s="3" t="s">
        <v>4341</v>
      </c>
      <c r="AZ454" s="3" t="s">
        <v>4342</v>
      </c>
      <c r="BA454" s="3" t="s">
        <v>4342</v>
      </c>
      <c r="BB454" s="3"/>
      <c r="BC454" s="3"/>
      <c r="BD454" s="3"/>
      <c r="BE454" s="3"/>
      <c r="BF454" s="3"/>
      <c r="BG454" s="3"/>
      <c r="BH454" s="3"/>
      <c r="BI454" s="3"/>
      <c r="BJ454" s="3" t="s">
        <v>4343</v>
      </c>
      <c r="BK454" s="3"/>
      <c r="BL454" s="3"/>
      <c r="BM454" s="3"/>
      <c r="BN454" s="3"/>
      <c r="BO454" s="3"/>
      <c r="BP454" s="3"/>
      <c r="BQ454" s="3"/>
      <c r="BR454" s="3"/>
      <c r="BS454" s="3"/>
      <c r="BT454" s="3"/>
      <c r="BU454" s="1" t="s">
        <v>7402</v>
      </c>
      <c r="BV454" s="10" t="s">
        <v>7188</v>
      </c>
      <c r="BW454" s="10" t="s">
        <v>7189</v>
      </c>
    </row>
    <row r="455" spans="1:75" ht="12.75" customHeight="1">
      <c r="A455" s="4" t="s">
        <v>63</v>
      </c>
      <c r="B455" s="4" t="s">
        <v>1519</v>
      </c>
      <c r="C455" s="4"/>
      <c r="D455" s="4"/>
      <c r="E455" s="4"/>
      <c r="F455" s="4" t="s">
        <v>1520</v>
      </c>
      <c r="G455" s="4"/>
      <c r="H455" s="4"/>
      <c r="I455" s="4" t="s">
        <v>1521</v>
      </c>
      <c r="J455" s="4" t="s">
        <v>1522</v>
      </c>
      <c r="K455" s="4"/>
      <c r="L455" s="4"/>
      <c r="M455" s="4"/>
      <c r="N455" s="4"/>
      <c r="O455" s="4"/>
      <c r="P455" s="4"/>
      <c r="Q455" s="4"/>
      <c r="R455" s="4"/>
      <c r="S455" s="4"/>
      <c r="T455" s="4" t="s">
        <v>1523</v>
      </c>
      <c r="U455" s="4"/>
      <c r="V455" s="4"/>
      <c r="W455" s="4"/>
      <c r="X455" s="4"/>
      <c r="Y455" s="4"/>
      <c r="Z455" s="4"/>
      <c r="AA455" s="4"/>
      <c r="AB455" s="4"/>
      <c r="AC455" s="4"/>
      <c r="AD455" s="4"/>
      <c r="AE455" s="4"/>
      <c r="AF455" s="4"/>
      <c r="AG455" s="4"/>
      <c r="AH455" s="4"/>
      <c r="AI455" s="4"/>
      <c r="AJ455" s="4"/>
      <c r="AK455" s="4"/>
      <c r="AL455" s="4"/>
      <c r="AM455" s="4" t="s">
        <v>1524</v>
      </c>
      <c r="AN455" s="4" t="s">
        <v>1525</v>
      </c>
      <c r="AO455" s="4"/>
      <c r="AP455" s="4"/>
      <c r="AQ455" s="4"/>
      <c r="AR455" s="4" t="s">
        <v>445</v>
      </c>
      <c r="AS455" s="4">
        <v>2014</v>
      </c>
      <c r="AT455" s="4">
        <v>29</v>
      </c>
      <c r="AU455" s="4">
        <v>5</v>
      </c>
      <c r="AV455" s="4"/>
      <c r="AW455" s="4"/>
      <c r="AX455" s="4"/>
      <c r="AY455" s="4"/>
      <c r="AZ455" s="4">
        <v>658</v>
      </c>
      <c r="BA455" s="4">
        <v>674</v>
      </c>
      <c r="BB455" s="4"/>
      <c r="BC455" s="4" t="s">
        <v>1526</v>
      </c>
      <c r="BD455" s="5" t="str">
        <f>HYPERLINK("http://dx.doi.org/10.1080/02680939.2013.869622","http://dx.doi.org/10.1080/02680939.2013.869622")</f>
        <v>http://dx.doi.org/10.1080/02680939.2013.869622</v>
      </c>
      <c r="BE455" s="4"/>
      <c r="BF455" s="4"/>
      <c r="BG455" s="4"/>
      <c r="BH455" s="4"/>
      <c r="BI455" s="4"/>
      <c r="BJ455" s="4" t="s">
        <v>1527</v>
      </c>
      <c r="BK455" s="4"/>
      <c r="BL455" s="4"/>
      <c r="BM455" s="4"/>
      <c r="BN455" s="4"/>
      <c r="BO455" s="4"/>
      <c r="BP455" s="4"/>
      <c r="BQ455" s="4"/>
      <c r="BR455" s="4"/>
      <c r="BS455" s="4"/>
      <c r="BT455" s="4"/>
      <c r="BU455" s="12" t="s">
        <v>7193</v>
      </c>
      <c r="BV455" s="12" t="s">
        <v>7188</v>
      </c>
      <c r="BW455" s="12" t="s">
        <v>7189</v>
      </c>
    </row>
    <row r="456" spans="1:75" ht="12.75" customHeight="1">
      <c r="A456" s="4" t="s">
        <v>63</v>
      </c>
      <c r="B456" s="4" t="s">
        <v>2463</v>
      </c>
      <c r="C456" s="4"/>
      <c r="D456" s="4"/>
      <c r="E456" s="4"/>
      <c r="F456" s="4" t="s">
        <v>2464</v>
      </c>
      <c r="G456" s="4"/>
      <c r="H456" s="4"/>
      <c r="I456" s="4" t="s">
        <v>2465</v>
      </c>
      <c r="J456" s="4" t="s">
        <v>373</v>
      </c>
      <c r="K456" s="4"/>
      <c r="L456" s="4"/>
      <c r="M456" s="4"/>
      <c r="N456" s="4"/>
      <c r="O456" s="4"/>
      <c r="P456" s="4"/>
      <c r="Q456" s="4"/>
      <c r="R456" s="4"/>
      <c r="S456" s="4"/>
      <c r="T456" s="4" t="s">
        <v>2466</v>
      </c>
      <c r="U456" s="4"/>
      <c r="V456" s="4"/>
      <c r="W456" s="4"/>
      <c r="X456" s="4"/>
      <c r="Y456" s="4" t="s">
        <v>2467</v>
      </c>
      <c r="Z456" s="4" t="s">
        <v>2468</v>
      </c>
      <c r="AA456" s="4"/>
      <c r="AB456" s="4"/>
      <c r="AC456" s="4"/>
      <c r="AD456" s="4"/>
      <c r="AE456" s="4"/>
      <c r="AF456" s="4"/>
      <c r="AG456" s="4"/>
      <c r="AH456" s="4"/>
      <c r="AI456" s="4"/>
      <c r="AJ456" s="4"/>
      <c r="AK456" s="4"/>
      <c r="AL456" s="4"/>
      <c r="AM456" s="4" t="s">
        <v>376</v>
      </c>
      <c r="AN456" s="4"/>
      <c r="AO456" s="4"/>
      <c r="AP456" s="4"/>
      <c r="AQ456" s="4"/>
      <c r="AR456" s="4" t="s">
        <v>65</v>
      </c>
      <c r="AS456" s="4">
        <v>2016</v>
      </c>
      <c r="AT456" s="4">
        <v>13</v>
      </c>
      <c r="AU456" s="4"/>
      <c r="AV456" s="4"/>
      <c r="AW456" s="4"/>
      <c r="AX456" s="4"/>
      <c r="AY456" s="4"/>
      <c r="AZ456" s="4"/>
      <c r="BA456" s="4"/>
      <c r="BB456" s="4" t="s">
        <v>2469</v>
      </c>
      <c r="BC456" s="4" t="s">
        <v>2470</v>
      </c>
      <c r="BD456" s="5" t="str">
        <f>HYPERLINK("http://dx.doi.org/10.5888/pcd13.160250","http://dx.doi.org/10.5888/pcd13.160250")</f>
        <v>http://dx.doi.org/10.5888/pcd13.160250</v>
      </c>
      <c r="BE456" s="4"/>
      <c r="BF456" s="4"/>
      <c r="BG456" s="4"/>
      <c r="BH456" s="4"/>
      <c r="BI456" s="4">
        <v>27978407</v>
      </c>
      <c r="BJ456" s="4" t="s">
        <v>2471</v>
      </c>
      <c r="BK456" s="4"/>
      <c r="BL456" s="4"/>
      <c r="BM456" s="4"/>
      <c r="BN456" s="4"/>
      <c r="BO456" s="4"/>
      <c r="BP456" s="4"/>
      <c r="BQ456" s="4"/>
      <c r="BR456" s="4"/>
      <c r="BS456" s="4"/>
      <c r="BT456" s="4"/>
      <c r="BU456" s="12" t="s">
        <v>7404</v>
      </c>
      <c r="BV456" s="12" t="s">
        <v>7188</v>
      </c>
      <c r="BW456" s="12" t="s">
        <v>7189</v>
      </c>
    </row>
    <row r="457" spans="1:75" ht="12.75" customHeight="1">
      <c r="A457" s="4" t="s">
        <v>63</v>
      </c>
      <c r="B457" s="4" t="s">
        <v>5715</v>
      </c>
      <c r="C457" s="4"/>
      <c r="D457" s="4"/>
      <c r="E457" s="4"/>
      <c r="F457" s="4" t="s">
        <v>5716</v>
      </c>
      <c r="G457" s="4"/>
      <c r="H457" s="4"/>
      <c r="I457" s="4" t="s">
        <v>5717</v>
      </c>
      <c r="J457" s="4" t="s">
        <v>3459</v>
      </c>
      <c r="K457" s="4"/>
      <c r="L457" s="4"/>
      <c r="M457" s="4"/>
      <c r="N457" s="4"/>
      <c r="O457" s="4"/>
      <c r="P457" s="4"/>
      <c r="Q457" s="4"/>
      <c r="R457" s="4"/>
      <c r="S457" s="4"/>
      <c r="T457" s="4"/>
      <c r="U457" s="4"/>
      <c r="V457" s="4"/>
      <c r="W457" s="4"/>
      <c r="X457" s="4"/>
      <c r="Y457" s="4" t="s">
        <v>5718</v>
      </c>
      <c r="Z457" s="4"/>
      <c r="AA457" s="4"/>
      <c r="AB457" s="4"/>
      <c r="AC457" s="4"/>
      <c r="AD457" s="4"/>
      <c r="AE457" s="4"/>
      <c r="AF457" s="4"/>
      <c r="AG457" s="4"/>
      <c r="AH457" s="4"/>
      <c r="AI457" s="4"/>
      <c r="AJ457" s="4"/>
      <c r="AK457" s="4"/>
      <c r="AL457" s="4"/>
      <c r="AM457" s="4" t="s">
        <v>3463</v>
      </c>
      <c r="AN457" s="4"/>
      <c r="AO457" s="4"/>
      <c r="AP457" s="4"/>
      <c r="AQ457" s="4"/>
      <c r="AR457" s="4" t="s">
        <v>78</v>
      </c>
      <c r="AS457" s="4">
        <v>2022</v>
      </c>
      <c r="AT457" s="4">
        <v>139</v>
      </c>
      <c r="AU457" s="4"/>
      <c r="AV457" s="4"/>
      <c r="AW457" s="4">
        <v>1</v>
      </c>
      <c r="AX457" s="4"/>
      <c r="AY457" s="4" t="s">
        <v>5719</v>
      </c>
      <c r="AZ457" s="4" t="s">
        <v>5720</v>
      </c>
      <c r="BA457" s="4" t="s">
        <v>5720</v>
      </c>
      <c r="BB457" s="4"/>
      <c r="BC457" s="4"/>
      <c r="BD457" s="4"/>
      <c r="BE457" s="4"/>
      <c r="BF457" s="4"/>
      <c r="BG457" s="4"/>
      <c r="BH457" s="4"/>
      <c r="BI457" s="4"/>
      <c r="BJ457" s="4" t="s">
        <v>5721</v>
      </c>
      <c r="BK457" s="4"/>
      <c r="BL457" s="4"/>
      <c r="BM457" s="4"/>
      <c r="BN457" s="4"/>
      <c r="BO457" s="4"/>
      <c r="BP457" s="4"/>
      <c r="BQ457" s="4"/>
      <c r="BR457" s="4"/>
      <c r="BS457" s="4"/>
      <c r="BT457" s="4"/>
      <c r="BU457" s="12" t="s">
        <v>7405</v>
      </c>
      <c r="BV457" s="12" t="s">
        <v>7188</v>
      </c>
      <c r="BW457" s="12" t="s">
        <v>7189</v>
      </c>
    </row>
    <row r="458" spans="1:75" ht="12.75" customHeight="1">
      <c r="A458" s="3" t="s">
        <v>63</v>
      </c>
      <c r="B458" s="3" t="s">
        <v>1528</v>
      </c>
      <c r="C458" s="3"/>
      <c r="D458" s="3"/>
      <c r="E458" s="3"/>
      <c r="F458" s="3" t="s">
        <v>1529</v>
      </c>
      <c r="G458" s="3"/>
      <c r="H458" s="3"/>
      <c r="I458" s="3" t="s">
        <v>1530</v>
      </c>
      <c r="J458" s="3" t="s">
        <v>1531</v>
      </c>
      <c r="K458" s="3"/>
      <c r="L458" s="3"/>
      <c r="M458" s="3"/>
      <c r="N458" s="3"/>
      <c r="O458" s="3"/>
      <c r="P458" s="3"/>
      <c r="Q458" s="3"/>
      <c r="R458" s="3"/>
      <c r="S458" s="3"/>
      <c r="T458" s="3" t="s">
        <v>1532</v>
      </c>
      <c r="U458" s="3"/>
      <c r="V458" s="3"/>
      <c r="W458" s="3"/>
      <c r="X458" s="3"/>
      <c r="Y458" s="3"/>
      <c r="Z458" s="3"/>
      <c r="AA458" s="3"/>
      <c r="AB458" s="3"/>
      <c r="AC458" s="3"/>
      <c r="AD458" s="3"/>
      <c r="AE458" s="3"/>
      <c r="AF458" s="3"/>
      <c r="AG458" s="3"/>
      <c r="AH458" s="3"/>
      <c r="AI458" s="3"/>
      <c r="AJ458" s="3"/>
      <c r="AK458" s="3"/>
      <c r="AL458" s="3"/>
      <c r="AM458" s="3" t="s">
        <v>1533</v>
      </c>
      <c r="AN458" s="3"/>
      <c r="AO458" s="3"/>
      <c r="AP458" s="3"/>
      <c r="AQ458" s="3"/>
      <c r="AR458" s="3" t="s">
        <v>1534</v>
      </c>
      <c r="AS458" s="3">
        <v>2014</v>
      </c>
      <c r="AT458" s="3">
        <v>9</v>
      </c>
      <c r="AU458" s="3">
        <v>4</v>
      </c>
      <c r="AV458" s="3"/>
      <c r="AW458" s="3"/>
      <c r="AX458" s="3"/>
      <c r="AY458" s="3"/>
      <c r="AZ458" s="3"/>
      <c r="BA458" s="3"/>
      <c r="BB458" s="3" t="s">
        <v>1535</v>
      </c>
      <c r="BC458" s="3" t="s">
        <v>1536</v>
      </c>
      <c r="BD458" s="15" t="str">
        <f>HYPERLINK("http://dx.doi.org/10.1371/journal.pone.0094033","http://dx.doi.org/10.1371/journal.pone.0094033")</f>
        <v>http://dx.doi.org/10.1371/journal.pone.0094033</v>
      </c>
      <c r="BE458" s="3"/>
      <c r="BF458" s="3"/>
      <c r="BG458" s="3"/>
      <c r="BH458" s="3"/>
      <c r="BI458" s="3"/>
      <c r="BJ458" s="3" t="s">
        <v>1537</v>
      </c>
      <c r="BK458" s="3"/>
      <c r="BL458" s="3"/>
      <c r="BM458" s="3"/>
      <c r="BN458" s="3"/>
      <c r="BO458" s="3"/>
      <c r="BP458" s="3"/>
      <c r="BQ458" s="3"/>
      <c r="BR458" s="3"/>
      <c r="BS458" s="3"/>
      <c r="BT458" s="3"/>
      <c r="BU458" s="13" t="s">
        <v>7292</v>
      </c>
      <c r="BV458" s="10" t="s">
        <v>7188</v>
      </c>
      <c r="BW458" s="10" t="s">
        <v>7189</v>
      </c>
    </row>
    <row r="459" spans="1:75" ht="12.75" customHeight="1">
      <c r="A459" s="3" t="s">
        <v>63</v>
      </c>
      <c r="B459" s="3" t="s">
        <v>2472</v>
      </c>
      <c r="C459" s="3"/>
      <c r="D459" s="3"/>
      <c r="E459" s="3"/>
      <c r="F459" s="3" t="s">
        <v>2473</v>
      </c>
      <c r="G459" s="3"/>
      <c r="H459" s="3"/>
      <c r="I459" s="3" t="s">
        <v>2474</v>
      </c>
      <c r="J459" s="3" t="s">
        <v>581</v>
      </c>
      <c r="K459" s="3"/>
      <c r="L459" s="3"/>
      <c r="M459" s="3"/>
      <c r="N459" s="3"/>
      <c r="O459" s="3"/>
      <c r="P459" s="3"/>
      <c r="Q459" s="3"/>
      <c r="R459" s="3"/>
      <c r="S459" s="3"/>
      <c r="T459" s="3" t="s">
        <v>2475</v>
      </c>
      <c r="U459" s="3"/>
      <c r="V459" s="3"/>
      <c r="W459" s="3"/>
      <c r="X459" s="3"/>
      <c r="Y459" s="3" t="s">
        <v>2476</v>
      </c>
      <c r="Z459" s="3" t="s">
        <v>2477</v>
      </c>
      <c r="AA459" s="3"/>
      <c r="AB459" s="3"/>
      <c r="AC459" s="3"/>
      <c r="AD459" s="3"/>
      <c r="AE459" s="3"/>
      <c r="AF459" s="3"/>
      <c r="AG459" s="3"/>
      <c r="AH459" s="3"/>
      <c r="AI459" s="3"/>
      <c r="AJ459" s="3"/>
      <c r="AK459" s="3"/>
      <c r="AL459" s="3"/>
      <c r="AM459" s="3" t="s">
        <v>583</v>
      </c>
      <c r="AN459" s="3" t="s">
        <v>584</v>
      </c>
      <c r="AO459" s="3"/>
      <c r="AP459" s="3"/>
      <c r="AQ459" s="3"/>
      <c r="AR459" s="3" t="s">
        <v>2172</v>
      </c>
      <c r="AS459" s="3">
        <v>2016</v>
      </c>
      <c r="AT459" s="3">
        <v>39</v>
      </c>
      <c r="AU459" s="3">
        <v>4</v>
      </c>
      <c r="AV459" s="3"/>
      <c r="AW459" s="3"/>
      <c r="AX459" s="3"/>
      <c r="AY459" s="3"/>
      <c r="AZ459" s="3">
        <v>242</v>
      </c>
      <c r="BA459" s="3">
        <v>250</v>
      </c>
      <c r="BB459" s="3"/>
      <c r="BC459" s="3" t="s">
        <v>2478</v>
      </c>
      <c r="BD459" s="15" t="str">
        <f>HYPERLINK("http://dx.doi.org/10.1097/FCH.0000000000000120","http://dx.doi.org/10.1097/FCH.0000000000000120")</f>
        <v>http://dx.doi.org/10.1097/FCH.0000000000000120</v>
      </c>
      <c r="BE459" s="3"/>
      <c r="BF459" s="3"/>
      <c r="BG459" s="3"/>
      <c r="BH459" s="3"/>
      <c r="BI459" s="3">
        <v>27536929</v>
      </c>
      <c r="BJ459" s="3" t="s">
        <v>2479</v>
      </c>
      <c r="BK459" s="3"/>
      <c r="BL459" s="3"/>
      <c r="BM459" s="3"/>
      <c r="BN459" s="3"/>
      <c r="BO459" s="3"/>
      <c r="BP459" s="3"/>
      <c r="BQ459" s="3"/>
      <c r="BR459" s="3"/>
      <c r="BS459" s="3"/>
      <c r="BT459" s="3"/>
      <c r="BU459" s="1" t="s">
        <v>7247</v>
      </c>
      <c r="BV459" s="10" t="s">
        <v>7188</v>
      </c>
      <c r="BW459" s="10" t="s">
        <v>7189</v>
      </c>
    </row>
    <row r="460" spans="1:75" ht="12.75" customHeight="1">
      <c r="A460" s="4" t="s">
        <v>63</v>
      </c>
      <c r="B460" s="4" t="s">
        <v>482</v>
      </c>
      <c r="C460" s="4"/>
      <c r="D460" s="4"/>
      <c r="E460" s="4"/>
      <c r="F460" s="4" t="s">
        <v>483</v>
      </c>
      <c r="G460" s="4"/>
      <c r="H460" s="4"/>
      <c r="I460" s="4" t="s">
        <v>484</v>
      </c>
      <c r="J460" s="4" t="s">
        <v>423</v>
      </c>
      <c r="K460" s="4"/>
      <c r="L460" s="4"/>
      <c r="M460" s="4"/>
      <c r="N460" s="4"/>
      <c r="O460" s="4"/>
      <c r="P460" s="4"/>
      <c r="Q460" s="4"/>
      <c r="R460" s="4"/>
      <c r="S460" s="4"/>
      <c r="T460" s="4" t="s">
        <v>485</v>
      </c>
      <c r="U460" s="4"/>
      <c r="V460" s="4"/>
      <c r="W460" s="4"/>
      <c r="X460" s="4"/>
      <c r="Y460" s="4" t="s">
        <v>486</v>
      </c>
      <c r="Z460" s="4" t="s">
        <v>487</v>
      </c>
      <c r="AA460" s="4"/>
      <c r="AB460" s="4"/>
      <c r="AC460" s="4"/>
      <c r="AD460" s="4"/>
      <c r="AE460" s="4"/>
      <c r="AF460" s="4"/>
      <c r="AG460" s="4"/>
      <c r="AH460" s="4"/>
      <c r="AI460" s="4"/>
      <c r="AJ460" s="4"/>
      <c r="AK460" s="4"/>
      <c r="AL460" s="4"/>
      <c r="AM460" s="4" t="s">
        <v>427</v>
      </c>
      <c r="AN460" s="4" t="s">
        <v>428</v>
      </c>
      <c r="AO460" s="4"/>
      <c r="AP460" s="4"/>
      <c r="AQ460" s="4"/>
      <c r="AR460" s="4"/>
      <c r="AS460" s="4">
        <v>2010</v>
      </c>
      <c r="AT460" s="4">
        <v>5</v>
      </c>
      <c r="AU460" s="4">
        <v>2</v>
      </c>
      <c r="AV460" s="4"/>
      <c r="AW460" s="4"/>
      <c r="AX460" s="4"/>
      <c r="AY460" s="4"/>
      <c r="AZ460" s="4">
        <v>216</v>
      </c>
      <c r="BA460" s="4">
        <v>233</v>
      </c>
      <c r="BB460" s="4"/>
      <c r="BC460" s="4" t="s">
        <v>488</v>
      </c>
      <c r="BD460" s="5" t="str">
        <f>HYPERLINK("http://dx.doi.org/10.1080/19320241003800276","http://dx.doi.org/10.1080/19320241003800276")</f>
        <v>http://dx.doi.org/10.1080/19320241003800276</v>
      </c>
      <c r="BE460" s="4"/>
      <c r="BF460" s="4"/>
      <c r="BG460" s="4"/>
      <c r="BH460" s="4"/>
      <c r="BI460" s="4"/>
      <c r="BJ460" s="4" t="s">
        <v>489</v>
      </c>
      <c r="BK460" s="4"/>
      <c r="BL460" s="4"/>
      <c r="BM460" s="4"/>
      <c r="BN460" s="4"/>
      <c r="BO460" s="4"/>
      <c r="BP460" s="4"/>
      <c r="BQ460" s="4"/>
      <c r="BR460" s="4"/>
      <c r="BS460" s="4"/>
      <c r="BT460" s="4"/>
      <c r="BU460" s="12" t="s">
        <v>7406</v>
      </c>
      <c r="BV460" s="12" t="s">
        <v>7188</v>
      </c>
      <c r="BW460" s="12" t="s">
        <v>7189</v>
      </c>
    </row>
    <row r="461" spans="1:75" ht="12.75" customHeight="1">
      <c r="A461" s="4" t="s">
        <v>63</v>
      </c>
      <c r="B461" s="4" t="s">
        <v>3448</v>
      </c>
      <c r="C461" s="4"/>
      <c r="D461" s="4"/>
      <c r="E461" s="4"/>
      <c r="F461" s="4" t="s">
        <v>3449</v>
      </c>
      <c r="G461" s="4"/>
      <c r="H461" s="4"/>
      <c r="I461" s="4" t="s">
        <v>3450</v>
      </c>
      <c r="J461" s="4" t="s">
        <v>1004</v>
      </c>
      <c r="K461" s="4"/>
      <c r="L461" s="4"/>
      <c r="M461" s="4"/>
      <c r="N461" s="4"/>
      <c r="O461" s="4"/>
      <c r="P461" s="4"/>
      <c r="Q461" s="4"/>
      <c r="R461" s="4"/>
      <c r="S461" s="4"/>
      <c r="T461" s="4" t="s">
        <v>3451</v>
      </c>
      <c r="U461" s="4"/>
      <c r="V461" s="4"/>
      <c r="W461" s="4"/>
      <c r="X461" s="4"/>
      <c r="Y461" s="4" t="s">
        <v>3452</v>
      </c>
      <c r="Z461" s="4" t="s">
        <v>3453</v>
      </c>
      <c r="AA461" s="4"/>
      <c r="AB461" s="4"/>
      <c r="AC461" s="4"/>
      <c r="AD461" s="4"/>
      <c r="AE461" s="4"/>
      <c r="AF461" s="4"/>
      <c r="AG461" s="4"/>
      <c r="AH461" s="4"/>
      <c r="AI461" s="4"/>
      <c r="AJ461" s="4"/>
      <c r="AK461" s="4"/>
      <c r="AL461" s="4"/>
      <c r="AM461" s="4" t="s">
        <v>1006</v>
      </c>
      <c r="AN461" s="4" t="s">
        <v>1007</v>
      </c>
      <c r="AO461" s="4"/>
      <c r="AP461" s="4"/>
      <c r="AQ461" s="4"/>
      <c r="AR461" s="4" t="s">
        <v>67</v>
      </c>
      <c r="AS461" s="4">
        <v>2018</v>
      </c>
      <c r="AT461" s="4">
        <v>21</v>
      </c>
      <c r="AU461" s="4">
        <v>2</v>
      </c>
      <c r="AV461" s="4"/>
      <c r="AW461" s="4"/>
      <c r="AX461" s="4"/>
      <c r="AY461" s="4"/>
      <c r="AZ461" s="4">
        <v>391</v>
      </c>
      <c r="BA461" s="4">
        <v>402</v>
      </c>
      <c r="BB461" s="4"/>
      <c r="BC461" s="4" t="s">
        <v>3454</v>
      </c>
      <c r="BD461" s="5" t="str">
        <f>HYPERLINK("http://dx.doi.org/10.1017/S1368980017002488","http://dx.doi.org/10.1017/S1368980017002488")</f>
        <v>http://dx.doi.org/10.1017/S1368980017002488</v>
      </c>
      <c r="BE461" s="4"/>
      <c r="BF461" s="4"/>
      <c r="BG461" s="4"/>
      <c r="BH461" s="4"/>
      <c r="BI461" s="4">
        <v>28994359</v>
      </c>
      <c r="BJ461" s="4" t="s">
        <v>3455</v>
      </c>
      <c r="BK461" s="4"/>
      <c r="BL461" s="4"/>
      <c r="BM461" s="4"/>
      <c r="BN461" s="4"/>
      <c r="BO461" s="4"/>
      <c r="BP461" s="4"/>
      <c r="BQ461" s="4"/>
      <c r="BR461" s="4"/>
      <c r="BS461" s="4"/>
      <c r="BT461" s="4"/>
      <c r="BU461" s="12" t="s">
        <v>7222</v>
      </c>
      <c r="BV461" s="12" t="s">
        <v>7188</v>
      </c>
      <c r="BW461" s="12" t="s">
        <v>7189</v>
      </c>
    </row>
    <row r="462" spans="1:75" ht="12.75" customHeight="1">
      <c r="A462" s="3" t="s">
        <v>63</v>
      </c>
      <c r="B462" s="3" t="s">
        <v>4987</v>
      </c>
      <c r="C462" s="3"/>
      <c r="D462" s="3"/>
      <c r="E462" s="3"/>
      <c r="F462" s="3" t="s">
        <v>4988</v>
      </c>
      <c r="G462" s="3"/>
      <c r="H462" s="3"/>
      <c r="I462" s="3" t="s">
        <v>4989</v>
      </c>
      <c r="J462" s="3" t="s">
        <v>4990</v>
      </c>
      <c r="K462" s="3"/>
      <c r="L462" s="3"/>
      <c r="M462" s="3"/>
      <c r="N462" s="3"/>
      <c r="O462" s="3"/>
      <c r="P462" s="3"/>
      <c r="Q462" s="3"/>
      <c r="R462" s="3"/>
      <c r="S462" s="3"/>
      <c r="T462" s="3"/>
      <c r="U462" s="3"/>
      <c r="V462" s="3"/>
      <c r="W462" s="3"/>
      <c r="X462" s="3"/>
      <c r="Y462" s="3" t="s">
        <v>4835</v>
      </c>
      <c r="Z462" s="3"/>
      <c r="AA462" s="3"/>
      <c r="AB462" s="3"/>
      <c r="AC462" s="3"/>
      <c r="AD462" s="3"/>
      <c r="AE462" s="3"/>
      <c r="AF462" s="3"/>
      <c r="AG462" s="3"/>
      <c r="AH462" s="3"/>
      <c r="AI462" s="3"/>
      <c r="AJ462" s="3"/>
      <c r="AK462" s="3"/>
      <c r="AL462" s="3"/>
      <c r="AM462" s="3" t="s">
        <v>4991</v>
      </c>
      <c r="AN462" s="3"/>
      <c r="AO462" s="3"/>
      <c r="AP462" s="3"/>
      <c r="AQ462" s="3"/>
      <c r="AR462" s="3" t="s">
        <v>92</v>
      </c>
      <c r="AS462" s="3">
        <v>2021</v>
      </c>
      <c r="AT462" s="3">
        <v>74</v>
      </c>
      <c r="AU462" s="3">
        <v>4</v>
      </c>
      <c r="AV462" s="3"/>
      <c r="AW462" s="3"/>
      <c r="AX462" s="3"/>
      <c r="AY462" s="3"/>
      <c r="AZ462" s="3" t="s">
        <v>4992</v>
      </c>
      <c r="BA462" s="3" t="s">
        <v>4992</v>
      </c>
      <c r="BB462" s="3"/>
      <c r="BC462" s="3"/>
      <c r="BD462" s="3"/>
      <c r="BE462" s="3"/>
      <c r="BF462" s="3"/>
      <c r="BG462" s="3"/>
      <c r="BH462" s="3"/>
      <c r="BI462" s="3"/>
      <c r="BJ462" s="3" t="s">
        <v>4993</v>
      </c>
      <c r="BK462" s="3"/>
      <c r="BL462" s="3"/>
      <c r="BM462" s="3"/>
      <c r="BN462" s="3"/>
      <c r="BO462" s="3"/>
      <c r="BP462" s="3"/>
      <c r="BQ462" s="3"/>
      <c r="BR462" s="3"/>
      <c r="BS462" s="3"/>
      <c r="BT462" s="3"/>
      <c r="BU462" s="1" t="s">
        <v>7263</v>
      </c>
      <c r="BV462" s="10" t="s">
        <v>7188</v>
      </c>
      <c r="BW462" s="10" t="s">
        <v>7189</v>
      </c>
    </row>
    <row r="463" spans="1:75" ht="12.75" customHeight="1">
      <c r="A463" s="3" t="s">
        <v>63</v>
      </c>
      <c r="B463" s="3" t="s">
        <v>6911</v>
      </c>
      <c r="C463" s="3"/>
      <c r="D463" s="3"/>
      <c r="E463" s="3"/>
      <c r="F463" s="3" t="s">
        <v>6912</v>
      </c>
      <c r="G463" s="3"/>
      <c r="H463" s="3"/>
      <c r="I463" s="3" t="s">
        <v>6913</v>
      </c>
      <c r="J463" s="3" t="s">
        <v>2442</v>
      </c>
      <c r="K463" s="3"/>
      <c r="L463" s="3"/>
      <c r="M463" s="3"/>
      <c r="N463" s="3" t="s">
        <v>6914</v>
      </c>
      <c r="O463" s="3" t="s">
        <v>2542</v>
      </c>
      <c r="P463" s="3"/>
      <c r="Q463" s="3"/>
      <c r="R463" s="3"/>
      <c r="S463" s="3"/>
      <c r="T463" s="3"/>
      <c r="U463" s="3"/>
      <c r="V463" s="3"/>
      <c r="W463" s="3"/>
      <c r="X463" s="3"/>
      <c r="Y463" s="3"/>
      <c r="Z463" s="3"/>
      <c r="AA463" s="3"/>
      <c r="AB463" s="3"/>
      <c r="AC463" s="3"/>
      <c r="AD463" s="3"/>
      <c r="AE463" s="3"/>
      <c r="AF463" s="3"/>
      <c r="AG463" s="3"/>
      <c r="AH463" s="3"/>
      <c r="AI463" s="3"/>
      <c r="AJ463" s="3"/>
      <c r="AK463" s="3"/>
      <c r="AL463" s="3"/>
      <c r="AM463" s="3" t="s">
        <v>2445</v>
      </c>
      <c r="AN463" s="3" t="s">
        <v>2446</v>
      </c>
      <c r="AO463" s="3"/>
      <c r="AP463" s="3"/>
      <c r="AQ463" s="3"/>
      <c r="AR463" s="3" t="s">
        <v>6915</v>
      </c>
      <c r="AS463" s="3">
        <v>2024</v>
      </c>
      <c r="AT463" s="3">
        <v>149</v>
      </c>
      <c r="AU463" s="3"/>
      <c r="AV463" s="3"/>
      <c r="AW463" s="3">
        <v>1</v>
      </c>
      <c r="AX463" s="3"/>
      <c r="AY463" s="3" t="s">
        <v>6916</v>
      </c>
      <c r="AZ463" s="3"/>
      <c r="BA463" s="3"/>
      <c r="BB463" s="3"/>
      <c r="BC463" s="3" t="s">
        <v>6917</v>
      </c>
      <c r="BD463" s="15" t="str">
        <f>HYPERLINK("http://dx.doi.org/10.1161/circ.149.suppl_1.P101","http://dx.doi.org/10.1161/circ.149.suppl_1.P101")</f>
        <v>http://dx.doi.org/10.1161/circ.149.suppl_1.P101</v>
      </c>
      <c r="BE463" s="3"/>
      <c r="BF463" s="3"/>
      <c r="BG463" s="3"/>
      <c r="BH463" s="3"/>
      <c r="BI463" s="3"/>
      <c r="BJ463" s="3" t="s">
        <v>6918</v>
      </c>
      <c r="BK463" s="3"/>
      <c r="BL463" s="3"/>
      <c r="BM463" s="3"/>
      <c r="BN463" s="3"/>
      <c r="BO463" s="3"/>
      <c r="BP463" s="3"/>
      <c r="BQ463" s="3"/>
      <c r="BR463" s="3"/>
      <c r="BS463" s="3"/>
      <c r="BT463" s="3"/>
      <c r="BU463" s="1" t="s">
        <v>7236</v>
      </c>
      <c r="BV463" s="10" t="s">
        <v>7188</v>
      </c>
      <c r="BW463" s="10" t="s">
        <v>7189</v>
      </c>
    </row>
    <row r="464" spans="1:75" ht="12.75" customHeight="1">
      <c r="A464" s="3" t="s">
        <v>63</v>
      </c>
      <c r="B464" s="3" t="s">
        <v>1921</v>
      </c>
      <c r="C464" s="3"/>
      <c r="D464" s="3"/>
      <c r="E464" s="3"/>
      <c r="F464" s="3" t="s">
        <v>1922</v>
      </c>
      <c r="G464" s="3"/>
      <c r="H464" s="3"/>
      <c r="I464" s="3" t="s">
        <v>1923</v>
      </c>
      <c r="J464" s="3" t="s">
        <v>1924</v>
      </c>
      <c r="K464" s="3"/>
      <c r="L464" s="3"/>
      <c r="M464" s="3"/>
      <c r="N464" s="3" t="s">
        <v>1925</v>
      </c>
      <c r="O464" s="3" t="s">
        <v>1926</v>
      </c>
      <c r="P464" s="3" t="s">
        <v>1927</v>
      </c>
      <c r="Q464" s="3"/>
      <c r="R464" s="3"/>
      <c r="S464" s="3"/>
      <c r="T464" s="3"/>
      <c r="U464" s="3"/>
      <c r="V464" s="3"/>
      <c r="W464" s="3"/>
      <c r="X464" s="3"/>
      <c r="Y464" s="3"/>
      <c r="Z464" s="3"/>
      <c r="AA464" s="3"/>
      <c r="AB464" s="3"/>
      <c r="AC464" s="3"/>
      <c r="AD464" s="3"/>
      <c r="AE464" s="3"/>
      <c r="AF464" s="3"/>
      <c r="AG464" s="3"/>
      <c r="AH464" s="3"/>
      <c r="AI464" s="3"/>
      <c r="AJ464" s="3"/>
      <c r="AK464" s="3"/>
      <c r="AL464" s="3"/>
      <c r="AM464" s="3" t="s">
        <v>1928</v>
      </c>
      <c r="AN464" s="3" t="s">
        <v>1929</v>
      </c>
      <c r="AO464" s="3"/>
      <c r="AP464" s="3"/>
      <c r="AQ464" s="3"/>
      <c r="AR464" s="3" t="s">
        <v>67</v>
      </c>
      <c r="AS464" s="3">
        <v>2015</v>
      </c>
      <c r="AT464" s="3">
        <v>135</v>
      </c>
      <c r="AU464" s="3">
        <v>2</v>
      </c>
      <c r="AV464" s="3"/>
      <c r="AW464" s="3" t="s">
        <v>151</v>
      </c>
      <c r="AX464" s="3"/>
      <c r="AY464" s="3">
        <v>830</v>
      </c>
      <c r="AZ464" s="3" t="s">
        <v>1930</v>
      </c>
      <c r="BA464" s="3" t="s">
        <v>1930</v>
      </c>
      <c r="BB464" s="3"/>
      <c r="BC464" s="3" t="s">
        <v>1931</v>
      </c>
      <c r="BD464" s="15" t="str">
        <f>HYPERLINK("http://dx.doi.org/10.1016/j.jaci.2014.12.1774","http://dx.doi.org/10.1016/j.jaci.2014.12.1774")</f>
        <v>http://dx.doi.org/10.1016/j.jaci.2014.12.1774</v>
      </c>
      <c r="BE464" s="3"/>
      <c r="BF464" s="3"/>
      <c r="BG464" s="3"/>
      <c r="BH464" s="3"/>
      <c r="BI464" s="3"/>
      <c r="BJ464" s="3" t="s">
        <v>1932</v>
      </c>
      <c r="BK464" s="3"/>
      <c r="BL464" s="3"/>
      <c r="BM464" s="3"/>
      <c r="BN464" s="3"/>
      <c r="BO464" s="3"/>
      <c r="BP464" s="3"/>
      <c r="BQ464" s="3"/>
      <c r="BR464" s="3"/>
      <c r="BS464" s="3"/>
      <c r="BT464" s="3"/>
      <c r="BU464" s="1" t="s">
        <v>7407</v>
      </c>
      <c r="BV464" s="10" t="s">
        <v>7188</v>
      </c>
      <c r="BW464" s="10" t="s">
        <v>7189</v>
      </c>
    </row>
    <row r="465" spans="1:75" ht="12.75" customHeight="1">
      <c r="A465" s="7" t="s">
        <v>63</v>
      </c>
      <c r="B465" s="7" t="s">
        <v>857</v>
      </c>
      <c r="C465" s="7"/>
      <c r="D465" s="7"/>
      <c r="E465" s="7"/>
      <c r="F465" s="7" t="s">
        <v>858</v>
      </c>
      <c r="G465" s="7"/>
      <c r="H465" s="7"/>
      <c r="I465" s="7" t="s">
        <v>859</v>
      </c>
      <c r="J465" s="7" t="s">
        <v>789</v>
      </c>
      <c r="K465" s="7"/>
      <c r="L465" s="7"/>
      <c r="M465" s="7"/>
      <c r="N465" s="7"/>
      <c r="O465" s="7"/>
      <c r="P465" s="7"/>
      <c r="Q465" s="7"/>
      <c r="R465" s="7"/>
      <c r="S465" s="7"/>
      <c r="T465" s="7"/>
      <c r="U465" s="7"/>
      <c r="V465" s="7"/>
      <c r="W465" s="7"/>
      <c r="X465" s="7"/>
      <c r="Y465" s="7" t="s">
        <v>860</v>
      </c>
      <c r="Z465" s="7" t="s">
        <v>861</v>
      </c>
      <c r="AA465" s="7"/>
      <c r="AB465" s="7"/>
      <c r="AC465" s="7"/>
      <c r="AD465" s="7"/>
      <c r="AE465" s="7"/>
      <c r="AF465" s="7"/>
      <c r="AG465" s="7"/>
      <c r="AH465" s="7"/>
      <c r="AI465" s="7"/>
      <c r="AJ465" s="7"/>
      <c r="AK465" s="7"/>
      <c r="AL465" s="7"/>
      <c r="AM465" s="7" t="s">
        <v>793</v>
      </c>
      <c r="AN465" s="7" t="s">
        <v>794</v>
      </c>
      <c r="AO465" s="7"/>
      <c r="AP465" s="7"/>
      <c r="AQ465" s="7"/>
      <c r="AR465" s="7" t="s">
        <v>92</v>
      </c>
      <c r="AS465" s="7">
        <v>2012</v>
      </c>
      <c r="AT465" s="7">
        <v>8</v>
      </c>
      <c r="AU465" s="7">
        <v>5</v>
      </c>
      <c r="AV465" s="7"/>
      <c r="AW465" s="7"/>
      <c r="AX465" s="7"/>
      <c r="AY465" s="7"/>
      <c r="AZ465" s="7">
        <v>484</v>
      </c>
      <c r="BA465" s="7">
        <v>485</v>
      </c>
      <c r="BB465" s="7"/>
      <c r="BC465" s="7" t="s">
        <v>862</v>
      </c>
      <c r="BD465" s="11" t="str">
        <f>HYPERLINK("http://dx.doi.org/10.1089/chi.2012.0063","http://dx.doi.org/10.1089/chi.2012.0063")</f>
        <v>http://dx.doi.org/10.1089/chi.2012.0063</v>
      </c>
      <c r="BE465" s="7"/>
      <c r="BF465" s="7"/>
      <c r="BG465" s="7"/>
      <c r="BH465" s="7"/>
      <c r="BI465" s="7">
        <v>23061503</v>
      </c>
      <c r="BJ465" s="7" t="s">
        <v>863</v>
      </c>
      <c r="BK465" s="7"/>
      <c r="BL465" s="7"/>
      <c r="BM465" s="7"/>
      <c r="BN465" s="7"/>
      <c r="BO465" s="7"/>
      <c r="BP465" s="7"/>
      <c r="BQ465" s="7"/>
      <c r="BR465" s="7"/>
      <c r="BS465" s="7"/>
      <c r="BT465" s="7"/>
      <c r="BU465" s="1" t="s">
        <v>7200</v>
      </c>
      <c r="BV465" s="10" t="s">
        <v>7188</v>
      </c>
      <c r="BW465" s="10" t="s">
        <v>7189</v>
      </c>
    </row>
    <row r="466" spans="1:75" ht="12.75" customHeight="1">
      <c r="A466" s="3" t="s">
        <v>63</v>
      </c>
      <c r="B466" s="3" t="s">
        <v>1538</v>
      </c>
      <c r="C466" s="3"/>
      <c r="D466" s="3"/>
      <c r="E466" s="3"/>
      <c r="F466" s="3" t="s">
        <v>1539</v>
      </c>
      <c r="G466" s="3"/>
      <c r="H466" s="3"/>
      <c r="I466" s="3" t="s">
        <v>1540</v>
      </c>
      <c r="J466" s="3" t="s">
        <v>1541</v>
      </c>
      <c r="K466" s="3"/>
      <c r="L466" s="3"/>
      <c r="M466" s="3"/>
      <c r="N466" s="3"/>
      <c r="O466" s="3"/>
      <c r="P466" s="3"/>
      <c r="Q466" s="3"/>
      <c r="R466" s="3"/>
      <c r="S466" s="3"/>
      <c r="T466" s="3" t="s">
        <v>1542</v>
      </c>
      <c r="U466" s="3"/>
      <c r="V466" s="3"/>
      <c r="W466" s="3"/>
      <c r="X466" s="3"/>
      <c r="Y466" s="3"/>
      <c r="Z466" s="3" t="s">
        <v>1543</v>
      </c>
      <c r="AA466" s="3"/>
      <c r="AB466" s="3"/>
      <c r="AC466" s="3"/>
      <c r="AD466" s="3"/>
      <c r="AE466" s="3"/>
      <c r="AF466" s="3"/>
      <c r="AG466" s="3"/>
      <c r="AH466" s="3"/>
      <c r="AI466" s="3"/>
      <c r="AJ466" s="3"/>
      <c r="AK466" s="3"/>
      <c r="AL466" s="3"/>
      <c r="AM466" s="3" t="s">
        <v>1544</v>
      </c>
      <c r="AN466" s="3" t="s">
        <v>1545</v>
      </c>
      <c r="AO466" s="3"/>
      <c r="AP466" s="3"/>
      <c r="AQ466" s="3"/>
      <c r="AR466" s="3"/>
      <c r="AS466" s="3">
        <v>2014</v>
      </c>
      <c r="AT466" s="3">
        <v>34</v>
      </c>
      <c r="AU466" s="3">
        <v>5</v>
      </c>
      <c r="AV466" s="3"/>
      <c r="AW466" s="3"/>
      <c r="AX466" s="3"/>
      <c r="AY466" s="3"/>
      <c r="AZ466" s="3">
        <v>531</v>
      </c>
      <c r="BA466" s="3">
        <v>544</v>
      </c>
      <c r="BB466" s="3"/>
      <c r="BC466" s="3" t="s">
        <v>1546</v>
      </c>
      <c r="BD466" s="15" t="str">
        <f>HYPERLINK("http://dx.doi.org/10.1080/08841233.2014.955944","http://dx.doi.org/10.1080/08841233.2014.955944")</f>
        <v>http://dx.doi.org/10.1080/08841233.2014.955944</v>
      </c>
      <c r="BE466" s="3"/>
      <c r="BF466" s="3"/>
      <c r="BG466" s="3"/>
      <c r="BH466" s="3"/>
      <c r="BI466" s="3"/>
      <c r="BJ466" s="3" t="s">
        <v>1547</v>
      </c>
      <c r="BK466" s="3"/>
      <c r="BL466" s="3"/>
      <c r="BM466" s="3"/>
      <c r="BN466" s="3"/>
      <c r="BO466" s="3"/>
      <c r="BP466" s="3"/>
      <c r="BQ466" s="3"/>
      <c r="BR466" s="3"/>
      <c r="BS466" s="3"/>
      <c r="BT466" s="3"/>
      <c r="BU466" s="13" t="s">
        <v>7408</v>
      </c>
      <c r="BV466" s="10" t="s">
        <v>7188</v>
      </c>
      <c r="BW466" s="10" t="s">
        <v>7189</v>
      </c>
    </row>
    <row r="467" spans="1:75" ht="12.75" customHeight="1">
      <c r="A467" s="7" t="s">
        <v>63</v>
      </c>
      <c r="B467" s="7" t="s">
        <v>6302</v>
      </c>
      <c r="C467" s="7"/>
      <c r="D467" s="7"/>
      <c r="E467" s="7"/>
      <c r="F467" s="7" t="s">
        <v>6303</v>
      </c>
      <c r="G467" s="7"/>
      <c r="H467" s="7"/>
      <c r="I467" s="7" t="s">
        <v>6304</v>
      </c>
      <c r="J467" s="7" t="s">
        <v>6041</v>
      </c>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t="s">
        <v>6045</v>
      </c>
      <c r="AN467" s="7" t="s">
        <v>6046</v>
      </c>
      <c r="AO467" s="7"/>
      <c r="AP467" s="7"/>
      <c r="AQ467" s="7"/>
      <c r="AR467" s="7" t="s">
        <v>121</v>
      </c>
      <c r="AS467" s="7">
        <v>2023</v>
      </c>
      <c r="AT467" s="7">
        <v>116</v>
      </c>
      <c r="AU467" s="7">
        <v>2</v>
      </c>
      <c r="AV467" s="7"/>
      <c r="AW467" s="7"/>
      <c r="AX467" s="7"/>
      <c r="AY467" s="7"/>
      <c r="AZ467" s="7">
        <v>253</v>
      </c>
      <c r="BA467" s="7">
        <v>254</v>
      </c>
      <c r="BB467" s="7"/>
      <c r="BC467" s="7" t="s">
        <v>6305</v>
      </c>
      <c r="BD467" s="11" t="str">
        <f>HYPERLINK("http://dx.doi.org/10.1016/j.athoracsur.2023.04.039","http://dx.doi.org/10.1016/j.athoracsur.2023.04.039")</f>
        <v>http://dx.doi.org/10.1016/j.athoracsur.2023.04.039</v>
      </c>
      <c r="BE467" s="7"/>
      <c r="BF467" s="7" t="s">
        <v>6048</v>
      </c>
      <c r="BG467" s="7"/>
      <c r="BH467" s="7"/>
      <c r="BI467" s="7">
        <v>37178861</v>
      </c>
      <c r="BJ467" s="7" t="s">
        <v>6306</v>
      </c>
      <c r="BK467" s="7"/>
      <c r="BL467" s="7"/>
      <c r="BM467" s="7"/>
      <c r="BN467" s="7"/>
      <c r="BO467" s="7"/>
      <c r="BP467" s="7"/>
      <c r="BQ467" s="7"/>
      <c r="BR467" s="7"/>
      <c r="BS467" s="7"/>
      <c r="BT467" s="7"/>
      <c r="BU467" s="1" t="s">
        <v>7409</v>
      </c>
      <c r="BV467" s="10" t="s">
        <v>7188</v>
      </c>
      <c r="BW467" s="10" t="s">
        <v>7189</v>
      </c>
    </row>
    <row r="468" spans="1:75" ht="12.75" customHeight="1">
      <c r="A468" s="3" t="s">
        <v>63</v>
      </c>
      <c r="B468" s="3" t="s">
        <v>5722</v>
      </c>
      <c r="C468" s="3"/>
      <c r="D468" s="3"/>
      <c r="E468" s="3"/>
      <c r="F468" s="3" t="s">
        <v>5723</v>
      </c>
      <c r="G468" s="3"/>
      <c r="H468" s="3"/>
      <c r="I468" s="3" t="s">
        <v>5724</v>
      </c>
      <c r="J468" s="3" t="s">
        <v>5725</v>
      </c>
      <c r="K468" s="3"/>
      <c r="L468" s="3"/>
      <c r="M468" s="3"/>
      <c r="N468" s="3" t="s">
        <v>5726</v>
      </c>
      <c r="O468" s="3" t="s">
        <v>1090</v>
      </c>
      <c r="P468" s="3" t="s">
        <v>5727</v>
      </c>
      <c r="Q468" s="3"/>
      <c r="R468" s="3"/>
      <c r="S468" s="3"/>
      <c r="T468" s="3"/>
      <c r="U468" s="3"/>
      <c r="V468" s="3"/>
      <c r="W468" s="3"/>
      <c r="X468" s="3"/>
      <c r="Y468" s="3"/>
      <c r="Z468" s="3"/>
      <c r="AA468" s="3"/>
      <c r="AB468" s="3"/>
      <c r="AC468" s="3"/>
      <c r="AD468" s="3"/>
      <c r="AE468" s="3"/>
      <c r="AF468" s="3"/>
      <c r="AG468" s="3"/>
      <c r="AH468" s="3"/>
      <c r="AI468" s="3"/>
      <c r="AJ468" s="3"/>
      <c r="AK468" s="3"/>
      <c r="AL468" s="3"/>
      <c r="AM468" s="3" t="s">
        <v>5728</v>
      </c>
      <c r="AN468" s="3" t="s">
        <v>5729</v>
      </c>
      <c r="AO468" s="3"/>
      <c r="AP468" s="3"/>
      <c r="AQ468" s="3"/>
      <c r="AR468" s="3" t="s">
        <v>78</v>
      </c>
      <c r="AS468" s="3">
        <v>2022</v>
      </c>
      <c r="AT468" s="3">
        <v>207</v>
      </c>
      <c r="AU468" s="3">
        <v>5</v>
      </c>
      <c r="AV468" s="3"/>
      <c r="AW468" s="3" t="s">
        <v>151</v>
      </c>
      <c r="AX468" s="3"/>
      <c r="AY468" s="3" t="s">
        <v>5730</v>
      </c>
      <c r="AZ468" s="3" t="s">
        <v>5731</v>
      </c>
      <c r="BA468" s="3" t="s">
        <v>5732</v>
      </c>
      <c r="BB468" s="3"/>
      <c r="BC468" s="3"/>
      <c r="BD468" s="3"/>
      <c r="BE468" s="3"/>
      <c r="BF468" s="3"/>
      <c r="BG468" s="3"/>
      <c r="BH468" s="3"/>
      <c r="BI468" s="3"/>
      <c r="BJ468" s="3" t="s">
        <v>5733</v>
      </c>
      <c r="BK468" s="3"/>
      <c r="BL468" s="3"/>
      <c r="BM468" s="3"/>
      <c r="BN468" s="3"/>
      <c r="BO468" s="3"/>
      <c r="BP468" s="3"/>
      <c r="BQ468" s="3"/>
      <c r="BR468" s="3"/>
      <c r="BS468" s="3"/>
      <c r="BT468" s="3"/>
      <c r="BU468" s="2" t="s">
        <v>7201</v>
      </c>
      <c r="BV468" s="10" t="s">
        <v>7188</v>
      </c>
      <c r="BW468" s="10" t="s">
        <v>7189</v>
      </c>
    </row>
    <row r="469" spans="1:75" ht="12.75" customHeight="1">
      <c r="A469" s="3" t="s">
        <v>201</v>
      </c>
      <c r="B469" s="3" t="s">
        <v>3852</v>
      </c>
      <c r="C469" s="3"/>
      <c r="D469" s="3" t="s">
        <v>3853</v>
      </c>
      <c r="E469" s="3"/>
      <c r="F469" s="3" t="s">
        <v>3854</v>
      </c>
      <c r="G469" s="3"/>
      <c r="H469" s="3"/>
      <c r="I469" s="3" t="s">
        <v>3855</v>
      </c>
      <c r="J469" s="3" t="s">
        <v>3856</v>
      </c>
      <c r="K469" s="3" t="s">
        <v>3857</v>
      </c>
      <c r="L469" s="3"/>
      <c r="M469" s="3"/>
      <c r="N469" s="3" t="s">
        <v>3858</v>
      </c>
      <c r="O469" s="3" t="s">
        <v>2542</v>
      </c>
      <c r="P469" s="3"/>
      <c r="Q469" s="3"/>
      <c r="R469" s="3"/>
      <c r="S469" s="3"/>
      <c r="T469" s="3" t="s">
        <v>3859</v>
      </c>
      <c r="U469" s="3"/>
      <c r="V469" s="3"/>
      <c r="W469" s="3"/>
      <c r="X469" s="3"/>
      <c r="Y469" s="3"/>
      <c r="Z469" s="3" t="s">
        <v>3860</v>
      </c>
      <c r="AA469" s="3"/>
      <c r="AB469" s="3"/>
      <c r="AC469" s="3"/>
      <c r="AD469" s="3"/>
      <c r="AE469" s="3"/>
      <c r="AF469" s="3"/>
      <c r="AG469" s="3"/>
      <c r="AH469" s="3"/>
      <c r="AI469" s="3"/>
      <c r="AJ469" s="3"/>
      <c r="AK469" s="3"/>
      <c r="AL469" s="3"/>
      <c r="AM469" s="3" t="s">
        <v>3861</v>
      </c>
      <c r="AN469" s="3"/>
      <c r="AO469" s="3"/>
      <c r="AP469" s="3"/>
      <c r="AQ469" s="3"/>
      <c r="AR469" s="3"/>
      <c r="AS469" s="3">
        <v>2019</v>
      </c>
      <c r="AT469" s="3">
        <v>39</v>
      </c>
      <c r="AU469" s="3"/>
      <c r="AV469" s="3"/>
      <c r="AW469" s="3"/>
      <c r="AX469" s="3"/>
      <c r="AY469" s="3"/>
      <c r="AZ469" s="3">
        <v>1809</v>
      </c>
      <c r="BA469" s="3">
        <v>1816</v>
      </c>
      <c r="BB469" s="3"/>
      <c r="BC469" s="3" t="s">
        <v>3862</v>
      </c>
      <c r="BD469" s="15" t="str">
        <f>HYPERLINK("http://dx.doi.org/10.1016/j.promfg.2020.01.258","http://dx.doi.org/10.1016/j.promfg.2020.01.258")</f>
        <v>http://dx.doi.org/10.1016/j.promfg.2020.01.258</v>
      </c>
      <c r="BE469" s="3"/>
      <c r="BF469" s="3"/>
      <c r="BG469" s="3"/>
      <c r="BH469" s="3"/>
      <c r="BI469" s="3"/>
      <c r="BJ469" s="3" t="s">
        <v>3863</v>
      </c>
      <c r="BK469" s="3"/>
      <c r="BL469" s="3"/>
      <c r="BM469" s="3"/>
      <c r="BN469" s="3"/>
      <c r="BO469" s="3"/>
      <c r="BP469" s="3"/>
      <c r="BQ469" s="3"/>
      <c r="BR469" s="3"/>
      <c r="BS469" s="3"/>
      <c r="BT469" s="3"/>
      <c r="BU469" s="1" t="s">
        <v>7221</v>
      </c>
      <c r="BV469" s="10" t="s">
        <v>7188</v>
      </c>
      <c r="BW469" s="10" t="s">
        <v>7189</v>
      </c>
    </row>
    <row r="470" spans="1:75" ht="12.75" customHeight="1">
      <c r="A470" s="4" t="s">
        <v>63</v>
      </c>
      <c r="B470" s="4" t="s">
        <v>2973</v>
      </c>
      <c r="C470" s="4"/>
      <c r="D470" s="4"/>
      <c r="E470" s="4"/>
      <c r="F470" s="4" t="s">
        <v>2974</v>
      </c>
      <c r="G470" s="4"/>
      <c r="H470" s="4"/>
      <c r="I470" s="4" t="s">
        <v>2975</v>
      </c>
      <c r="J470" s="4" t="s">
        <v>2976</v>
      </c>
      <c r="K470" s="4"/>
      <c r="L470" s="4"/>
      <c r="M470" s="4"/>
      <c r="N470" s="4" t="s">
        <v>2977</v>
      </c>
      <c r="O470" s="4" t="s">
        <v>2978</v>
      </c>
      <c r="P470" s="4"/>
      <c r="Q470" s="4"/>
      <c r="R470" s="4"/>
      <c r="S470" s="4"/>
      <c r="T470" s="4" t="s">
        <v>2979</v>
      </c>
      <c r="U470" s="4"/>
      <c r="V470" s="4"/>
      <c r="W470" s="4"/>
      <c r="X470" s="4"/>
      <c r="Y470" s="4"/>
      <c r="Z470" s="4" t="s">
        <v>2980</v>
      </c>
      <c r="AA470" s="4"/>
      <c r="AB470" s="4"/>
      <c r="AC470" s="4"/>
      <c r="AD470" s="4"/>
      <c r="AE470" s="4"/>
      <c r="AF470" s="4"/>
      <c r="AG470" s="4"/>
      <c r="AH470" s="4"/>
      <c r="AI470" s="4"/>
      <c r="AJ470" s="4"/>
      <c r="AK470" s="4"/>
      <c r="AL470" s="4"/>
      <c r="AM470" s="4" t="s">
        <v>2981</v>
      </c>
      <c r="AN470" s="4" t="s">
        <v>2982</v>
      </c>
      <c r="AO470" s="4"/>
      <c r="AP470" s="4"/>
      <c r="AQ470" s="4"/>
      <c r="AR470" s="4"/>
      <c r="AS470" s="4">
        <v>2017</v>
      </c>
      <c r="AT470" s="4">
        <v>41</v>
      </c>
      <c r="AU470" s="4">
        <v>8</v>
      </c>
      <c r="AV470" s="4"/>
      <c r="AW470" s="4"/>
      <c r="AX470" s="4" t="s">
        <v>569</v>
      </c>
      <c r="AY470" s="4"/>
      <c r="AZ470" s="4">
        <v>887</v>
      </c>
      <c r="BA470" s="4">
        <v>906</v>
      </c>
      <c r="BB470" s="4"/>
      <c r="BC470" s="4" t="s">
        <v>2983</v>
      </c>
      <c r="BD470" s="5" t="str">
        <f>HYPERLINK("http://dx.doi.org/10.1080/21683565.2017.1311288","http://dx.doi.org/10.1080/21683565.2017.1311288")</f>
        <v>http://dx.doi.org/10.1080/21683565.2017.1311288</v>
      </c>
      <c r="BE470" s="4"/>
      <c r="BF470" s="4"/>
      <c r="BG470" s="4"/>
      <c r="BH470" s="4"/>
      <c r="BI470" s="4"/>
      <c r="BJ470" s="4" t="s">
        <v>2984</v>
      </c>
      <c r="BK470" s="4"/>
      <c r="BL470" s="4"/>
      <c r="BM470" s="4"/>
      <c r="BN470" s="4"/>
      <c r="BO470" s="4"/>
      <c r="BP470" s="4"/>
      <c r="BQ470" s="4"/>
      <c r="BR470" s="4"/>
      <c r="BS470" s="4"/>
      <c r="BT470" s="4"/>
      <c r="BU470" s="12" t="s">
        <v>7206</v>
      </c>
      <c r="BV470" s="12" t="s">
        <v>7188</v>
      </c>
      <c r="BW470" s="12" t="s">
        <v>7189</v>
      </c>
    </row>
    <row r="471" spans="1:75" ht="12.75" customHeight="1">
      <c r="A471" s="3" t="s">
        <v>63</v>
      </c>
      <c r="B471" s="3" t="s">
        <v>3456</v>
      </c>
      <c r="C471" s="3"/>
      <c r="D471" s="3"/>
      <c r="E471" s="3"/>
      <c r="F471" s="3" t="s">
        <v>3457</v>
      </c>
      <c r="G471" s="3"/>
      <c r="H471" s="3"/>
      <c r="I471" s="3" t="s">
        <v>3458</v>
      </c>
      <c r="J471" s="3" t="s">
        <v>3459</v>
      </c>
      <c r="K471" s="3"/>
      <c r="L471" s="3"/>
      <c r="M471" s="3"/>
      <c r="N471" s="3" t="s">
        <v>3460</v>
      </c>
      <c r="O471" s="3" t="s">
        <v>3461</v>
      </c>
      <c r="P471" s="3" t="s">
        <v>3462</v>
      </c>
      <c r="Q471" s="3"/>
      <c r="R471" s="3"/>
      <c r="S471" s="3"/>
      <c r="T471" s="3"/>
      <c r="U471" s="3"/>
      <c r="V471" s="3"/>
      <c r="W471" s="3"/>
      <c r="X471" s="3"/>
      <c r="Y471" s="3"/>
      <c r="Z471" s="3"/>
      <c r="AA471" s="3"/>
      <c r="AB471" s="3"/>
      <c r="AC471" s="3"/>
      <c r="AD471" s="3"/>
      <c r="AE471" s="3"/>
      <c r="AF471" s="3"/>
      <c r="AG471" s="3"/>
      <c r="AH471" s="3"/>
      <c r="AI471" s="3"/>
      <c r="AJ471" s="3"/>
      <c r="AK471" s="3"/>
      <c r="AL471" s="3"/>
      <c r="AM471" s="3" t="s">
        <v>3463</v>
      </c>
      <c r="AN471" s="3"/>
      <c r="AO471" s="3"/>
      <c r="AP471" s="3"/>
      <c r="AQ471" s="3"/>
      <c r="AR471" s="3" t="s">
        <v>78</v>
      </c>
      <c r="AS471" s="3">
        <v>2018</v>
      </c>
      <c r="AT471" s="3">
        <v>131</v>
      </c>
      <c r="AU471" s="3"/>
      <c r="AV471" s="3"/>
      <c r="AW471" s="3">
        <v>1</v>
      </c>
      <c r="AX471" s="3"/>
      <c r="AY471" s="3" t="s">
        <v>3464</v>
      </c>
      <c r="AZ471" s="3" t="s">
        <v>3465</v>
      </c>
      <c r="BA471" s="3" t="s">
        <v>3465</v>
      </c>
      <c r="BB471" s="3"/>
      <c r="BC471" s="3" t="s">
        <v>3466</v>
      </c>
      <c r="BD471" s="15" t="str">
        <f>HYPERLINK("http://dx.doi.org/10.1097/01.AOG.0000533274.03842.19","http://dx.doi.org/10.1097/01.AOG.0000533274.03842.19")</f>
        <v>http://dx.doi.org/10.1097/01.AOG.0000533274.03842.19</v>
      </c>
      <c r="BE471" s="3"/>
      <c r="BF471" s="3"/>
      <c r="BG471" s="3"/>
      <c r="BH471" s="3"/>
      <c r="BI471" s="3"/>
      <c r="BJ471" s="3" t="s">
        <v>3467</v>
      </c>
      <c r="BK471" s="3"/>
      <c r="BL471" s="3"/>
      <c r="BM471" s="3"/>
      <c r="BN471" s="3"/>
      <c r="BO471" s="3"/>
      <c r="BP471" s="3"/>
      <c r="BQ471" s="3"/>
      <c r="BR471" s="3"/>
      <c r="BS471" s="3"/>
      <c r="BT471" s="3"/>
      <c r="BU471" s="1" t="s">
        <v>7347</v>
      </c>
      <c r="BV471" s="10" t="s">
        <v>7188</v>
      </c>
      <c r="BW471" s="10" t="s">
        <v>7189</v>
      </c>
    </row>
    <row r="472" spans="1:75" ht="12.75" customHeight="1">
      <c r="A472" s="3" t="s">
        <v>63</v>
      </c>
      <c r="B472" s="3" t="s">
        <v>2985</v>
      </c>
      <c r="C472" s="3"/>
      <c r="D472" s="3"/>
      <c r="E472" s="3"/>
      <c r="F472" s="3" t="s">
        <v>2986</v>
      </c>
      <c r="G472" s="3"/>
      <c r="H472" s="3"/>
      <c r="I472" s="3" t="s">
        <v>2987</v>
      </c>
      <c r="J472" s="3" t="s">
        <v>2957</v>
      </c>
      <c r="K472" s="3"/>
      <c r="L472" s="3"/>
      <c r="M472" s="3"/>
      <c r="N472" s="3"/>
      <c r="O472" s="3"/>
      <c r="P472" s="3"/>
      <c r="Q472" s="3"/>
      <c r="R472" s="3"/>
      <c r="S472" s="3"/>
      <c r="T472" s="3"/>
      <c r="U472" s="3"/>
      <c r="V472" s="3"/>
      <c r="W472" s="3"/>
      <c r="X472" s="3"/>
      <c r="Y472" s="3" t="s">
        <v>2988</v>
      </c>
      <c r="Z472" s="3"/>
      <c r="AA472" s="3"/>
      <c r="AB472" s="3"/>
      <c r="AC472" s="3"/>
      <c r="AD472" s="3"/>
      <c r="AE472" s="3"/>
      <c r="AF472" s="3"/>
      <c r="AG472" s="3"/>
      <c r="AH472" s="3"/>
      <c r="AI472" s="3"/>
      <c r="AJ472" s="3"/>
      <c r="AK472" s="3"/>
      <c r="AL472" s="3"/>
      <c r="AM472" s="3" t="s">
        <v>2961</v>
      </c>
      <c r="AN472" s="3" t="s">
        <v>2962</v>
      </c>
      <c r="AO472" s="3"/>
      <c r="AP472" s="3"/>
      <c r="AQ472" s="3"/>
      <c r="AR472" s="3" t="s">
        <v>445</v>
      </c>
      <c r="AS472" s="3">
        <v>2017</v>
      </c>
      <c r="AT472" s="3">
        <v>10</v>
      </c>
      <c r="AU472" s="3">
        <v>9</v>
      </c>
      <c r="AV472" s="3"/>
      <c r="AW472" s="3"/>
      <c r="AX472" s="3"/>
      <c r="AY472" s="3"/>
      <c r="AZ472" s="3"/>
      <c r="BA472" s="3"/>
      <c r="BB472" s="3" t="s">
        <v>2989</v>
      </c>
      <c r="BC472" s="3" t="s">
        <v>2990</v>
      </c>
      <c r="BD472" s="15" t="str">
        <f>HYPERLINK("http://dx.doi.org/10.1161/CIRCOUTCOMES.117.004131","http://dx.doi.org/10.1161/CIRCOUTCOMES.117.004131")</f>
        <v>http://dx.doi.org/10.1161/CIRCOUTCOMES.117.004131</v>
      </c>
      <c r="BE472" s="3"/>
      <c r="BF472" s="3"/>
      <c r="BG472" s="3"/>
      <c r="BH472" s="3"/>
      <c r="BI472" s="3">
        <v>28904077</v>
      </c>
      <c r="BJ472" s="3" t="s">
        <v>2991</v>
      </c>
      <c r="BK472" s="3"/>
      <c r="BL472" s="3"/>
      <c r="BM472" s="3"/>
      <c r="BN472" s="3"/>
      <c r="BO472" s="3"/>
      <c r="BP472" s="3"/>
      <c r="BQ472" s="3"/>
      <c r="BR472" s="3"/>
      <c r="BS472" s="3"/>
      <c r="BT472" s="3"/>
      <c r="BU472" s="1" t="s">
        <v>7291</v>
      </c>
      <c r="BV472" s="10" t="s">
        <v>7188</v>
      </c>
      <c r="BW472" s="10" t="s">
        <v>7189</v>
      </c>
    </row>
    <row r="473" spans="1:75" ht="12.75" customHeight="1">
      <c r="A473" s="4" t="s">
        <v>63</v>
      </c>
      <c r="B473" s="4" t="s">
        <v>4994</v>
      </c>
      <c r="C473" s="4"/>
      <c r="D473" s="4"/>
      <c r="E473" s="4"/>
      <c r="F473" s="4" t="s">
        <v>4995</v>
      </c>
      <c r="G473" s="4"/>
      <c r="H473" s="4"/>
      <c r="I473" s="4" t="s">
        <v>4996</v>
      </c>
      <c r="J473" s="4" t="s">
        <v>4997</v>
      </c>
      <c r="K473" s="4"/>
      <c r="L473" s="4"/>
      <c r="M473" s="4"/>
      <c r="N473" s="4"/>
      <c r="O473" s="4"/>
      <c r="P473" s="4"/>
      <c r="Q473" s="4"/>
      <c r="R473" s="4"/>
      <c r="S473" s="4"/>
      <c r="T473" s="4" t="s">
        <v>4998</v>
      </c>
      <c r="U473" s="4"/>
      <c r="V473" s="4"/>
      <c r="W473" s="4"/>
      <c r="X473" s="4"/>
      <c r="Y473" s="4" t="s">
        <v>4999</v>
      </c>
      <c r="Z473" s="4" t="s">
        <v>5000</v>
      </c>
      <c r="AA473" s="4"/>
      <c r="AB473" s="4"/>
      <c r="AC473" s="4"/>
      <c r="AD473" s="4"/>
      <c r="AE473" s="4"/>
      <c r="AF473" s="4"/>
      <c r="AG473" s="4"/>
      <c r="AH473" s="4"/>
      <c r="AI473" s="4"/>
      <c r="AJ473" s="4"/>
      <c r="AK473" s="4"/>
      <c r="AL473" s="4"/>
      <c r="AM473" s="4" t="s">
        <v>5001</v>
      </c>
      <c r="AN473" s="4" t="s">
        <v>5002</v>
      </c>
      <c r="AO473" s="4"/>
      <c r="AP473" s="4"/>
      <c r="AQ473" s="4"/>
      <c r="AR473" s="4" t="s">
        <v>5003</v>
      </c>
      <c r="AS473" s="4">
        <v>2021</v>
      </c>
      <c r="AT473" s="4">
        <v>96</v>
      </c>
      <c r="AU473" s="4">
        <v>23</v>
      </c>
      <c r="AV473" s="4"/>
      <c r="AW473" s="4"/>
      <c r="AX473" s="4"/>
      <c r="AY473" s="4"/>
      <c r="AZ473" s="4" t="s">
        <v>5004</v>
      </c>
      <c r="BA473" s="4" t="s">
        <v>5005</v>
      </c>
      <c r="BB473" s="4"/>
      <c r="BC473" s="4" t="s">
        <v>5006</v>
      </c>
      <c r="BD473" s="5" t="str">
        <f>HYPERLINK("http://dx.doi.org/10.1212/WNL.0000000000012037","http://dx.doi.org/10.1212/WNL.0000000000012037")</f>
        <v>http://dx.doi.org/10.1212/WNL.0000000000012037</v>
      </c>
      <c r="BE473" s="4"/>
      <c r="BF473" s="4"/>
      <c r="BG473" s="4"/>
      <c r="BH473" s="4"/>
      <c r="BI473" s="4">
        <v>33980705</v>
      </c>
      <c r="BJ473" s="4" t="s">
        <v>5007</v>
      </c>
      <c r="BK473" s="4"/>
      <c r="BL473" s="4"/>
      <c r="BM473" s="4"/>
      <c r="BN473" s="4"/>
      <c r="BO473" s="4"/>
      <c r="BP473" s="4"/>
      <c r="BQ473" s="4"/>
      <c r="BR473" s="4"/>
      <c r="BS473" s="4"/>
      <c r="BT473" s="4"/>
      <c r="BU473" s="12" t="s">
        <v>7347</v>
      </c>
      <c r="BV473" s="12" t="s">
        <v>7188</v>
      </c>
      <c r="BW473" s="12" t="s">
        <v>7189</v>
      </c>
    </row>
    <row r="474" spans="1:75" ht="12.75" customHeight="1">
      <c r="A474" s="3" t="s">
        <v>63</v>
      </c>
      <c r="B474" s="3" t="s">
        <v>1181</v>
      </c>
      <c r="C474" s="3"/>
      <c r="D474" s="3"/>
      <c r="E474" s="3"/>
      <c r="F474" s="3" t="s">
        <v>1182</v>
      </c>
      <c r="G474" s="3"/>
      <c r="H474" s="3"/>
      <c r="I474" s="3" t="s">
        <v>1183</v>
      </c>
      <c r="J474" s="3" t="s">
        <v>1184</v>
      </c>
      <c r="K474" s="3"/>
      <c r="L474" s="3"/>
      <c r="M474" s="3"/>
      <c r="N474" s="3"/>
      <c r="O474" s="3"/>
      <c r="P474" s="3"/>
      <c r="Q474" s="3"/>
      <c r="R474" s="3"/>
      <c r="S474" s="3"/>
      <c r="T474" s="3" t="s">
        <v>1185</v>
      </c>
      <c r="U474" s="3"/>
      <c r="V474" s="3"/>
      <c r="W474" s="3"/>
      <c r="X474" s="3"/>
      <c r="Y474" s="3"/>
      <c r="Z474" s="3"/>
      <c r="AA474" s="3"/>
      <c r="AB474" s="3"/>
      <c r="AC474" s="3"/>
      <c r="AD474" s="3"/>
      <c r="AE474" s="3"/>
      <c r="AF474" s="3"/>
      <c r="AG474" s="3"/>
      <c r="AH474" s="3"/>
      <c r="AI474" s="3"/>
      <c r="AJ474" s="3"/>
      <c r="AK474" s="3"/>
      <c r="AL474" s="3"/>
      <c r="AM474" s="3" t="s">
        <v>1186</v>
      </c>
      <c r="AN474" s="3" t="s">
        <v>1187</v>
      </c>
      <c r="AO474" s="3"/>
      <c r="AP474" s="3"/>
      <c r="AQ474" s="3"/>
      <c r="AR474" s="3" t="s">
        <v>445</v>
      </c>
      <c r="AS474" s="3">
        <v>2013</v>
      </c>
      <c r="AT474" s="3">
        <v>76</v>
      </c>
      <c r="AU474" s="3">
        <v>9</v>
      </c>
      <c r="AV474" s="3"/>
      <c r="AW474" s="3"/>
      <c r="AX474" s="3"/>
      <c r="AY474" s="3"/>
      <c r="AZ474" s="3">
        <v>1615</v>
      </c>
      <c r="BA474" s="3">
        <v>1620</v>
      </c>
      <c r="BB474" s="3"/>
      <c r="BC474" s="3" t="s">
        <v>1188</v>
      </c>
      <c r="BD474" s="15" t="str">
        <f>HYPERLINK("http://dx.doi.org/10.4315/0362-028X.JFP-13-027","http://dx.doi.org/10.4315/0362-028X.JFP-13-027")</f>
        <v>http://dx.doi.org/10.4315/0362-028X.JFP-13-027</v>
      </c>
      <c r="BE474" s="3"/>
      <c r="BF474" s="3"/>
      <c r="BG474" s="3"/>
      <c r="BH474" s="3"/>
      <c r="BI474" s="3">
        <v>23992507</v>
      </c>
      <c r="BJ474" s="3" t="s">
        <v>1189</v>
      </c>
      <c r="BK474" s="3"/>
      <c r="BL474" s="3"/>
      <c r="BM474" s="3"/>
      <c r="BN474" s="3"/>
      <c r="BO474" s="3"/>
      <c r="BP474" s="3"/>
      <c r="BQ474" s="3"/>
      <c r="BR474" s="3"/>
      <c r="BS474" s="3"/>
      <c r="BT474" s="3"/>
      <c r="BU474" s="1" t="s">
        <v>7249</v>
      </c>
      <c r="BV474" s="2" t="s">
        <v>2039</v>
      </c>
      <c r="BW474" s="10" t="s">
        <v>7189</v>
      </c>
    </row>
    <row r="475" spans="1:75" ht="12.75" customHeight="1">
      <c r="A475" s="3" t="s">
        <v>63</v>
      </c>
      <c r="B475" s="3" t="s">
        <v>5734</v>
      </c>
      <c r="C475" s="3"/>
      <c r="D475" s="3"/>
      <c r="E475" s="3"/>
      <c r="F475" s="3" t="s">
        <v>5735</v>
      </c>
      <c r="G475" s="3"/>
      <c r="H475" s="3"/>
      <c r="I475" s="3" t="s">
        <v>5736</v>
      </c>
      <c r="J475" s="3" t="s">
        <v>4332</v>
      </c>
      <c r="K475" s="3"/>
      <c r="L475" s="3"/>
      <c r="M475" s="3"/>
      <c r="N475" s="3" t="s">
        <v>5737</v>
      </c>
      <c r="O475" s="3" t="s">
        <v>3508</v>
      </c>
      <c r="P475" s="3" t="s">
        <v>5738</v>
      </c>
      <c r="Q475" s="3"/>
      <c r="R475" s="3"/>
      <c r="S475" s="3"/>
      <c r="T475" s="3"/>
      <c r="U475" s="3"/>
      <c r="V475" s="3"/>
      <c r="W475" s="3"/>
      <c r="X475" s="3"/>
      <c r="Y475" s="3" t="s">
        <v>5739</v>
      </c>
      <c r="Z475" s="3"/>
      <c r="AA475" s="3"/>
      <c r="AB475" s="3"/>
      <c r="AC475" s="3"/>
      <c r="AD475" s="3"/>
      <c r="AE475" s="3"/>
      <c r="AF475" s="3"/>
      <c r="AG475" s="3"/>
      <c r="AH475" s="3"/>
      <c r="AI475" s="3"/>
      <c r="AJ475" s="3"/>
      <c r="AK475" s="3"/>
      <c r="AL475" s="3"/>
      <c r="AM475" s="3" t="s">
        <v>4338</v>
      </c>
      <c r="AN475" s="3" t="s">
        <v>4339</v>
      </c>
      <c r="AO475" s="3"/>
      <c r="AP475" s="3"/>
      <c r="AQ475" s="3"/>
      <c r="AR475" s="3" t="s">
        <v>82</v>
      </c>
      <c r="AS475" s="3">
        <v>2022</v>
      </c>
      <c r="AT475" s="3">
        <v>29</v>
      </c>
      <c r="AU475" s="3" t="s">
        <v>4340</v>
      </c>
      <c r="AV475" s="3"/>
      <c r="AW475" s="3">
        <v>1</v>
      </c>
      <c r="AX475" s="3" t="s">
        <v>569</v>
      </c>
      <c r="AY475" s="3" t="s">
        <v>5740</v>
      </c>
      <c r="AZ475" s="3">
        <v>274</v>
      </c>
      <c r="BA475" s="3">
        <v>274</v>
      </c>
      <c r="BB475" s="3"/>
      <c r="BC475" s="3"/>
      <c r="BD475" s="3"/>
      <c r="BE475" s="3"/>
      <c r="BF475" s="3"/>
      <c r="BG475" s="3"/>
      <c r="BH475" s="3"/>
      <c r="BI475" s="3"/>
      <c r="BJ475" s="3" t="s">
        <v>5741</v>
      </c>
      <c r="BK475" s="3"/>
      <c r="BL475" s="3"/>
      <c r="BM475" s="3"/>
      <c r="BN475" s="3"/>
      <c r="BO475" s="3"/>
      <c r="BP475" s="3"/>
      <c r="BQ475" s="3"/>
      <c r="BR475" s="3"/>
      <c r="BS475" s="3"/>
      <c r="BT475" s="3"/>
      <c r="BU475" s="1" t="s">
        <v>7410</v>
      </c>
      <c r="BV475" s="10" t="s">
        <v>7188</v>
      </c>
      <c r="BW475" s="10" t="s">
        <v>7189</v>
      </c>
    </row>
    <row r="476" spans="1:75" ht="12" customHeight="1">
      <c r="A476" s="3" t="s">
        <v>63</v>
      </c>
      <c r="B476" s="3" t="s">
        <v>1190</v>
      </c>
      <c r="C476" s="3"/>
      <c r="D476" s="3"/>
      <c r="E476" s="3"/>
      <c r="F476" s="3" t="s">
        <v>1191</v>
      </c>
      <c r="G476" s="3"/>
      <c r="H476" s="3"/>
      <c r="I476" s="3" t="s">
        <v>1192</v>
      </c>
      <c r="J476" s="3" t="s">
        <v>1193</v>
      </c>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t="s">
        <v>1194</v>
      </c>
      <c r="AN476" s="3"/>
      <c r="AO476" s="3"/>
      <c r="AP476" s="3"/>
      <c r="AQ476" s="3"/>
      <c r="AR476" s="3" t="s">
        <v>1195</v>
      </c>
      <c r="AS476" s="3">
        <v>2013</v>
      </c>
      <c r="AT476" s="3">
        <v>177</v>
      </c>
      <c r="AU476" s="3"/>
      <c r="AV476" s="3"/>
      <c r="AW476" s="3">
        <v>11</v>
      </c>
      <c r="AX476" s="3"/>
      <c r="AY476" s="3"/>
      <c r="AZ476" s="3" t="s">
        <v>1196</v>
      </c>
      <c r="BA476" s="3" t="s">
        <v>1196</v>
      </c>
      <c r="BB476" s="3"/>
      <c r="BC476" s="3"/>
      <c r="BD476" s="3"/>
      <c r="BE476" s="3"/>
      <c r="BF476" s="3"/>
      <c r="BG476" s="3"/>
      <c r="BH476" s="3"/>
      <c r="BI476" s="3"/>
      <c r="BJ476" s="3" t="s">
        <v>1197</v>
      </c>
      <c r="BK476" s="3"/>
      <c r="BL476" s="3"/>
      <c r="BM476" s="3"/>
      <c r="BN476" s="3"/>
      <c r="BO476" s="3"/>
      <c r="BP476" s="3"/>
      <c r="BQ476" s="3"/>
      <c r="BR476" s="3"/>
      <c r="BS476" s="3"/>
      <c r="BT476" s="3"/>
      <c r="BU476" s="1" t="s">
        <v>7222</v>
      </c>
      <c r="BV476" s="10" t="s">
        <v>7188</v>
      </c>
      <c r="BW476" s="10" t="s">
        <v>7189</v>
      </c>
    </row>
    <row r="477" spans="1:75" ht="12.75" customHeight="1">
      <c r="A477" s="4" t="s">
        <v>63</v>
      </c>
      <c r="B477" s="4" t="s">
        <v>4344</v>
      </c>
      <c r="C477" s="4"/>
      <c r="D477" s="4"/>
      <c r="E477" s="4"/>
      <c r="F477" s="4" t="s">
        <v>4345</v>
      </c>
      <c r="G477" s="4"/>
      <c r="H477" s="4"/>
      <c r="I477" s="4" t="s">
        <v>4346</v>
      </c>
      <c r="J477" s="4" t="s">
        <v>4347</v>
      </c>
      <c r="K477" s="4"/>
      <c r="L477" s="4"/>
      <c r="M477" s="4"/>
      <c r="N477" s="4"/>
      <c r="O477" s="4"/>
      <c r="P477" s="4"/>
      <c r="Q477" s="4"/>
      <c r="R477" s="4"/>
      <c r="S477" s="4"/>
      <c r="T477" s="4" t="s">
        <v>4348</v>
      </c>
      <c r="U477" s="4"/>
      <c r="V477" s="4"/>
      <c r="W477" s="4"/>
      <c r="X477" s="4"/>
      <c r="Y477" s="4"/>
      <c r="Z477" s="4" t="s">
        <v>4349</v>
      </c>
      <c r="AA477" s="4"/>
      <c r="AB477" s="4"/>
      <c r="AC477" s="4"/>
      <c r="AD477" s="4"/>
      <c r="AE477" s="4"/>
      <c r="AF477" s="4"/>
      <c r="AG477" s="4"/>
      <c r="AH477" s="4"/>
      <c r="AI477" s="4"/>
      <c r="AJ477" s="4"/>
      <c r="AK477" s="4"/>
      <c r="AL477" s="4"/>
      <c r="AM477" s="4" t="s">
        <v>4350</v>
      </c>
      <c r="AN477" s="4" t="s">
        <v>4351</v>
      </c>
      <c r="AO477" s="4"/>
      <c r="AP477" s="4"/>
      <c r="AQ477" s="4"/>
      <c r="AR477" s="4" t="s">
        <v>68</v>
      </c>
      <c r="AS477" s="4">
        <v>2020</v>
      </c>
      <c r="AT477" s="4">
        <v>67</v>
      </c>
      <c r="AU477" s="4">
        <v>2</v>
      </c>
      <c r="AV477" s="4"/>
      <c r="AW477" s="4"/>
      <c r="AX477" s="4"/>
      <c r="AY477" s="4"/>
      <c r="AZ477" s="4">
        <v>387</v>
      </c>
      <c r="BA477" s="4" t="s">
        <v>1460</v>
      </c>
      <c r="BB477" s="4"/>
      <c r="BC477" s="4" t="s">
        <v>4352</v>
      </c>
      <c r="BD477" s="5" t="str">
        <f>HYPERLINK("http://dx.doi.org/10.1016/j.pcl.2019.12.004","http://dx.doi.org/10.1016/j.pcl.2019.12.004")</f>
        <v>http://dx.doi.org/10.1016/j.pcl.2019.12.004</v>
      </c>
      <c r="BE477" s="4"/>
      <c r="BF477" s="4"/>
      <c r="BG477" s="4"/>
      <c r="BH477" s="4"/>
      <c r="BI477" s="4">
        <v>32122567</v>
      </c>
      <c r="BJ477" s="4" t="s">
        <v>4353</v>
      </c>
      <c r="BK477" s="4"/>
      <c r="BL477" s="4"/>
      <c r="BM477" s="4"/>
      <c r="BN477" s="4"/>
      <c r="BO477" s="4"/>
      <c r="BP477" s="4"/>
      <c r="BQ477" s="4"/>
      <c r="BR477" s="4"/>
      <c r="BS477" s="4"/>
      <c r="BT477" s="4"/>
      <c r="BU477" s="12" t="s">
        <v>7193</v>
      </c>
      <c r="BV477" s="12" t="s">
        <v>7188</v>
      </c>
      <c r="BW477" s="12" t="s">
        <v>7189</v>
      </c>
    </row>
    <row r="478" spans="1:75" ht="12.75" customHeight="1">
      <c r="A478" s="3" t="s">
        <v>63</v>
      </c>
      <c r="B478" s="3" t="s">
        <v>2992</v>
      </c>
      <c r="C478" s="3"/>
      <c r="D478" s="3"/>
      <c r="E478" s="3"/>
      <c r="F478" s="3" t="s">
        <v>2993</v>
      </c>
      <c r="G478" s="3"/>
      <c r="H478" s="3"/>
      <c r="I478" s="3" t="s">
        <v>2994</v>
      </c>
      <c r="J478" s="3" t="s">
        <v>2995</v>
      </c>
      <c r="K478" s="3"/>
      <c r="L478" s="3"/>
      <c r="M478" s="3"/>
      <c r="N478" s="3"/>
      <c r="O478" s="3"/>
      <c r="P478" s="3"/>
      <c r="Q478" s="3"/>
      <c r="R478" s="3"/>
      <c r="S478" s="3"/>
      <c r="T478" s="3" t="s">
        <v>2996</v>
      </c>
      <c r="U478" s="3"/>
      <c r="V478" s="3"/>
      <c r="W478" s="3"/>
      <c r="X478" s="3"/>
      <c r="Y478" s="3"/>
      <c r="Z478" s="3"/>
      <c r="AA478" s="3"/>
      <c r="AB478" s="3"/>
      <c r="AC478" s="3"/>
      <c r="AD478" s="3"/>
      <c r="AE478" s="3"/>
      <c r="AF478" s="3"/>
      <c r="AG478" s="3"/>
      <c r="AH478" s="3"/>
      <c r="AI478" s="3"/>
      <c r="AJ478" s="3"/>
      <c r="AK478" s="3"/>
      <c r="AL478" s="3"/>
      <c r="AM478" s="3" t="s">
        <v>2997</v>
      </c>
      <c r="AN478" s="3" t="s">
        <v>2998</v>
      </c>
      <c r="AO478" s="3"/>
      <c r="AP478" s="3"/>
      <c r="AQ478" s="3"/>
      <c r="AR478" s="3" t="s">
        <v>68</v>
      </c>
      <c r="AS478" s="3">
        <v>2017</v>
      </c>
      <c r="AT478" s="3">
        <v>46</v>
      </c>
      <c r="AU478" s="3">
        <v>1</v>
      </c>
      <c r="AV478" s="3"/>
      <c r="AW478" s="3"/>
      <c r="AX478" s="3"/>
      <c r="AY478" s="3"/>
      <c r="AZ478" s="3">
        <v>87</v>
      </c>
      <c r="BA478" s="3">
        <v>102</v>
      </c>
      <c r="BB478" s="3"/>
      <c r="BC478" s="3" t="s">
        <v>2999</v>
      </c>
      <c r="BD478" s="15" t="str">
        <f>HYPERLINK("http://dx.doi.org/10.1017/age.2016.29","http://dx.doi.org/10.1017/age.2016.29")</f>
        <v>http://dx.doi.org/10.1017/age.2016.29</v>
      </c>
      <c r="BE478" s="3"/>
      <c r="BF478" s="3"/>
      <c r="BG478" s="3"/>
      <c r="BH478" s="3"/>
      <c r="BI478" s="3"/>
      <c r="BJ478" s="3" t="s">
        <v>3000</v>
      </c>
      <c r="BK478" s="3"/>
      <c r="BL478" s="3"/>
      <c r="BM478" s="3"/>
      <c r="BN478" s="3"/>
      <c r="BO478" s="3"/>
      <c r="BP478" s="3"/>
      <c r="BQ478" s="3"/>
      <c r="BR478" s="3"/>
      <c r="BS478" s="3"/>
      <c r="BT478" s="3"/>
      <c r="BU478" s="1" t="s">
        <v>7411</v>
      </c>
      <c r="BV478" s="10" t="s">
        <v>7188</v>
      </c>
      <c r="BW478" s="10" t="s">
        <v>7189</v>
      </c>
    </row>
    <row r="479" spans="1:75" ht="12.75" customHeight="1">
      <c r="A479" s="4" t="s">
        <v>63</v>
      </c>
      <c r="B479" s="4" t="s">
        <v>1548</v>
      </c>
      <c r="C479" s="4"/>
      <c r="D479" s="4"/>
      <c r="E479" s="4"/>
      <c r="F479" s="4" t="s">
        <v>1549</v>
      </c>
      <c r="G479" s="4"/>
      <c r="H479" s="4"/>
      <c r="I479" s="4" t="s">
        <v>1550</v>
      </c>
      <c r="J479" s="4" t="s">
        <v>1551</v>
      </c>
      <c r="K479" s="4"/>
      <c r="L479" s="4"/>
      <c r="M479" s="4"/>
      <c r="N479" s="4"/>
      <c r="O479" s="4"/>
      <c r="P479" s="4"/>
      <c r="Q479" s="4"/>
      <c r="R479" s="4"/>
      <c r="S479" s="4"/>
      <c r="T479" s="4" t="s">
        <v>1552</v>
      </c>
      <c r="U479" s="4"/>
      <c r="V479" s="4"/>
      <c r="W479" s="4"/>
      <c r="X479" s="4"/>
      <c r="Y479" s="4"/>
      <c r="Z479" s="4"/>
      <c r="AA479" s="4"/>
      <c r="AB479" s="4"/>
      <c r="AC479" s="4"/>
      <c r="AD479" s="4"/>
      <c r="AE479" s="4"/>
      <c r="AF479" s="4"/>
      <c r="AG479" s="4"/>
      <c r="AH479" s="4"/>
      <c r="AI479" s="4"/>
      <c r="AJ479" s="4"/>
      <c r="AK479" s="4"/>
      <c r="AL479" s="4"/>
      <c r="AM479" s="4" t="s">
        <v>1553</v>
      </c>
      <c r="AN479" s="4" t="s">
        <v>1554</v>
      </c>
      <c r="AO479" s="4"/>
      <c r="AP479" s="4"/>
      <c r="AQ479" s="4"/>
      <c r="AR479" s="4" t="s">
        <v>1555</v>
      </c>
      <c r="AS479" s="4">
        <v>2014</v>
      </c>
      <c r="AT479" s="4">
        <v>38</v>
      </c>
      <c r="AU479" s="4">
        <v>2</v>
      </c>
      <c r="AV479" s="4"/>
      <c r="AW479" s="4"/>
      <c r="AX479" s="4"/>
      <c r="AY479" s="4"/>
      <c r="AZ479" s="4">
        <v>314</v>
      </c>
      <c r="BA479" s="4">
        <v>321</v>
      </c>
      <c r="BB479" s="4"/>
      <c r="BC479" s="4" t="s">
        <v>1556</v>
      </c>
      <c r="BD479" s="5" t="str">
        <f>HYPERLINK("http://dx.doi.org/10.1080/03098265.2014.900744","http://dx.doi.org/10.1080/03098265.2014.900744")</f>
        <v>http://dx.doi.org/10.1080/03098265.2014.900744</v>
      </c>
      <c r="BE479" s="4"/>
      <c r="BF479" s="4"/>
      <c r="BG479" s="4"/>
      <c r="BH479" s="4"/>
      <c r="BI479" s="4"/>
      <c r="BJ479" s="4" t="s">
        <v>1557</v>
      </c>
      <c r="BK479" s="4"/>
      <c r="BL479" s="4"/>
      <c r="BM479" s="4"/>
      <c r="BN479" s="4"/>
      <c r="BO479" s="4"/>
      <c r="BP479" s="4"/>
      <c r="BQ479" s="4"/>
      <c r="BR479" s="4"/>
      <c r="BS479" s="4"/>
      <c r="BT479" s="4"/>
      <c r="BU479" s="12" t="s">
        <v>7310</v>
      </c>
      <c r="BV479" s="12" t="s">
        <v>7188</v>
      </c>
      <c r="BW479" s="12" t="s">
        <v>7189</v>
      </c>
    </row>
    <row r="480" spans="1:75" ht="12.75" customHeight="1">
      <c r="A480" s="4" t="s">
        <v>63</v>
      </c>
      <c r="B480" s="4" t="s">
        <v>490</v>
      </c>
      <c r="C480" s="4"/>
      <c r="D480" s="4"/>
      <c r="E480" s="4"/>
      <c r="F480" s="4" t="s">
        <v>491</v>
      </c>
      <c r="G480" s="4"/>
      <c r="H480" s="4"/>
      <c r="I480" s="4" t="s">
        <v>492</v>
      </c>
      <c r="J480" s="4" t="s">
        <v>493</v>
      </c>
      <c r="K480" s="4"/>
      <c r="L480" s="4"/>
      <c r="M480" s="4"/>
      <c r="N480" s="4"/>
      <c r="O480" s="4"/>
      <c r="P480" s="4"/>
      <c r="Q480" s="4"/>
      <c r="R480" s="4"/>
      <c r="S480" s="4"/>
      <c r="T480" s="4" t="s">
        <v>494</v>
      </c>
      <c r="U480" s="4"/>
      <c r="V480" s="4"/>
      <c r="W480" s="4"/>
      <c r="X480" s="4"/>
      <c r="Y480" s="4"/>
      <c r="Z480" s="4"/>
      <c r="AA480" s="4"/>
      <c r="AB480" s="4"/>
      <c r="AC480" s="4"/>
      <c r="AD480" s="4"/>
      <c r="AE480" s="4"/>
      <c r="AF480" s="4"/>
      <c r="AG480" s="4"/>
      <c r="AH480" s="4"/>
      <c r="AI480" s="4"/>
      <c r="AJ480" s="4"/>
      <c r="AK480" s="4"/>
      <c r="AL480" s="4"/>
      <c r="AM480" s="4" t="s">
        <v>495</v>
      </c>
      <c r="AN480" s="4" t="s">
        <v>496</v>
      </c>
      <c r="AO480" s="4"/>
      <c r="AP480" s="4"/>
      <c r="AQ480" s="4"/>
      <c r="AR480" s="4"/>
      <c r="AS480" s="4">
        <v>2010</v>
      </c>
      <c r="AT480" s="4">
        <v>32</v>
      </c>
      <c r="AU480" s="4">
        <v>5</v>
      </c>
      <c r="AV480" s="4"/>
      <c r="AW480" s="4"/>
      <c r="AX480" s="4"/>
      <c r="AY480" s="4"/>
      <c r="AZ480" s="4">
        <v>633</v>
      </c>
      <c r="BA480" s="4">
        <v>646</v>
      </c>
      <c r="BB480" s="4"/>
      <c r="BC480" s="4" t="s">
        <v>497</v>
      </c>
      <c r="BD480" s="5" t="str">
        <f>HYPERLINK("http://dx.doi.org/10.1111/j.1467-9906.2010.00511.x","http://dx.doi.org/10.1111/j.1467-9906.2010.00511.x")</f>
        <v>http://dx.doi.org/10.1111/j.1467-9906.2010.00511.x</v>
      </c>
      <c r="BE480" s="4"/>
      <c r="BF480" s="4"/>
      <c r="BG480" s="4"/>
      <c r="BH480" s="4"/>
      <c r="BI480" s="4"/>
      <c r="BJ480" s="4" t="s">
        <v>498</v>
      </c>
      <c r="BK480" s="4"/>
      <c r="BL480" s="4"/>
      <c r="BM480" s="4"/>
      <c r="BN480" s="4"/>
      <c r="BO480" s="4"/>
      <c r="BP480" s="4"/>
      <c r="BQ480" s="4"/>
      <c r="BR480" s="4"/>
      <c r="BS480" s="4"/>
      <c r="BT480" s="4"/>
      <c r="BU480" s="12" t="s">
        <v>7412</v>
      </c>
      <c r="BV480" s="12" t="s">
        <v>7188</v>
      </c>
      <c r="BW480" s="12" t="s">
        <v>7189</v>
      </c>
    </row>
    <row r="481" spans="1:75" ht="12.75" customHeight="1">
      <c r="A481" s="3" t="s">
        <v>63</v>
      </c>
      <c r="B481" s="3" t="s">
        <v>5008</v>
      </c>
      <c r="C481" s="3"/>
      <c r="D481" s="3"/>
      <c r="E481" s="3"/>
      <c r="F481" s="3" t="s">
        <v>5009</v>
      </c>
      <c r="G481" s="3"/>
      <c r="H481" s="3"/>
      <c r="I481" s="3" t="s">
        <v>5010</v>
      </c>
      <c r="J481" s="3" t="s">
        <v>5011</v>
      </c>
      <c r="K481" s="3"/>
      <c r="L481" s="3"/>
      <c r="M481" s="3"/>
      <c r="N481" s="3"/>
      <c r="O481" s="3"/>
      <c r="P481" s="3"/>
      <c r="Q481" s="3"/>
      <c r="R481" s="3"/>
      <c r="S481" s="3"/>
      <c r="T481" s="3" t="s">
        <v>5012</v>
      </c>
      <c r="U481" s="3"/>
      <c r="V481" s="3"/>
      <c r="W481" s="3"/>
      <c r="X481" s="3"/>
      <c r="Y481" s="3"/>
      <c r="Z481" s="3" t="s">
        <v>5013</v>
      </c>
      <c r="AA481" s="3"/>
      <c r="AB481" s="3"/>
      <c r="AC481" s="3"/>
      <c r="AD481" s="3"/>
      <c r="AE481" s="3"/>
      <c r="AF481" s="3"/>
      <c r="AG481" s="3"/>
      <c r="AH481" s="3"/>
      <c r="AI481" s="3"/>
      <c r="AJ481" s="3"/>
      <c r="AK481" s="3"/>
      <c r="AL481" s="3"/>
      <c r="AM481" s="3"/>
      <c r="AN481" s="3" t="s">
        <v>5014</v>
      </c>
      <c r="AO481" s="3"/>
      <c r="AP481" s="3"/>
      <c r="AQ481" s="3"/>
      <c r="AR481" s="3" t="s">
        <v>5015</v>
      </c>
      <c r="AS481" s="3">
        <v>2021</v>
      </c>
      <c r="AT481" s="3">
        <v>7</v>
      </c>
      <c r="AU481" s="3">
        <v>1</v>
      </c>
      <c r="AV481" s="3"/>
      <c r="AW481" s="3"/>
      <c r="AX481" s="3"/>
      <c r="AY481" s="3"/>
      <c r="AZ481" s="3"/>
      <c r="BA481" s="3"/>
      <c r="BB481" s="3">
        <v>29</v>
      </c>
      <c r="BC481" s="3" t="s">
        <v>5016</v>
      </c>
      <c r="BD481" s="15" t="str">
        <f>HYPERLINK("http://dx.doi.org/10.1186/s40795-021-00434-2","http://dx.doi.org/10.1186/s40795-021-00434-2")</f>
        <v>http://dx.doi.org/10.1186/s40795-021-00434-2</v>
      </c>
      <c r="BE481" s="3"/>
      <c r="BF481" s="3"/>
      <c r="BG481" s="3"/>
      <c r="BH481" s="3"/>
      <c r="BI481" s="3">
        <v>34183071</v>
      </c>
      <c r="BJ481" s="3" t="s">
        <v>5017</v>
      </c>
      <c r="BK481" s="3"/>
      <c r="BL481" s="3"/>
      <c r="BM481" s="3"/>
      <c r="BN481" s="3"/>
      <c r="BO481" s="3"/>
      <c r="BP481" s="3"/>
      <c r="BQ481" s="3"/>
      <c r="BR481" s="3"/>
      <c r="BS481" s="3"/>
      <c r="BT481" s="3"/>
      <c r="BU481" s="2" t="s">
        <v>7201</v>
      </c>
      <c r="BV481" s="10" t="s">
        <v>7188</v>
      </c>
      <c r="BW481" s="10" t="s">
        <v>7189</v>
      </c>
    </row>
    <row r="482" spans="1:75" ht="12.75" customHeight="1">
      <c r="A482" s="4" t="s">
        <v>63</v>
      </c>
      <c r="B482" s="4" t="s">
        <v>1198</v>
      </c>
      <c r="C482" s="4"/>
      <c r="D482" s="4"/>
      <c r="E482" s="4"/>
      <c r="F482" s="4" t="s">
        <v>1199</v>
      </c>
      <c r="G482" s="4"/>
      <c r="H482" s="4"/>
      <c r="I482" s="4" t="s">
        <v>1200</v>
      </c>
      <c r="J482" s="4" t="s">
        <v>423</v>
      </c>
      <c r="K482" s="4"/>
      <c r="L482" s="4"/>
      <c r="M482" s="4"/>
      <c r="N482" s="4"/>
      <c r="O482" s="4"/>
      <c r="P482" s="4"/>
      <c r="Q482" s="4"/>
      <c r="R482" s="4"/>
      <c r="S482" s="4"/>
      <c r="T482" s="4" t="s">
        <v>1201</v>
      </c>
      <c r="U482" s="4"/>
      <c r="V482" s="4"/>
      <c r="W482" s="4"/>
      <c r="X482" s="4"/>
      <c r="Y482" s="4"/>
      <c r="Z482" s="4"/>
      <c r="AA482" s="4"/>
      <c r="AB482" s="4"/>
      <c r="AC482" s="4"/>
      <c r="AD482" s="4"/>
      <c r="AE482" s="4"/>
      <c r="AF482" s="4"/>
      <c r="AG482" s="4"/>
      <c r="AH482" s="4"/>
      <c r="AI482" s="4"/>
      <c r="AJ482" s="4"/>
      <c r="AK482" s="4"/>
      <c r="AL482" s="4"/>
      <c r="AM482" s="4" t="s">
        <v>427</v>
      </c>
      <c r="AN482" s="4" t="s">
        <v>428</v>
      </c>
      <c r="AO482" s="4"/>
      <c r="AP482" s="4"/>
      <c r="AQ482" s="4"/>
      <c r="AR482" s="4"/>
      <c r="AS482" s="4">
        <v>2013</v>
      </c>
      <c r="AT482" s="4">
        <v>8</v>
      </c>
      <c r="AU482" s="4">
        <v>4</v>
      </c>
      <c r="AV482" s="4"/>
      <c r="AW482" s="4"/>
      <c r="AX482" s="4"/>
      <c r="AY482" s="4"/>
      <c r="AZ482" s="4">
        <v>429</v>
      </c>
      <c r="BA482" s="4">
        <v>444</v>
      </c>
      <c r="BB482" s="4"/>
      <c r="BC482" s="4" t="s">
        <v>1202</v>
      </c>
      <c r="BD482" s="5" t="str">
        <f>HYPERLINK("http://dx.doi.org/10.1080/19320248.2013.840547","http://dx.doi.org/10.1080/19320248.2013.840547")</f>
        <v>http://dx.doi.org/10.1080/19320248.2013.840547</v>
      </c>
      <c r="BE482" s="4"/>
      <c r="BF482" s="4"/>
      <c r="BG482" s="4"/>
      <c r="BH482" s="4"/>
      <c r="BI482" s="4"/>
      <c r="BJ482" s="4" t="s">
        <v>1203</v>
      </c>
      <c r="BK482" s="4"/>
      <c r="BL482" s="4"/>
      <c r="BM482" s="4"/>
      <c r="BN482" s="4"/>
      <c r="BO482" s="4"/>
      <c r="BP482" s="4"/>
      <c r="BQ482" s="4"/>
      <c r="BR482" s="4"/>
      <c r="BS482" s="4"/>
      <c r="BT482" s="4"/>
      <c r="BU482" s="12" t="s">
        <v>7193</v>
      </c>
      <c r="BV482" s="12" t="s">
        <v>7188</v>
      </c>
      <c r="BW482" s="12" t="s">
        <v>7189</v>
      </c>
    </row>
    <row r="483" spans="1:75" ht="12.75" customHeight="1">
      <c r="A483" s="6" t="s">
        <v>63</v>
      </c>
      <c r="B483" s="6" t="s">
        <v>301</v>
      </c>
      <c r="C483" s="6"/>
      <c r="D483" s="6"/>
      <c r="E483" s="6"/>
      <c r="F483" s="6" t="s">
        <v>302</v>
      </c>
      <c r="G483" s="6"/>
      <c r="H483" s="6"/>
      <c r="I483" s="6" t="s">
        <v>303</v>
      </c>
      <c r="J483" s="6" t="s">
        <v>304</v>
      </c>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t="s">
        <v>305</v>
      </c>
      <c r="AN483" s="6"/>
      <c r="AO483" s="6"/>
      <c r="AP483" s="6"/>
      <c r="AQ483" s="6"/>
      <c r="AR483" s="6" t="s">
        <v>121</v>
      </c>
      <c r="AS483" s="6">
        <v>2008</v>
      </c>
      <c r="AT483" s="6">
        <v>116</v>
      </c>
      <c r="AU483" s="6">
        <v>8</v>
      </c>
      <c r="AV483" s="6"/>
      <c r="AW483" s="6"/>
      <c r="AX483" s="6"/>
      <c r="AY483" s="6"/>
      <c r="AZ483" s="6" t="s">
        <v>306</v>
      </c>
      <c r="BA483" s="6" t="s">
        <v>306</v>
      </c>
      <c r="BB483" s="6"/>
      <c r="BC483" s="6" t="s">
        <v>307</v>
      </c>
      <c r="BD483" s="9" t="str">
        <f>HYPERLINK("http://dx.doi.org/10.1289/ehp.116-a335a","http://dx.doi.org/10.1289/ehp.116-a335a")</f>
        <v>http://dx.doi.org/10.1289/ehp.116-a335a</v>
      </c>
      <c r="BE483" s="6"/>
      <c r="BF483" s="6"/>
      <c r="BG483" s="6"/>
      <c r="BH483" s="6"/>
      <c r="BI483" s="6">
        <v>18709173</v>
      </c>
      <c r="BJ483" s="6" t="s">
        <v>308</v>
      </c>
      <c r="BK483" s="6"/>
      <c r="BL483" s="6"/>
      <c r="BM483" s="6"/>
      <c r="BN483" s="6"/>
      <c r="BO483" s="6"/>
      <c r="BP483" s="6"/>
      <c r="BQ483" s="6"/>
      <c r="BR483" s="6"/>
      <c r="BS483" s="6"/>
      <c r="BT483" s="6"/>
      <c r="BU483" s="8" t="s">
        <v>7225</v>
      </c>
      <c r="BV483" s="8" t="s">
        <v>7188</v>
      </c>
      <c r="BW483" s="8" t="s">
        <v>7189</v>
      </c>
    </row>
    <row r="484" spans="1:75" ht="12.75" customHeight="1">
      <c r="A484" s="6" t="s">
        <v>63</v>
      </c>
      <c r="B484" s="6" t="s">
        <v>6919</v>
      </c>
      <c r="C484" s="6"/>
      <c r="D484" s="6"/>
      <c r="E484" s="6"/>
      <c r="F484" s="6" t="s">
        <v>6920</v>
      </c>
      <c r="G484" s="6"/>
      <c r="H484" s="6"/>
      <c r="I484" s="6" t="s">
        <v>6921</v>
      </c>
      <c r="J484" s="6" t="s">
        <v>87</v>
      </c>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t="s">
        <v>91</v>
      </c>
      <c r="AN484" s="6" t="s">
        <v>113</v>
      </c>
      <c r="AO484" s="6"/>
      <c r="AP484" s="6"/>
      <c r="AQ484" s="6"/>
      <c r="AR484" s="6" t="s">
        <v>66</v>
      </c>
      <c r="AS484" s="6">
        <v>2024</v>
      </c>
      <c r="AT484" s="6">
        <v>61</v>
      </c>
      <c r="AU484" s="6">
        <v>8</v>
      </c>
      <c r="AV484" s="6"/>
      <c r="AW484" s="6"/>
      <c r="AX484" s="6"/>
      <c r="AY484" s="6"/>
      <c r="AZ484" s="6">
        <v>1620</v>
      </c>
      <c r="BA484" s="6">
        <v>1622</v>
      </c>
      <c r="BB484" s="6"/>
      <c r="BC484" s="6" t="s">
        <v>6922</v>
      </c>
      <c r="BD484" s="9" t="str">
        <f>HYPERLINK("http://dx.doi.org/10.1177/00420980241240961","http://dx.doi.org/10.1177/00420980241240961")</f>
        <v>http://dx.doi.org/10.1177/00420980241240961</v>
      </c>
      <c r="BE484" s="6"/>
      <c r="BF484" s="6" t="s">
        <v>6605</v>
      </c>
      <c r="BG484" s="6"/>
      <c r="BH484" s="6"/>
      <c r="BI484" s="6"/>
      <c r="BJ484" s="6" t="s">
        <v>6923</v>
      </c>
      <c r="BK484" s="6"/>
      <c r="BL484" s="6"/>
      <c r="BM484" s="6"/>
      <c r="BN484" s="6"/>
      <c r="BO484" s="6"/>
      <c r="BP484" s="6"/>
      <c r="BQ484" s="6"/>
      <c r="BR484" s="6"/>
      <c r="BS484" s="6"/>
      <c r="BT484" s="6"/>
      <c r="BU484" s="8" t="s">
        <v>7193</v>
      </c>
      <c r="BV484" s="8" t="s">
        <v>5215</v>
      </c>
      <c r="BW484" s="8" t="s">
        <v>7245</v>
      </c>
    </row>
    <row r="485" spans="1:75" ht="12.75" customHeight="1">
      <c r="A485" s="3" t="s">
        <v>63</v>
      </c>
      <c r="B485" s="3" t="s">
        <v>1562</v>
      </c>
      <c r="C485" s="3"/>
      <c r="D485" s="3"/>
      <c r="E485" s="3"/>
      <c r="F485" s="3" t="s">
        <v>1563</v>
      </c>
      <c r="G485" s="3"/>
      <c r="H485" s="3"/>
      <c r="I485" s="3" t="s">
        <v>1564</v>
      </c>
      <c r="J485" s="3" t="s">
        <v>1308</v>
      </c>
      <c r="K485" s="3"/>
      <c r="L485" s="3"/>
      <c r="M485" s="3"/>
      <c r="N485" s="3"/>
      <c r="O485" s="3"/>
      <c r="P485" s="3"/>
      <c r="Q485" s="3"/>
      <c r="R485" s="3"/>
      <c r="S485" s="3"/>
      <c r="T485" s="3" t="s">
        <v>1565</v>
      </c>
      <c r="U485" s="3"/>
      <c r="V485" s="3"/>
      <c r="W485" s="3"/>
      <c r="X485" s="3"/>
      <c r="Y485" s="3"/>
      <c r="Z485" s="3" t="s">
        <v>1566</v>
      </c>
      <c r="AA485" s="3"/>
      <c r="AB485" s="3"/>
      <c r="AC485" s="3"/>
      <c r="AD485" s="3"/>
      <c r="AE485" s="3"/>
      <c r="AF485" s="3"/>
      <c r="AG485" s="3"/>
      <c r="AH485" s="3"/>
      <c r="AI485" s="3"/>
      <c r="AJ485" s="3"/>
      <c r="AK485" s="3"/>
      <c r="AL485" s="3"/>
      <c r="AM485" s="3" t="s">
        <v>132</v>
      </c>
      <c r="AN485" s="3" t="s">
        <v>1310</v>
      </c>
      <c r="AO485" s="3"/>
      <c r="AP485" s="3"/>
      <c r="AQ485" s="3"/>
      <c r="AR485" s="3"/>
      <c r="AS485" s="3">
        <v>2014</v>
      </c>
      <c r="AT485" s="3">
        <v>46</v>
      </c>
      <c r="AU485" s="3">
        <v>3</v>
      </c>
      <c r="AV485" s="3"/>
      <c r="AW485" s="3"/>
      <c r="AX485" s="3"/>
      <c r="AY485" s="3"/>
      <c r="AZ485" s="3">
        <v>649</v>
      </c>
      <c r="BA485" s="3">
        <v>665</v>
      </c>
      <c r="BB485" s="3"/>
      <c r="BC485" s="3" t="s">
        <v>1567</v>
      </c>
      <c r="BD485" s="15" t="str">
        <f>HYPERLINK("http://dx.doi.org/10.1068/a45675","http://dx.doi.org/10.1068/a45675")</f>
        <v>http://dx.doi.org/10.1068/a45675</v>
      </c>
      <c r="BE485" s="3"/>
      <c r="BF485" s="3"/>
      <c r="BG485" s="3"/>
      <c r="BH485" s="3"/>
      <c r="BI485" s="3"/>
      <c r="BJ485" s="3" t="s">
        <v>1568</v>
      </c>
      <c r="BK485" s="3"/>
      <c r="BL485" s="3"/>
      <c r="BM485" s="3"/>
      <c r="BN485" s="3"/>
      <c r="BO485" s="3"/>
      <c r="BP485" s="3"/>
      <c r="BQ485" s="3"/>
      <c r="BR485" s="3"/>
      <c r="BS485" s="3"/>
      <c r="BT485" s="3"/>
      <c r="BU485" s="1" t="s">
        <v>7183</v>
      </c>
      <c r="BV485" s="2" t="s">
        <v>7214</v>
      </c>
      <c r="BW485" s="2" t="s">
        <v>7205</v>
      </c>
    </row>
    <row r="486" spans="1:75" ht="12.75" customHeight="1">
      <c r="A486" s="4" t="s">
        <v>63</v>
      </c>
      <c r="B486" s="4" t="s">
        <v>5742</v>
      </c>
      <c r="C486" s="4"/>
      <c r="D486" s="4"/>
      <c r="E486" s="4"/>
      <c r="F486" s="4" t="s">
        <v>5743</v>
      </c>
      <c r="G486" s="4"/>
      <c r="H486" s="4"/>
      <c r="I486" s="4" t="s">
        <v>5744</v>
      </c>
      <c r="J486" s="4" t="s">
        <v>1438</v>
      </c>
      <c r="K486" s="4"/>
      <c r="L486" s="4"/>
      <c r="M486" s="4"/>
      <c r="N486" s="4"/>
      <c r="O486" s="4"/>
      <c r="P486" s="4"/>
      <c r="Q486" s="4"/>
      <c r="R486" s="4"/>
      <c r="S486" s="4"/>
      <c r="T486" s="4" t="s">
        <v>5745</v>
      </c>
      <c r="U486" s="4"/>
      <c r="V486" s="4"/>
      <c r="W486" s="4"/>
      <c r="X486" s="4"/>
      <c r="Y486" s="4"/>
      <c r="Z486" s="4"/>
      <c r="AA486" s="4"/>
      <c r="AB486" s="4"/>
      <c r="AC486" s="4"/>
      <c r="AD486" s="4"/>
      <c r="AE486" s="4"/>
      <c r="AF486" s="4"/>
      <c r="AG486" s="4"/>
      <c r="AH486" s="4"/>
      <c r="AI486" s="4"/>
      <c r="AJ486" s="4"/>
      <c r="AK486" s="4"/>
      <c r="AL486" s="4"/>
      <c r="AM486" s="4" t="s">
        <v>1440</v>
      </c>
      <c r="AN486" s="4"/>
      <c r="AO486" s="4"/>
      <c r="AP486" s="4"/>
      <c r="AQ486" s="4"/>
      <c r="AR486" s="4"/>
      <c r="AS486" s="4">
        <v>2022</v>
      </c>
      <c r="AT486" s="4">
        <v>16</v>
      </c>
      <c r="AU486" s="4">
        <v>3</v>
      </c>
      <c r="AV486" s="4"/>
      <c r="AW486" s="4"/>
      <c r="AX486" s="4"/>
      <c r="AY486" s="4"/>
      <c r="AZ486" s="4">
        <v>38</v>
      </c>
      <c r="BA486" s="4">
        <v>57</v>
      </c>
      <c r="BB486" s="4"/>
      <c r="BC486" s="4"/>
      <c r="BD486" s="4"/>
      <c r="BE486" s="4"/>
      <c r="BF486" s="4"/>
      <c r="BG486" s="4"/>
      <c r="BH486" s="4"/>
      <c r="BI486" s="4"/>
      <c r="BJ486" s="4" t="s">
        <v>5746</v>
      </c>
      <c r="BK486" s="4"/>
      <c r="BL486" s="4"/>
      <c r="BM486" s="4"/>
      <c r="BN486" s="4"/>
      <c r="BO486" s="4"/>
      <c r="BP486" s="4"/>
      <c r="BQ486" s="4"/>
      <c r="BR486" s="4"/>
      <c r="BS486" s="4"/>
      <c r="BT486" s="4"/>
      <c r="BU486" s="12" t="s">
        <v>7413</v>
      </c>
      <c r="BV486" s="12" t="s">
        <v>7188</v>
      </c>
      <c r="BW486" s="12" t="s">
        <v>7189</v>
      </c>
    </row>
    <row r="487" spans="1:75" ht="12.75" customHeight="1">
      <c r="A487" s="4" t="s">
        <v>63</v>
      </c>
      <c r="B487" s="4" t="s">
        <v>3468</v>
      </c>
      <c r="C487" s="4"/>
      <c r="D487" s="4"/>
      <c r="E487" s="4"/>
      <c r="F487" s="4" t="s">
        <v>3469</v>
      </c>
      <c r="G487" s="4"/>
      <c r="H487" s="4"/>
      <c r="I487" s="4" t="s">
        <v>3470</v>
      </c>
      <c r="J487" s="4" t="s">
        <v>3471</v>
      </c>
      <c r="K487" s="4"/>
      <c r="L487" s="4"/>
      <c r="M487" s="4"/>
      <c r="N487" s="4"/>
      <c r="O487" s="4"/>
      <c r="P487" s="4"/>
      <c r="Q487" s="4"/>
      <c r="R487" s="4"/>
      <c r="S487" s="4"/>
      <c r="T487" s="4" t="s">
        <v>3472</v>
      </c>
      <c r="U487" s="4"/>
      <c r="V487" s="4"/>
      <c r="W487" s="4"/>
      <c r="X487" s="4"/>
      <c r="Y487" s="4" t="s">
        <v>3473</v>
      </c>
      <c r="Z487" s="4" t="s">
        <v>3474</v>
      </c>
      <c r="AA487" s="4"/>
      <c r="AB487" s="4"/>
      <c r="AC487" s="4"/>
      <c r="AD487" s="4"/>
      <c r="AE487" s="4"/>
      <c r="AF487" s="4"/>
      <c r="AG487" s="4"/>
      <c r="AH487" s="4"/>
      <c r="AI487" s="4"/>
      <c r="AJ487" s="4"/>
      <c r="AK487" s="4"/>
      <c r="AL487" s="4"/>
      <c r="AM487" s="4" t="s">
        <v>3475</v>
      </c>
      <c r="AN487" s="4" t="s">
        <v>3476</v>
      </c>
      <c r="AO487" s="4"/>
      <c r="AP487" s="4"/>
      <c r="AQ487" s="4"/>
      <c r="AR487" s="4"/>
      <c r="AS487" s="4">
        <v>2018</v>
      </c>
      <c r="AT487" s="4">
        <v>23</v>
      </c>
      <c r="AU487" s="4">
        <v>4</v>
      </c>
      <c r="AV487" s="4"/>
      <c r="AW487" s="4"/>
      <c r="AX487" s="4"/>
      <c r="AY487" s="4"/>
      <c r="AZ487" s="4">
        <v>414</v>
      </c>
      <c r="BA487" s="4">
        <v>430</v>
      </c>
      <c r="BB487" s="4"/>
      <c r="BC487" s="4" t="s">
        <v>3477</v>
      </c>
      <c r="BD487" s="5" t="str">
        <f>HYPERLINK("http://dx.doi.org/10.1080/13549839.2018.1426561","http://dx.doi.org/10.1080/13549839.2018.1426561")</f>
        <v>http://dx.doi.org/10.1080/13549839.2018.1426561</v>
      </c>
      <c r="BE487" s="4"/>
      <c r="BF487" s="4"/>
      <c r="BG487" s="4"/>
      <c r="BH487" s="4"/>
      <c r="BI487" s="4"/>
      <c r="BJ487" s="4" t="s">
        <v>3478</v>
      </c>
      <c r="BK487" s="4"/>
      <c r="BL487" s="4"/>
      <c r="BM487" s="4"/>
      <c r="BN487" s="4"/>
      <c r="BO487" s="4"/>
      <c r="BP487" s="4"/>
      <c r="BQ487" s="4"/>
      <c r="BR487" s="4"/>
      <c r="BS487" s="4"/>
      <c r="BT487" s="4"/>
      <c r="BU487" s="12" t="s">
        <v>7262</v>
      </c>
      <c r="BV487" s="12" t="s">
        <v>7188</v>
      </c>
      <c r="BW487" s="12" t="s">
        <v>7189</v>
      </c>
    </row>
    <row r="488" spans="1:75" ht="12.75" customHeight="1">
      <c r="A488" s="4" t="s">
        <v>63</v>
      </c>
      <c r="B488" s="4" t="s">
        <v>3479</v>
      </c>
      <c r="C488" s="4"/>
      <c r="D488" s="4"/>
      <c r="E488" s="4"/>
      <c r="F488" s="4" t="s">
        <v>3480</v>
      </c>
      <c r="G488" s="4"/>
      <c r="H488" s="4"/>
      <c r="I488" s="4" t="s">
        <v>3481</v>
      </c>
      <c r="J488" s="4" t="s">
        <v>905</v>
      </c>
      <c r="K488" s="4"/>
      <c r="L488" s="4"/>
      <c r="M488" s="4"/>
      <c r="N488" s="4"/>
      <c r="O488" s="4"/>
      <c r="P488" s="4"/>
      <c r="Q488" s="4"/>
      <c r="R488" s="4"/>
      <c r="S488" s="4"/>
      <c r="T488" s="4" t="s">
        <v>3482</v>
      </c>
      <c r="U488" s="4"/>
      <c r="V488" s="4"/>
      <c r="W488" s="4"/>
      <c r="X488" s="4"/>
      <c r="Y488" s="4" t="s">
        <v>1596</v>
      </c>
      <c r="Z488" s="4" t="s">
        <v>1597</v>
      </c>
      <c r="AA488" s="4"/>
      <c r="AB488" s="4"/>
      <c r="AC488" s="4"/>
      <c r="AD488" s="4"/>
      <c r="AE488" s="4"/>
      <c r="AF488" s="4"/>
      <c r="AG488" s="4"/>
      <c r="AH488" s="4"/>
      <c r="AI488" s="4"/>
      <c r="AJ488" s="4"/>
      <c r="AK488" s="4"/>
      <c r="AL488" s="4"/>
      <c r="AM488" s="4" t="s">
        <v>908</v>
      </c>
      <c r="AN488" s="4" t="s">
        <v>909</v>
      </c>
      <c r="AO488" s="4"/>
      <c r="AP488" s="4"/>
      <c r="AQ488" s="4"/>
      <c r="AR488" s="4" t="s">
        <v>92</v>
      </c>
      <c r="AS488" s="4">
        <v>2018</v>
      </c>
      <c r="AT488" s="4">
        <v>118</v>
      </c>
      <c r="AU488" s="4">
        <v>10</v>
      </c>
      <c r="AV488" s="4"/>
      <c r="AW488" s="4"/>
      <c r="AX488" s="4"/>
      <c r="AY488" s="4"/>
      <c r="AZ488" s="4">
        <v>1844</v>
      </c>
      <c r="BA488" s="4">
        <v>1854</v>
      </c>
      <c r="BB488" s="4"/>
      <c r="BC488" s="4" t="s">
        <v>3483</v>
      </c>
      <c r="BD488" s="5" t="str">
        <f>HYPERLINK("http://dx.doi.org/10.1016/j.jand.2018.04.017","http://dx.doi.org/10.1016/j.jand.2018.04.017")</f>
        <v>http://dx.doi.org/10.1016/j.jand.2018.04.017</v>
      </c>
      <c r="BE488" s="4"/>
      <c r="BF488" s="4"/>
      <c r="BG488" s="4"/>
      <c r="BH488" s="4"/>
      <c r="BI488" s="4">
        <v>30049654</v>
      </c>
      <c r="BJ488" s="4" t="s">
        <v>3484</v>
      </c>
      <c r="BK488" s="4"/>
      <c r="BL488" s="4"/>
      <c r="BM488" s="4"/>
      <c r="BN488" s="4"/>
      <c r="BO488" s="4"/>
      <c r="BP488" s="4"/>
      <c r="BQ488" s="4"/>
      <c r="BR488" s="4"/>
      <c r="BS488" s="4"/>
      <c r="BT488" s="4"/>
      <c r="BU488" s="12" t="s">
        <v>7247</v>
      </c>
      <c r="BV488" s="12" t="s">
        <v>7188</v>
      </c>
      <c r="BW488" s="12" t="s">
        <v>7189</v>
      </c>
    </row>
    <row r="489" spans="1:75" ht="12.75" customHeight="1">
      <c r="A489" s="4" t="s">
        <v>63</v>
      </c>
      <c r="B489" s="4" t="s">
        <v>5747</v>
      </c>
      <c r="C489" s="4"/>
      <c r="D489" s="4"/>
      <c r="E489" s="4"/>
      <c r="F489" s="4" t="s">
        <v>5748</v>
      </c>
      <c r="G489" s="4"/>
      <c r="H489" s="4"/>
      <c r="I489" s="4" t="s">
        <v>5749</v>
      </c>
      <c r="J489" s="4" t="s">
        <v>221</v>
      </c>
      <c r="K489" s="4"/>
      <c r="L489" s="4"/>
      <c r="M489" s="4"/>
      <c r="N489" s="4"/>
      <c r="O489" s="4"/>
      <c r="P489" s="4"/>
      <c r="Q489" s="4"/>
      <c r="R489" s="4"/>
      <c r="S489" s="4"/>
      <c r="T489" s="4" t="s">
        <v>5750</v>
      </c>
      <c r="U489" s="4"/>
      <c r="V489" s="4"/>
      <c r="W489" s="4"/>
      <c r="X489" s="4"/>
      <c r="Y489" s="4"/>
      <c r="Z489" s="4" t="s">
        <v>5751</v>
      </c>
      <c r="AA489" s="4"/>
      <c r="AB489" s="4"/>
      <c r="AC489" s="4"/>
      <c r="AD489" s="4"/>
      <c r="AE489" s="4"/>
      <c r="AF489" s="4"/>
      <c r="AG489" s="4"/>
      <c r="AH489" s="4"/>
      <c r="AI489" s="4"/>
      <c r="AJ489" s="4"/>
      <c r="AK489" s="4"/>
      <c r="AL489" s="4"/>
      <c r="AM489" s="4" t="s">
        <v>223</v>
      </c>
      <c r="AN489" s="4" t="s">
        <v>224</v>
      </c>
      <c r="AO489" s="4"/>
      <c r="AP489" s="4"/>
      <c r="AQ489" s="4"/>
      <c r="AR489" s="4" t="s">
        <v>82</v>
      </c>
      <c r="AS489" s="4">
        <v>2022</v>
      </c>
      <c r="AT489" s="4">
        <v>39</v>
      </c>
      <c r="AU489" s="4">
        <v>1</v>
      </c>
      <c r="AV489" s="4"/>
      <c r="AW489" s="4"/>
      <c r="AX489" s="4"/>
      <c r="AY489" s="4"/>
      <c r="AZ489" s="4">
        <v>95</v>
      </c>
      <c r="BA489" s="4">
        <v>117</v>
      </c>
      <c r="BB489" s="4"/>
      <c r="BC489" s="4" t="s">
        <v>5752</v>
      </c>
      <c r="BD489" s="5" t="str">
        <f>HYPERLINK("http://dx.doi.org/10.1007/s10460-021-10228-8","http://dx.doi.org/10.1007/s10460-021-10228-8")</f>
        <v>http://dx.doi.org/10.1007/s10460-021-10228-8</v>
      </c>
      <c r="BE489" s="4"/>
      <c r="BF489" s="4" t="s">
        <v>5167</v>
      </c>
      <c r="BG489" s="4"/>
      <c r="BH489" s="4"/>
      <c r="BI489" s="4">
        <v>34149165</v>
      </c>
      <c r="BJ489" s="4" t="s">
        <v>5753</v>
      </c>
      <c r="BK489" s="4"/>
      <c r="BL489" s="4"/>
      <c r="BM489" s="4"/>
      <c r="BN489" s="4"/>
      <c r="BO489" s="4"/>
      <c r="BP489" s="4"/>
      <c r="BQ489" s="4"/>
      <c r="BR489" s="4"/>
      <c r="BS489" s="4"/>
      <c r="BT489" s="4"/>
      <c r="BU489" s="12" t="s">
        <v>7310</v>
      </c>
      <c r="BV489" s="12" t="s">
        <v>7188</v>
      </c>
      <c r="BW489" s="12" t="s">
        <v>7189</v>
      </c>
    </row>
    <row r="490" spans="1:75" ht="12.75" customHeight="1">
      <c r="A490" s="6" t="s">
        <v>63</v>
      </c>
      <c r="B490" s="6" t="s">
        <v>2306</v>
      </c>
      <c r="C490" s="6"/>
      <c r="D490" s="6"/>
      <c r="E490" s="6"/>
      <c r="F490" s="6" t="s">
        <v>2307</v>
      </c>
      <c r="G490" s="6"/>
      <c r="H490" s="6"/>
      <c r="I490" s="6" t="s">
        <v>3864</v>
      </c>
      <c r="J490" s="6" t="s">
        <v>3865</v>
      </c>
      <c r="K490" s="6"/>
      <c r="L490" s="6"/>
      <c r="M490" s="6"/>
      <c r="N490" s="6"/>
      <c r="O490" s="6"/>
      <c r="P490" s="6"/>
      <c r="Q490" s="6"/>
      <c r="R490" s="6"/>
      <c r="S490" s="6"/>
      <c r="T490" s="6" t="s">
        <v>3866</v>
      </c>
      <c r="U490" s="6"/>
      <c r="V490" s="6"/>
      <c r="W490" s="6"/>
      <c r="X490" s="6"/>
      <c r="Y490" s="6"/>
      <c r="Z490" s="6" t="s">
        <v>2310</v>
      </c>
      <c r="AA490" s="6"/>
      <c r="AB490" s="6"/>
      <c r="AC490" s="6"/>
      <c r="AD490" s="6"/>
      <c r="AE490" s="6"/>
      <c r="AF490" s="6"/>
      <c r="AG490" s="6"/>
      <c r="AH490" s="6"/>
      <c r="AI490" s="6"/>
      <c r="AJ490" s="6"/>
      <c r="AK490" s="6"/>
      <c r="AL490" s="6"/>
      <c r="AM490" s="6" t="s">
        <v>3867</v>
      </c>
      <c r="AN490" s="6" t="s">
        <v>3868</v>
      </c>
      <c r="AO490" s="6"/>
      <c r="AP490" s="6"/>
      <c r="AQ490" s="6"/>
      <c r="AR490" s="6" t="s">
        <v>82</v>
      </c>
      <c r="AS490" s="6">
        <v>2019</v>
      </c>
      <c r="AT490" s="6">
        <v>18</v>
      </c>
      <c r="AU490" s="6">
        <v>1</v>
      </c>
      <c r="AV490" s="6"/>
      <c r="AW490" s="6"/>
      <c r="AX490" s="6"/>
      <c r="AY490" s="6"/>
      <c r="AZ490" s="6">
        <v>344</v>
      </c>
      <c r="BA490" s="6">
        <v>368</v>
      </c>
      <c r="BB490" s="6"/>
      <c r="BC490" s="6" t="s">
        <v>3869</v>
      </c>
      <c r="BD490" s="9" t="str">
        <f>HYPERLINK("http://dx.doi.org/10.1111/cico.12365","http://dx.doi.org/10.1111/cico.12365")</f>
        <v>http://dx.doi.org/10.1111/cico.12365</v>
      </c>
      <c r="BE490" s="6"/>
      <c r="BF490" s="6"/>
      <c r="BG490" s="6"/>
      <c r="BH490" s="6"/>
      <c r="BI490" s="6"/>
      <c r="BJ490" s="6" t="s">
        <v>3870</v>
      </c>
      <c r="BK490" s="6"/>
      <c r="BL490" s="6"/>
      <c r="BM490" s="6"/>
      <c r="BN490" s="6"/>
      <c r="BO490" s="6"/>
      <c r="BP490" s="6"/>
      <c r="BQ490" s="6"/>
      <c r="BR490" s="6"/>
      <c r="BS490" s="6"/>
      <c r="BT490" s="6"/>
      <c r="BU490" s="8" t="s">
        <v>7193</v>
      </c>
      <c r="BV490" s="8" t="s">
        <v>7188</v>
      </c>
      <c r="BW490" s="8" t="s">
        <v>7189</v>
      </c>
    </row>
    <row r="491" spans="1:75" ht="12.75" customHeight="1">
      <c r="A491" s="7" t="s">
        <v>63</v>
      </c>
      <c r="B491" s="7" t="s">
        <v>3001</v>
      </c>
      <c r="C491" s="7"/>
      <c r="D491" s="7"/>
      <c r="E491" s="7"/>
      <c r="F491" s="7" t="s">
        <v>3002</v>
      </c>
      <c r="G491" s="7"/>
      <c r="H491" s="7"/>
      <c r="I491" s="7" t="s">
        <v>3003</v>
      </c>
      <c r="J491" s="7" t="s">
        <v>1221</v>
      </c>
      <c r="K491" s="7"/>
      <c r="L491" s="7"/>
      <c r="M491" s="7"/>
      <c r="N491" s="7" t="s">
        <v>2950</v>
      </c>
      <c r="O491" s="7" t="s">
        <v>2542</v>
      </c>
      <c r="P491" s="7" t="s">
        <v>2951</v>
      </c>
      <c r="Q491" s="7"/>
      <c r="R491" s="7"/>
      <c r="S491" s="7"/>
      <c r="T491" s="7"/>
      <c r="U491" s="7"/>
      <c r="V491" s="7"/>
      <c r="W491" s="7"/>
      <c r="X491" s="7"/>
      <c r="Y491" s="7"/>
      <c r="Z491" s="7"/>
      <c r="AA491" s="7"/>
      <c r="AB491" s="7"/>
      <c r="AC491" s="7"/>
      <c r="AD491" s="7"/>
      <c r="AE491" s="7"/>
      <c r="AF491" s="7"/>
      <c r="AG491" s="7"/>
      <c r="AH491" s="7"/>
      <c r="AI491" s="7"/>
      <c r="AJ491" s="7"/>
      <c r="AK491" s="7"/>
      <c r="AL491" s="7"/>
      <c r="AM491" s="7" t="s">
        <v>1225</v>
      </c>
      <c r="AN491" s="7" t="s">
        <v>2019</v>
      </c>
      <c r="AO491" s="7"/>
      <c r="AP491" s="7"/>
      <c r="AQ491" s="7"/>
      <c r="AR491" s="7" t="s">
        <v>68</v>
      </c>
      <c r="AS491" s="7">
        <v>2017</v>
      </c>
      <c r="AT491" s="7">
        <v>31</v>
      </c>
      <c r="AU491" s="7"/>
      <c r="AV491" s="7"/>
      <c r="AW491" s="7">
        <v>1</v>
      </c>
      <c r="AX491" s="7"/>
      <c r="AY491" s="7">
        <v>45.5</v>
      </c>
      <c r="AZ491" s="7"/>
      <c r="BA491" s="7"/>
      <c r="BB491" s="7"/>
      <c r="BC491" s="7"/>
      <c r="BD491" s="7"/>
      <c r="BE491" s="7"/>
      <c r="BF491" s="7"/>
      <c r="BG491" s="7"/>
      <c r="BH491" s="7"/>
      <c r="BI491" s="7"/>
      <c r="BJ491" s="7" t="s">
        <v>3004</v>
      </c>
      <c r="BK491" s="7"/>
      <c r="BL491" s="7"/>
      <c r="BM491" s="7"/>
      <c r="BN491" s="7"/>
      <c r="BO491" s="7"/>
      <c r="BP491" s="7"/>
      <c r="BQ491" s="7"/>
      <c r="BR491" s="7"/>
      <c r="BS491" s="7"/>
      <c r="BT491" s="7"/>
      <c r="BU491" s="1" t="s">
        <v>7414</v>
      </c>
      <c r="BV491" s="10" t="s">
        <v>7188</v>
      </c>
      <c r="BW491" s="10" t="s">
        <v>7189</v>
      </c>
    </row>
    <row r="492" spans="1:75" ht="12.75" customHeight="1">
      <c r="A492" s="4" t="s">
        <v>63</v>
      </c>
      <c r="B492" s="4" t="s">
        <v>1933</v>
      </c>
      <c r="C492" s="4"/>
      <c r="D492" s="4"/>
      <c r="E492" s="4"/>
      <c r="F492" s="4" t="s">
        <v>1934</v>
      </c>
      <c r="G492" s="4"/>
      <c r="H492" s="4"/>
      <c r="I492" s="4" t="s">
        <v>1935</v>
      </c>
      <c r="J492" s="4" t="s">
        <v>1936</v>
      </c>
      <c r="K492" s="4"/>
      <c r="L492" s="4"/>
      <c r="M492" s="4"/>
      <c r="N492" s="4" t="s">
        <v>1937</v>
      </c>
      <c r="O492" s="4" t="s">
        <v>1223</v>
      </c>
      <c r="P492" s="4" t="s">
        <v>1938</v>
      </c>
      <c r="Q492" s="4"/>
      <c r="R492" s="4"/>
      <c r="S492" s="4"/>
      <c r="T492" s="4"/>
      <c r="U492" s="4"/>
      <c r="V492" s="4"/>
      <c r="W492" s="4"/>
      <c r="X492" s="4"/>
      <c r="Y492" s="4" t="s">
        <v>1939</v>
      </c>
      <c r="Z492" s="4"/>
      <c r="AA492" s="4"/>
      <c r="AB492" s="4"/>
      <c r="AC492" s="4"/>
      <c r="AD492" s="4"/>
      <c r="AE492" s="4"/>
      <c r="AF492" s="4"/>
      <c r="AG492" s="4"/>
      <c r="AH492" s="4"/>
      <c r="AI492" s="4"/>
      <c r="AJ492" s="4"/>
      <c r="AK492" s="4"/>
      <c r="AL492" s="4"/>
      <c r="AM492" s="4" t="s">
        <v>1940</v>
      </c>
      <c r="AN492" s="4" t="s">
        <v>1941</v>
      </c>
      <c r="AO492" s="4"/>
      <c r="AP492" s="4"/>
      <c r="AQ492" s="4"/>
      <c r="AR492" s="4" t="s">
        <v>66</v>
      </c>
      <c r="AS492" s="4">
        <v>2015</v>
      </c>
      <c r="AT492" s="4">
        <v>64</v>
      </c>
      <c r="AU492" s="4"/>
      <c r="AV492" s="4"/>
      <c r="AW492" s="4">
        <v>1</v>
      </c>
      <c r="AX492" s="4"/>
      <c r="AY492" s="4" t="s">
        <v>1942</v>
      </c>
      <c r="AZ492" s="4" t="s">
        <v>1943</v>
      </c>
      <c r="BA492" s="4" t="s">
        <v>1943</v>
      </c>
      <c r="BB492" s="4"/>
      <c r="BC492" s="4"/>
      <c r="BD492" s="4"/>
      <c r="BE492" s="4"/>
      <c r="BF492" s="4"/>
      <c r="BG492" s="4"/>
      <c r="BH492" s="4"/>
      <c r="BI492" s="4"/>
      <c r="BJ492" s="4" t="s">
        <v>1944</v>
      </c>
      <c r="BK492" s="4"/>
      <c r="BL492" s="4"/>
      <c r="BM492" s="4"/>
      <c r="BN492" s="4"/>
      <c r="BO492" s="4"/>
      <c r="BP492" s="4"/>
      <c r="BQ492" s="4"/>
      <c r="BR492" s="4"/>
      <c r="BS492" s="4"/>
      <c r="BT492" s="4"/>
      <c r="BU492" s="12" t="s">
        <v>7193</v>
      </c>
      <c r="BV492" s="12" t="s">
        <v>7188</v>
      </c>
      <c r="BW492" s="12" t="s">
        <v>7189</v>
      </c>
    </row>
    <row r="493" spans="1:75" ht="12.75">
      <c r="A493" s="4" t="s">
        <v>63</v>
      </c>
      <c r="B493" s="4" t="s">
        <v>665</v>
      </c>
      <c r="C493" s="4"/>
      <c r="D493" s="4"/>
      <c r="E493" s="4"/>
      <c r="F493" s="4" t="s">
        <v>666</v>
      </c>
      <c r="G493" s="4"/>
      <c r="H493" s="4"/>
      <c r="I493" s="4" t="s">
        <v>667</v>
      </c>
      <c r="J493" s="4" t="s">
        <v>668</v>
      </c>
      <c r="K493" s="4"/>
      <c r="L493" s="4"/>
      <c r="M493" s="4"/>
      <c r="N493" s="4"/>
      <c r="O493" s="4"/>
      <c r="P493" s="4"/>
      <c r="Q493" s="4"/>
      <c r="R493" s="4"/>
      <c r="S493" s="4"/>
      <c r="T493" s="4" t="s">
        <v>669</v>
      </c>
      <c r="U493" s="4"/>
      <c r="V493" s="4"/>
      <c r="W493" s="4"/>
      <c r="X493" s="4"/>
      <c r="Y493" s="4" t="s">
        <v>670</v>
      </c>
      <c r="Z493" s="4" t="s">
        <v>671</v>
      </c>
      <c r="AA493" s="4"/>
      <c r="AB493" s="4"/>
      <c r="AC493" s="4"/>
      <c r="AD493" s="4"/>
      <c r="AE493" s="4"/>
      <c r="AF493" s="4"/>
      <c r="AG493" s="4"/>
      <c r="AH493" s="4"/>
      <c r="AI493" s="4"/>
      <c r="AJ493" s="4"/>
      <c r="AK493" s="4"/>
      <c r="AL493" s="4"/>
      <c r="AM493" s="4" t="s">
        <v>672</v>
      </c>
      <c r="AN493" s="4" t="s">
        <v>673</v>
      </c>
      <c r="AO493" s="4"/>
      <c r="AP493" s="4"/>
      <c r="AQ493" s="4"/>
      <c r="AR493" s="4"/>
      <c r="AS493" s="4">
        <v>2011</v>
      </c>
      <c r="AT493" s="4">
        <v>26</v>
      </c>
      <c r="AU493" s="4">
        <v>2</v>
      </c>
      <c r="AV493" s="4"/>
      <c r="AW493" s="4"/>
      <c r="AX493" s="4"/>
      <c r="AY493" s="4"/>
      <c r="AZ493" s="4">
        <v>122</v>
      </c>
      <c r="BA493" s="4">
        <v>143</v>
      </c>
      <c r="BB493" s="4"/>
      <c r="BC493" s="4" t="s">
        <v>674</v>
      </c>
      <c r="BD493" s="5" t="str">
        <f>HYPERLINK("http://dx.doi.org/10.1080/15555240.2011.573754","http://dx.doi.org/10.1080/15555240.2011.573754")</f>
        <v>http://dx.doi.org/10.1080/15555240.2011.573754</v>
      </c>
      <c r="BE493" s="4"/>
      <c r="BF493" s="4"/>
      <c r="BG493" s="4"/>
      <c r="BH493" s="4"/>
      <c r="BI493" s="4"/>
      <c r="BJ493" s="4" t="s">
        <v>675</v>
      </c>
      <c r="BK493" s="4"/>
      <c r="BL493" s="4"/>
      <c r="BM493" s="4"/>
      <c r="BN493" s="4"/>
      <c r="BO493" s="4"/>
      <c r="BP493" s="4"/>
      <c r="BQ493" s="4"/>
      <c r="BR493" s="4"/>
      <c r="BS493" s="4"/>
      <c r="BT493" s="4"/>
      <c r="BU493" s="12" t="s">
        <v>7193</v>
      </c>
      <c r="BV493" s="12" t="s">
        <v>7188</v>
      </c>
      <c r="BW493" s="12" t="s">
        <v>7189</v>
      </c>
    </row>
    <row r="494" spans="1:75" ht="12.75" customHeight="1">
      <c r="A494" s="4" t="s">
        <v>63</v>
      </c>
      <c r="B494" s="4" t="s">
        <v>5754</v>
      </c>
      <c r="C494" s="4"/>
      <c r="D494" s="4"/>
      <c r="E494" s="4"/>
      <c r="F494" s="4" t="s">
        <v>5755</v>
      </c>
      <c r="G494" s="4"/>
      <c r="H494" s="4"/>
      <c r="I494" s="4" t="s">
        <v>5756</v>
      </c>
      <c r="J494" s="4" t="s">
        <v>2814</v>
      </c>
      <c r="K494" s="4"/>
      <c r="L494" s="4"/>
      <c r="M494" s="4"/>
      <c r="N494" s="4"/>
      <c r="O494" s="4"/>
      <c r="P494" s="4"/>
      <c r="Q494" s="4"/>
      <c r="R494" s="4"/>
      <c r="S494" s="4"/>
      <c r="T494" s="4" t="s">
        <v>5757</v>
      </c>
      <c r="U494" s="4"/>
      <c r="V494" s="4"/>
      <c r="W494" s="4"/>
      <c r="X494" s="4"/>
      <c r="Y494" s="4" t="s">
        <v>5758</v>
      </c>
      <c r="Z494" s="4" t="s">
        <v>5759</v>
      </c>
      <c r="AA494" s="4"/>
      <c r="AB494" s="4"/>
      <c r="AC494" s="4"/>
      <c r="AD494" s="4"/>
      <c r="AE494" s="4"/>
      <c r="AF494" s="4"/>
      <c r="AG494" s="4"/>
      <c r="AH494" s="4"/>
      <c r="AI494" s="4"/>
      <c r="AJ494" s="4"/>
      <c r="AK494" s="4"/>
      <c r="AL494" s="4"/>
      <c r="AM494" s="4" t="s">
        <v>2816</v>
      </c>
      <c r="AN494" s="4"/>
      <c r="AO494" s="4"/>
      <c r="AP494" s="4"/>
      <c r="AQ494" s="4"/>
      <c r="AR494" s="4" t="s">
        <v>68</v>
      </c>
      <c r="AS494" s="4">
        <v>2022</v>
      </c>
      <c r="AT494" s="4">
        <v>8</v>
      </c>
      <c r="AU494" s="4">
        <v>2</v>
      </c>
      <c r="AV494" s="4"/>
      <c r="AW494" s="4"/>
      <c r="AX494" s="4"/>
      <c r="AY494" s="4"/>
      <c r="AZ494" s="4">
        <v>233</v>
      </c>
      <c r="BA494" s="4">
        <v>246</v>
      </c>
      <c r="BB494" s="4"/>
      <c r="BC494" s="4" t="s">
        <v>5760</v>
      </c>
      <c r="BD494" s="5" t="str">
        <f>HYPERLINK("http://dx.doi.org/10.1002/osp4.563","http://dx.doi.org/10.1002/osp4.563")</f>
        <v>http://dx.doi.org/10.1002/osp4.563</v>
      </c>
      <c r="BE494" s="4"/>
      <c r="BF494" s="4" t="s">
        <v>5761</v>
      </c>
      <c r="BG494" s="4"/>
      <c r="BH494" s="4"/>
      <c r="BI494" s="4">
        <v>35388348</v>
      </c>
      <c r="BJ494" s="4" t="s">
        <v>5762</v>
      </c>
      <c r="BK494" s="4"/>
      <c r="BL494" s="4"/>
      <c r="BM494" s="4"/>
      <c r="BN494" s="4"/>
      <c r="BO494" s="4"/>
      <c r="BP494" s="4"/>
      <c r="BQ494" s="4"/>
      <c r="BR494" s="4"/>
      <c r="BS494" s="4"/>
      <c r="BT494" s="4"/>
      <c r="BU494" s="12" t="s">
        <v>7201</v>
      </c>
      <c r="BV494" s="12" t="s">
        <v>7214</v>
      </c>
      <c r="BW494" s="12" t="s">
        <v>7205</v>
      </c>
    </row>
    <row r="495" spans="1:75" ht="12.75" customHeight="1">
      <c r="A495" s="3" t="s">
        <v>63</v>
      </c>
      <c r="B495" s="3" t="s">
        <v>3871</v>
      </c>
      <c r="C495" s="3"/>
      <c r="D495" s="3"/>
      <c r="E495" s="3"/>
      <c r="F495" s="3" t="s">
        <v>3872</v>
      </c>
      <c r="G495" s="3"/>
      <c r="H495" s="3"/>
      <c r="I495" s="3" t="s">
        <v>3873</v>
      </c>
      <c r="J495" s="3" t="s">
        <v>1361</v>
      </c>
      <c r="K495" s="3"/>
      <c r="L495" s="3"/>
      <c r="M495" s="3"/>
      <c r="N495" s="3"/>
      <c r="O495" s="3"/>
      <c r="P495" s="3"/>
      <c r="Q495" s="3"/>
      <c r="R495" s="3"/>
      <c r="S495" s="3"/>
      <c r="T495" s="3" t="s">
        <v>3874</v>
      </c>
      <c r="U495" s="3"/>
      <c r="V495" s="3"/>
      <c r="W495" s="3"/>
      <c r="X495" s="3"/>
      <c r="Y495" s="3" t="s">
        <v>3875</v>
      </c>
      <c r="Z495" s="3" t="s">
        <v>3876</v>
      </c>
      <c r="AA495" s="3"/>
      <c r="AB495" s="3"/>
      <c r="AC495" s="3"/>
      <c r="AD495" s="3"/>
      <c r="AE495" s="3"/>
      <c r="AF495" s="3"/>
      <c r="AG495" s="3"/>
      <c r="AH495" s="3"/>
      <c r="AI495" s="3"/>
      <c r="AJ495" s="3"/>
      <c r="AK495" s="3"/>
      <c r="AL495" s="3"/>
      <c r="AM495" s="3" t="s">
        <v>1363</v>
      </c>
      <c r="AN495" s="3" t="s">
        <v>1364</v>
      </c>
      <c r="AO495" s="3"/>
      <c r="AP495" s="3"/>
      <c r="AQ495" s="3"/>
      <c r="AR495" s="3"/>
      <c r="AS495" s="3">
        <v>2019</v>
      </c>
      <c r="AT495" s="3">
        <v>50</v>
      </c>
      <c r="AU495" s="3">
        <v>2</v>
      </c>
      <c r="AV495" s="3"/>
      <c r="AW495" s="3"/>
      <c r="AX495" s="3" t="s">
        <v>569</v>
      </c>
      <c r="AY495" s="3"/>
      <c r="AZ495" s="3">
        <v>217</v>
      </c>
      <c r="BA495" s="3">
        <v>237</v>
      </c>
      <c r="BB495" s="3"/>
      <c r="BC495" s="3" t="s">
        <v>3877</v>
      </c>
      <c r="BD495" s="15" t="str">
        <f>HYPERLINK("http://dx.doi.org/10.1080/15575330.2018.1527778","http://dx.doi.org/10.1080/15575330.2018.1527778")</f>
        <v>http://dx.doi.org/10.1080/15575330.2018.1527778</v>
      </c>
      <c r="BE495" s="3"/>
      <c r="BF495" s="3"/>
      <c r="BG495" s="3"/>
      <c r="BH495" s="3"/>
      <c r="BI495" s="3"/>
      <c r="BJ495" s="3" t="s">
        <v>3878</v>
      </c>
      <c r="BK495" s="3"/>
      <c r="BL495" s="3"/>
      <c r="BM495" s="3"/>
      <c r="BN495" s="3"/>
      <c r="BO495" s="3"/>
      <c r="BP495" s="3"/>
      <c r="BQ495" s="3"/>
      <c r="BR495" s="3"/>
      <c r="BS495" s="3"/>
      <c r="BT495" s="3"/>
      <c r="BU495" s="2" t="s">
        <v>7193</v>
      </c>
      <c r="BV495" s="10" t="s">
        <v>7188</v>
      </c>
      <c r="BW495" s="10" t="s">
        <v>7189</v>
      </c>
    </row>
    <row r="496" spans="1:75" ht="12.75" customHeight="1">
      <c r="A496" s="4" t="s">
        <v>63</v>
      </c>
      <c r="B496" s="4" t="s">
        <v>3005</v>
      </c>
      <c r="C496" s="4"/>
      <c r="D496" s="4"/>
      <c r="E496" s="4"/>
      <c r="F496" s="4" t="s">
        <v>3006</v>
      </c>
      <c r="G496" s="4"/>
      <c r="H496" s="4"/>
      <c r="I496" s="4" t="s">
        <v>3007</v>
      </c>
      <c r="J496" s="4" t="s">
        <v>3008</v>
      </c>
      <c r="K496" s="4"/>
      <c r="L496" s="4"/>
      <c r="M496" s="4"/>
      <c r="N496" s="4"/>
      <c r="O496" s="4"/>
      <c r="P496" s="4"/>
      <c r="Q496" s="4"/>
      <c r="R496" s="4"/>
      <c r="S496" s="4"/>
      <c r="T496" s="4" t="s">
        <v>3009</v>
      </c>
      <c r="U496" s="4"/>
      <c r="V496" s="4"/>
      <c r="W496" s="4"/>
      <c r="X496" s="4"/>
      <c r="Y496" s="4" t="s">
        <v>1059</v>
      </c>
      <c r="Z496" s="4"/>
      <c r="AA496" s="4"/>
      <c r="AB496" s="4"/>
      <c r="AC496" s="4"/>
      <c r="AD496" s="4"/>
      <c r="AE496" s="4"/>
      <c r="AF496" s="4"/>
      <c r="AG496" s="4"/>
      <c r="AH496" s="4"/>
      <c r="AI496" s="4"/>
      <c r="AJ496" s="4"/>
      <c r="AK496" s="4"/>
      <c r="AL496" s="4"/>
      <c r="AM496" s="4" t="s">
        <v>3010</v>
      </c>
      <c r="AN496" s="4" t="s">
        <v>3011</v>
      </c>
      <c r="AO496" s="4"/>
      <c r="AP496" s="4"/>
      <c r="AQ496" s="4"/>
      <c r="AR496" s="4" t="s">
        <v>65</v>
      </c>
      <c r="AS496" s="4">
        <v>2017</v>
      </c>
      <c r="AT496" s="4">
        <v>24</v>
      </c>
      <c r="AU496" s="4">
        <v>4</v>
      </c>
      <c r="AV496" s="4"/>
      <c r="AW496" s="4"/>
      <c r="AX496" s="4"/>
      <c r="AY496" s="4"/>
      <c r="AZ496" s="4">
        <v>43</v>
      </c>
      <c r="BA496" s="4">
        <v>52</v>
      </c>
      <c r="BB496" s="4"/>
      <c r="BC496" s="4" t="s">
        <v>3012</v>
      </c>
      <c r="BD496" s="5" t="str">
        <f>HYPERLINK("http://dx.doi.org/10.1177/1757975916636792","http://dx.doi.org/10.1177/1757975916636792")</f>
        <v>http://dx.doi.org/10.1177/1757975916636792</v>
      </c>
      <c r="BE496" s="4"/>
      <c r="BF496" s="4"/>
      <c r="BG496" s="4"/>
      <c r="BH496" s="4"/>
      <c r="BI496" s="4">
        <v>27312335</v>
      </c>
      <c r="BJ496" s="4" t="s">
        <v>3013</v>
      </c>
      <c r="BK496" s="4"/>
      <c r="BL496" s="4"/>
      <c r="BM496" s="4"/>
      <c r="BN496" s="4"/>
      <c r="BO496" s="4"/>
      <c r="BP496" s="4"/>
      <c r="BQ496" s="4"/>
      <c r="BR496" s="4"/>
      <c r="BS496" s="4"/>
      <c r="BT496" s="4"/>
      <c r="BU496" s="12" t="s">
        <v>7415</v>
      </c>
      <c r="BV496" s="12" t="s">
        <v>7188</v>
      </c>
      <c r="BW496" s="12" t="s">
        <v>7189</v>
      </c>
    </row>
    <row r="497" spans="1:75" ht="12.75" customHeight="1">
      <c r="A497" s="3" t="s">
        <v>63</v>
      </c>
      <c r="B497" s="3" t="s">
        <v>614</v>
      </c>
      <c r="C497" s="3"/>
      <c r="D497" s="3"/>
      <c r="E497" s="3"/>
      <c r="F497" s="3" t="s">
        <v>615</v>
      </c>
      <c r="G497" s="3"/>
      <c r="H497" s="3"/>
      <c r="I497" s="3" t="s">
        <v>1204</v>
      </c>
      <c r="J497" s="3" t="s">
        <v>493</v>
      </c>
      <c r="K497" s="3"/>
      <c r="L497" s="3"/>
      <c r="M497" s="3"/>
      <c r="N497" s="3"/>
      <c r="O497" s="3"/>
      <c r="P497" s="3"/>
      <c r="Q497" s="3"/>
      <c r="R497" s="3"/>
      <c r="S497" s="3"/>
      <c r="T497" s="3" t="s">
        <v>1205</v>
      </c>
      <c r="U497" s="3"/>
      <c r="V497" s="3"/>
      <c r="W497" s="3"/>
      <c r="X497" s="3"/>
      <c r="Y497" s="3" t="s">
        <v>286</v>
      </c>
      <c r="Z497" s="3" t="s">
        <v>1206</v>
      </c>
      <c r="AA497" s="3"/>
      <c r="AB497" s="3"/>
      <c r="AC497" s="3"/>
      <c r="AD497" s="3"/>
      <c r="AE497" s="3"/>
      <c r="AF497" s="3"/>
      <c r="AG497" s="3"/>
      <c r="AH497" s="3"/>
      <c r="AI497" s="3"/>
      <c r="AJ497" s="3"/>
      <c r="AK497" s="3"/>
      <c r="AL497" s="3"/>
      <c r="AM497" s="3" t="s">
        <v>495</v>
      </c>
      <c r="AN497" s="3" t="s">
        <v>496</v>
      </c>
      <c r="AO497" s="3"/>
      <c r="AP497" s="3"/>
      <c r="AQ497" s="3"/>
      <c r="AR497" s="3" t="s">
        <v>92</v>
      </c>
      <c r="AS497" s="3">
        <v>2013</v>
      </c>
      <c r="AT497" s="3">
        <v>35</v>
      </c>
      <c r="AU497" s="3">
        <v>4</v>
      </c>
      <c r="AV497" s="3"/>
      <c r="AW497" s="3"/>
      <c r="AX497" s="3"/>
      <c r="AY497" s="3"/>
      <c r="AZ497" s="3">
        <v>471</v>
      </c>
      <c r="BA497" s="3">
        <v>491</v>
      </c>
      <c r="BB497" s="3"/>
      <c r="BC497" s="3" t="s">
        <v>1207</v>
      </c>
      <c r="BD497" s="15" t="str">
        <f>HYPERLINK("http://dx.doi.org/10.1111/j.1467-9906.2012.00624.x","http://dx.doi.org/10.1111/j.1467-9906.2012.00624.x")</f>
        <v>http://dx.doi.org/10.1111/j.1467-9906.2012.00624.x</v>
      </c>
      <c r="BE497" s="3"/>
      <c r="BF497" s="3"/>
      <c r="BG497" s="3"/>
      <c r="BH497" s="3"/>
      <c r="BI497" s="3"/>
      <c r="BJ497" s="3" t="s">
        <v>1208</v>
      </c>
      <c r="BK497" s="3"/>
      <c r="BL497" s="3"/>
      <c r="BM497" s="3"/>
      <c r="BN497" s="3"/>
      <c r="BO497" s="3"/>
      <c r="BP497" s="3"/>
      <c r="BQ497" s="3"/>
      <c r="BR497" s="3"/>
      <c r="BS497" s="3"/>
      <c r="BT497" s="3"/>
      <c r="BU497" s="1" t="s">
        <v>7191</v>
      </c>
      <c r="BV497" s="10" t="s">
        <v>7188</v>
      </c>
      <c r="BW497" s="10" t="s">
        <v>7189</v>
      </c>
    </row>
    <row r="498" spans="1:75" ht="12.75" customHeight="1">
      <c r="A498" s="3" t="s">
        <v>63</v>
      </c>
      <c r="B498" s="3" t="s">
        <v>5018</v>
      </c>
      <c r="C498" s="3"/>
      <c r="D498" s="3"/>
      <c r="E498" s="3"/>
      <c r="F498" s="3" t="s">
        <v>5019</v>
      </c>
      <c r="G498" s="3"/>
      <c r="H498" s="3"/>
      <c r="I498" s="3" t="s">
        <v>5020</v>
      </c>
      <c r="J498" s="3" t="s">
        <v>1884</v>
      </c>
      <c r="K498" s="3"/>
      <c r="L498" s="3"/>
      <c r="M498" s="3"/>
      <c r="N498" s="3"/>
      <c r="O498" s="3"/>
      <c r="P498" s="3"/>
      <c r="Q498" s="3"/>
      <c r="R498" s="3"/>
      <c r="S498" s="3"/>
      <c r="T498" s="3" t="s">
        <v>5021</v>
      </c>
      <c r="U498" s="3"/>
      <c r="V498" s="3"/>
      <c r="W498" s="3"/>
      <c r="X498" s="3"/>
      <c r="Y498" s="3" t="s">
        <v>5022</v>
      </c>
      <c r="Z498" s="3" t="s">
        <v>5023</v>
      </c>
      <c r="AA498" s="3"/>
      <c r="AB498" s="3"/>
      <c r="AC498" s="3"/>
      <c r="AD498" s="3"/>
      <c r="AE498" s="3"/>
      <c r="AF498" s="3"/>
      <c r="AG498" s="3"/>
      <c r="AH498" s="3"/>
      <c r="AI498" s="3"/>
      <c r="AJ498" s="3"/>
      <c r="AK498" s="3"/>
      <c r="AL498" s="3"/>
      <c r="AM498" s="3" t="s">
        <v>1888</v>
      </c>
      <c r="AN498" s="3" t="s">
        <v>1889</v>
      </c>
      <c r="AO498" s="3"/>
      <c r="AP498" s="3"/>
      <c r="AQ498" s="3"/>
      <c r="AR498" s="3" t="s">
        <v>66</v>
      </c>
      <c r="AS498" s="3">
        <v>2021</v>
      </c>
      <c r="AT498" s="3">
        <v>13</v>
      </c>
      <c r="AU498" s="3">
        <v>3</v>
      </c>
      <c r="AV498" s="3"/>
      <c r="AW498" s="3"/>
      <c r="AX498" s="3"/>
      <c r="AY498" s="3"/>
      <c r="AZ498" s="3">
        <v>539</v>
      </c>
      <c r="BA498" s="3">
        <v>549</v>
      </c>
      <c r="BB498" s="3"/>
      <c r="BC498" s="3" t="s">
        <v>5024</v>
      </c>
      <c r="BD498" s="15" t="str">
        <f>HYPERLINK("http://dx.doi.org/10.1007/s12571-020-01116-w","http://dx.doi.org/10.1007/s12571-020-01116-w")</f>
        <v>http://dx.doi.org/10.1007/s12571-020-01116-w</v>
      </c>
      <c r="BE498" s="3"/>
      <c r="BF498" s="3" t="s">
        <v>5025</v>
      </c>
      <c r="BG498" s="3"/>
      <c r="BH498" s="3"/>
      <c r="BI498" s="3"/>
      <c r="BJ498" s="3" t="s">
        <v>5026</v>
      </c>
      <c r="BK498" s="3"/>
      <c r="BL498" s="3"/>
      <c r="BM498" s="3"/>
      <c r="BN498" s="3"/>
      <c r="BO498" s="3"/>
      <c r="BP498" s="3"/>
      <c r="BQ498" s="3"/>
      <c r="BR498" s="3"/>
      <c r="BS498" s="3"/>
      <c r="BT498" s="3"/>
      <c r="BU498" s="1" t="s">
        <v>7416</v>
      </c>
      <c r="BV498" s="2" t="s">
        <v>3516</v>
      </c>
      <c r="BW498" s="2" t="s">
        <v>7196</v>
      </c>
    </row>
    <row r="499" spans="1:75" ht="12.75" customHeight="1">
      <c r="A499" s="3" t="s">
        <v>63</v>
      </c>
      <c r="B499" s="3" t="s">
        <v>6924</v>
      </c>
      <c r="C499" s="3"/>
      <c r="D499" s="3"/>
      <c r="E499" s="3"/>
      <c r="F499" s="3" t="s">
        <v>6925</v>
      </c>
      <c r="G499" s="3"/>
      <c r="H499" s="3"/>
      <c r="I499" s="3" t="s">
        <v>6926</v>
      </c>
      <c r="J499" s="3" t="s">
        <v>6736</v>
      </c>
      <c r="K499" s="3"/>
      <c r="L499" s="3"/>
      <c r="M499" s="3"/>
      <c r="N499" s="3"/>
      <c r="O499" s="3"/>
      <c r="P499" s="3"/>
      <c r="Q499" s="3"/>
      <c r="R499" s="3"/>
      <c r="S499" s="3"/>
      <c r="T499" s="3" t="s">
        <v>6927</v>
      </c>
      <c r="U499" s="3"/>
      <c r="V499" s="3"/>
      <c r="W499" s="3"/>
      <c r="X499" s="3"/>
      <c r="Y499" s="3" t="s">
        <v>6928</v>
      </c>
      <c r="Z499" s="3" t="s">
        <v>6929</v>
      </c>
      <c r="AA499" s="3"/>
      <c r="AB499" s="3"/>
      <c r="AC499" s="3"/>
      <c r="AD499" s="3"/>
      <c r="AE499" s="3"/>
      <c r="AF499" s="3"/>
      <c r="AG499" s="3"/>
      <c r="AH499" s="3"/>
      <c r="AI499" s="3"/>
      <c r="AJ499" s="3"/>
      <c r="AK499" s="3"/>
      <c r="AL499" s="3"/>
      <c r="AM499" s="3" t="s">
        <v>6740</v>
      </c>
      <c r="AN499" s="3" t="s">
        <v>6741</v>
      </c>
      <c r="AO499" s="3"/>
      <c r="AP499" s="3"/>
      <c r="AQ499" s="3"/>
      <c r="AR499" s="3" t="s">
        <v>6930</v>
      </c>
      <c r="AS499" s="3">
        <v>2024</v>
      </c>
      <c r="AT499" s="3">
        <v>72</v>
      </c>
      <c r="AU499" s="3">
        <v>6</v>
      </c>
      <c r="AV499" s="3"/>
      <c r="AW499" s="3"/>
      <c r="AX499" s="3"/>
      <c r="AY499" s="3"/>
      <c r="AZ499" s="3">
        <v>1727</v>
      </c>
      <c r="BA499" s="3">
        <v>1733</v>
      </c>
      <c r="BB499" s="3"/>
      <c r="BC499" s="3" t="s">
        <v>6931</v>
      </c>
      <c r="BD499" s="15" t="str">
        <f>HYPERLINK("http://dx.doi.org/10.1080/07448481.2022.2089845","http://dx.doi.org/10.1080/07448481.2022.2089845")</f>
        <v>http://dx.doi.org/10.1080/07448481.2022.2089845</v>
      </c>
      <c r="BE499" s="3"/>
      <c r="BF499" s="3" t="s">
        <v>5484</v>
      </c>
      <c r="BG499" s="3"/>
      <c r="BH499" s="3"/>
      <c r="BI499" s="3">
        <v>35930397</v>
      </c>
      <c r="BJ499" s="3" t="s">
        <v>6932</v>
      </c>
      <c r="BK499" s="3"/>
      <c r="BL499" s="3"/>
      <c r="BM499" s="3"/>
      <c r="BN499" s="3"/>
      <c r="BO499" s="3"/>
      <c r="BP499" s="3"/>
      <c r="BQ499" s="3"/>
      <c r="BR499" s="3"/>
      <c r="BS499" s="3"/>
      <c r="BT499" s="3"/>
      <c r="BU499" s="1" t="s">
        <v>7417</v>
      </c>
      <c r="BV499" s="10" t="s">
        <v>7188</v>
      </c>
      <c r="BW499" s="10" t="s">
        <v>7189</v>
      </c>
    </row>
    <row r="500" spans="1:75" ht="12.75" customHeight="1">
      <c r="A500" s="4" t="s">
        <v>63</v>
      </c>
      <c r="B500" s="4" t="s">
        <v>3880</v>
      </c>
      <c r="C500" s="4"/>
      <c r="D500" s="4"/>
      <c r="E500" s="4"/>
      <c r="F500" s="4" t="s">
        <v>3881</v>
      </c>
      <c r="G500" s="4"/>
      <c r="H500" s="4"/>
      <c r="I500" s="4" t="s">
        <v>3882</v>
      </c>
      <c r="J500" s="4" t="s">
        <v>3883</v>
      </c>
      <c r="K500" s="4"/>
      <c r="L500" s="4"/>
      <c r="M500" s="4"/>
      <c r="N500" s="4"/>
      <c r="O500" s="4"/>
      <c r="P500" s="4"/>
      <c r="Q500" s="4"/>
      <c r="R500" s="4"/>
      <c r="S500" s="4"/>
      <c r="T500" s="4" t="s">
        <v>3884</v>
      </c>
      <c r="U500" s="4"/>
      <c r="V500" s="4"/>
      <c r="W500" s="4"/>
      <c r="X500" s="4"/>
      <c r="Y500" s="4" t="s">
        <v>3885</v>
      </c>
      <c r="Z500" s="4" t="s">
        <v>2970</v>
      </c>
      <c r="AA500" s="4"/>
      <c r="AB500" s="4"/>
      <c r="AC500" s="4"/>
      <c r="AD500" s="4"/>
      <c r="AE500" s="4"/>
      <c r="AF500" s="4"/>
      <c r="AG500" s="4"/>
      <c r="AH500" s="4"/>
      <c r="AI500" s="4"/>
      <c r="AJ500" s="4"/>
      <c r="AK500" s="4"/>
      <c r="AL500" s="4"/>
      <c r="AM500" s="4" t="s">
        <v>3886</v>
      </c>
      <c r="AN500" s="4"/>
      <c r="AO500" s="4"/>
      <c r="AP500" s="4"/>
      <c r="AQ500" s="4"/>
      <c r="AR500" s="4" t="s">
        <v>92</v>
      </c>
      <c r="AS500" s="4">
        <v>2019</v>
      </c>
      <c r="AT500" s="4">
        <v>14</v>
      </c>
      <c r="AU500" s="4">
        <v>10</v>
      </c>
      <c r="AV500" s="4"/>
      <c r="AW500" s="4"/>
      <c r="AX500" s="4"/>
      <c r="AY500" s="4"/>
      <c r="AZ500" s="4"/>
      <c r="BA500" s="4"/>
      <c r="BB500" s="4">
        <v>105001</v>
      </c>
      <c r="BC500" s="4" t="s">
        <v>3887</v>
      </c>
      <c r="BD500" s="5" t="str">
        <f>HYPERLINK("http://dx.doi.org/10.1088/1748-9326/ab428f","http://dx.doi.org/10.1088/1748-9326/ab428f")</f>
        <v>http://dx.doi.org/10.1088/1748-9326/ab428f</v>
      </c>
      <c r="BE500" s="4"/>
      <c r="BF500" s="4"/>
      <c r="BG500" s="4"/>
      <c r="BH500" s="4"/>
      <c r="BI500" s="4"/>
      <c r="BJ500" s="4" t="s">
        <v>3888</v>
      </c>
      <c r="BK500" s="4"/>
      <c r="BL500" s="4"/>
      <c r="BM500" s="4"/>
      <c r="BN500" s="4"/>
      <c r="BO500" s="4"/>
      <c r="BP500" s="4"/>
      <c r="BQ500" s="4"/>
      <c r="BR500" s="4"/>
      <c r="BS500" s="4"/>
      <c r="BT500" s="4"/>
      <c r="BU500" s="12" t="s">
        <v>7384</v>
      </c>
      <c r="BV500" s="12" t="s">
        <v>7188</v>
      </c>
      <c r="BW500" s="12" t="s">
        <v>7189</v>
      </c>
    </row>
    <row r="501" spans="1:75" ht="12.75" customHeight="1">
      <c r="A501" s="3" t="s">
        <v>63</v>
      </c>
      <c r="B501" s="3" t="s">
        <v>5027</v>
      </c>
      <c r="C501" s="3"/>
      <c r="D501" s="3"/>
      <c r="E501" s="3"/>
      <c r="F501" s="3" t="s">
        <v>5028</v>
      </c>
      <c r="G501" s="3"/>
      <c r="H501" s="3"/>
      <c r="I501" s="3" t="s">
        <v>5029</v>
      </c>
      <c r="J501" s="3" t="s">
        <v>3528</v>
      </c>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t="s">
        <v>3530</v>
      </c>
      <c r="AN501" s="3" t="s">
        <v>3531</v>
      </c>
      <c r="AO501" s="3"/>
      <c r="AP501" s="3"/>
      <c r="AQ501" s="3"/>
      <c r="AR501" s="3" t="s">
        <v>121</v>
      </c>
      <c r="AS501" s="3">
        <v>2021</v>
      </c>
      <c r="AT501" s="3">
        <v>162</v>
      </c>
      <c r="AU501" s="3"/>
      <c r="AV501" s="3"/>
      <c r="AW501" s="3">
        <v>1</v>
      </c>
      <c r="AX501" s="3"/>
      <c r="AY501" s="3">
        <v>563</v>
      </c>
      <c r="AZ501" s="3" t="s">
        <v>5030</v>
      </c>
      <c r="BA501" s="3" t="s">
        <v>5030</v>
      </c>
      <c r="BB501" s="3"/>
      <c r="BC501" s="3"/>
      <c r="BD501" s="3"/>
      <c r="BE501" s="3"/>
      <c r="BF501" s="3"/>
      <c r="BG501" s="3"/>
      <c r="BH501" s="3"/>
      <c r="BI501" s="3"/>
      <c r="BJ501" s="3" t="s">
        <v>5031</v>
      </c>
      <c r="BK501" s="3"/>
      <c r="BL501" s="3"/>
      <c r="BM501" s="3"/>
      <c r="BN501" s="3"/>
      <c r="BO501" s="3"/>
      <c r="BP501" s="3"/>
      <c r="BQ501" s="3"/>
      <c r="BR501" s="3"/>
      <c r="BS501" s="3"/>
      <c r="BT501" s="3"/>
      <c r="BU501" s="1" t="s">
        <v>7354</v>
      </c>
      <c r="BV501" s="10" t="s">
        <v>7188</v>
      </c>
      <c r="BW501" s="10" t="s">
        <v>7189</v>
      </c>
    </row>
    <row r="502" spans="1:75" ht="12.75" customHeight="1">
      <c r="A502" s="3" t="s">
        <v>63</v>
      </c>
      <c r="B502" s="3" t="s">
        <v>3485</v>
      </c>
      <c r="C502" s="3"/>
      <c r="D502" s="3"/>
      <c r="E502" s="3"/>
      <c r="F502" s="3" t="s">
        <v>3486</v>
      </c>
      <c r="G502" s="3"/>
      <c r="H502" s="3"/>
      <c r="I502" s="3" t="s">
        <v>3487</v>
      </c>
      <c r="J502" s="3" t="s">
        <v>1558</v>
      </c>
      <c r="K502" s="3"/>
      <c r="L502" s="3"/>
      <c r="M502" s="3"/>
      <c r="N502" s="3"/>
      <c r="O502" s="3"/>
      <c r="P502" s="3"/>
      <c r="Q502" s="3"/>
      <c r="R502" s="3"/>
      <c r="S502" s="3"/>
      <c r="T502" s="3" t="s">
        <v>3488</v>
      </c>
      <c r="U502" s="3"/>
      <c r="V502" s="3"/>
      <c r="W502" s="3"/>
      <c r="X502" s="3"/>
      <c r="Y502" s="3" t="s">
        <v>3489</v>
      </c>
      <c r="Z502" s="3" t="s">
        <v>3490</v>
      </c>
      <c r="AA502" s="3"/>
      <c r="AB502" s="3"/>
      <c r="AC502" s="3"/>
      <c r="AD502" s="3"/>
      <c r="AE502" s="3"/>
      <c r="AF502" s="3"/>
      <c r="AG502" s="3"/>
      <c r="AH502" s="3"/>
      <c r="AI502" s="3"/>
      <c r="AJ502" s="3"/>
      <c r="AK502" s="3"/>
      <c r="AL502" s="3"/>
      <c r="AM502" s="3" t="s">
        <v>1559</v>
      </c>
      <c r="AN502" s="3" t="s">
        <v>1560</v>
      </c>
      <c r="AO502" s="3"/>
      <c r="AP502" s="3"/>
      <c r="AQ502" s="3"/>
      <c r="AR502" s="3"/>
      <c r="AS502" s="3">
        <v>2018</v>
      </c>
      <c r="AT502" s="3">
        <v>57</v>
      </c>
      <c r="AU502" s="3">
        <v>1</v>
      </c>
      <c r="AV502" s="3"/>
      <c r="AW502" s="3"/>
      <c r="AX502" s="3"/>
      <c r="AY502" s="3"/>
      <c r="AZ502" s="3">
        <v>13</v>
      </c>
      <c r="BA502" s="3">
        <v>31</v>
      </c>
      <c r="BB502" s="3"/>
      <c r="BC502" s="3" t="s">
        <v>3491</v>
      </c>
      <c r="BD502" s="15" t="str">
        <f>HYPERLINK("http://dx.doi.org/10.1080/03670244.2017.1406853","http://dx.doi.org/10.1080/03670244.2017.1406853")</f>
        <v>http://dx.doi.org/10.1080/03670244.2017.1406853</v>
      </c>
      <c r="BE502" s="3"/>
      <c r="BF502" s="3"/>
      <c r="BG502" s="3"/>
      <c r="BH502" s="3"/>
      <c r="BI502" s="3">
        <v>29227695</v>
      </c>
      <c r="BJ502" s="3" t="s">
        <v>3492</v>
      </c>
      <c r="BK502" s="3"/>
      <c r="BL502" s="3"/>
      <c r="BM502" s="3"/>
      <c r="BN502" s="3"/>
      <c r="BO502" s="3"/>
      <c r="BP502" s="3"/>
      <c r="BQ502" s="3"/>
      <c r="BR502" s="3"/>
      <c r="BS502" s="3"/>
      <c r="BT502" s="3"/>
      <c r="BU502" s="1" t="s">
        <v>7259</v>
      </c>
      <c r="BV502" s="2" t="s">
        <v>7188</v>
      </c>
      <c r="BW502" s="2" t="s">
        <v>7189</v>
      </c>
    </row>
    <row r="503" spans="1:75" ht="12.75" customHeight="1">
      <c r="A503" s="4" t="s">
        <v>63</v>
      </c>
      <c r="B503" s="4" t="s">
        <v>1945</v>
      </c>
      <c r="C503" s="4"/>
      <c r="D503" s="4"/>
      <c r="E503" s="4"/>
      <c r="F503" s="4" t="s">
        <v>1946</v>
      </c>
      <c r="G503" s="4"/>
      <c r="H503" s="4"/>
      <c r="I503" s="4" t="s">
        <v>1947</v>
      </c>
      <c r="J503" s="4" t="s">
        <v>1948</v>
      </c>
      <c r="K503" s="4"/>
      <c r="L503" s="4"/>
      <c r="M503" s="4"/>
      <c r="N503" s="4"/>
      <c r="O503" s="4"/>
      <c r="P503" s="4"/>
      <c r="Q503" s="4"/>
      <c r="R503" s="4"/>
      <c r="S503" s="4"/>
      <c r="T503" s="4" t="s">
        <v>1949</v>
      </c>
      <c r="U503" s="4"/>
      <c r="V503" s="4"/>
      <c r="W503" s="4"/>
      <c r="X503" s="4"/>
      <c r="Y503" s="4"/>
      <c r="Z503" s="4"/>
      <c r="AA503" s="4"/>
      <c r="AB503" s="4"/>
      <c r="AC503" s="4"/>
      <c r="AD503" s="4"/>
      <c r="AE503" s="4"/>
      <c r="AF503" s="4"/>
      <c r="AG503" s="4"/>
      <c r="AH503" s="4"/>
      <c r="AI503" s="4"/>
      <c r="AJ503" s="4"/>
      <c r="AK503" s="4"/>
      <c r="AL503" s="4"/>
      <c r="AM503" s="4" t="s">
        <v>1950</v>
      </c>
      <c r="AN503" s="4" t="s">
        <v>1951</v>
      </c>
      <c r="AO503" s="4"/>
      <c r="AP503" s="4"/>
      <c r="AQ503" s="4"/>
      <c r="AR503" s="4" t="s">
        <v>66</v>
      </c>
      <c r="AS503" s="4">
        <v>2015</v>
      </c>
      <c r="AT503" s="4">
        <v>37</v>
      </c>
      <c r="AU503" s="4">
        <v>1</v>
      </c>
      <c r="AV503" s="4"/>
      <c r="AW503" s="4"/>
      <c r="AX503" s="4"/>
      <c r="AY503" s="4"/>
      <c r="AZ503" s="4">
        <v>38</v>
      </c>
      <c r="BA503" s="4">
        <v>46</v>
      </c>
      <c r="BB503" s="4"/>
      <c r="BC503" s="4" t="s">
        <v>1952</v>
      </c>
      <c r="BD503" s="5" t="str">
        <f>HYPERLINK("http://dx.doi.org/10.1111/cuag.12046","http://dx.doi.org/10.1111/cuag.12046")</f>
        <v>http://dx.doi.org/10.1111/cuag.12046</v>
      </c>
      <c r="BE503" s="4"/>
      <c r="BF503" s="4"/>
      <c r="BG503" s="4"/>
      <c r="BH503" s="4"/>
      <c r="BI503" s="4"/>
      <c r="BJ503" s="4" t="s">
        <v>1953</v>
      </c>
      <c r="BK503" s="4"/>
      <c r="BL503" s="4"/>
      <c r="BM503" s="4"/>
      <c r="BN503" s="4"/>
      <c r="BO503" s="4"/>
      <c r="BP503" s="4"/>
      <c r="BQ503" s="4"/>
      <c r="BR503" s="4"/>
      <c r="BS503" s="4"/>
      <c r="BT503" s="4"/>
      <c r="BU503" s="12" t="s">
        <v>7193</v>
      </c>
      <c r="BV503" s="12" t="s">
        <v>7188</v>
      </c>
      <c r="BW503" s="12" t="s">
        <v>7189</v>
      </c>
    </row>
    <row r="504" spans="1:75" ht="12.75" customHeight="1">
      <c r="A504" s="3" t="s">
        <v>63</v>
      </c>
      <c r="B504" s="3" t="s">
        <v>6933</v>
      </c>
      <c r="C504" s="3"/>
      <c r="D504" s="3"/>
      <c r="E504" s="3"/>
      <c r="F504" s="3" t="s">
        <v>6934</v>
      </c>
      <c r="G504" s="3"/>
      <c r="H504" s="3"/>
      <c r="I504" s="3" t="s">
        <v>6935</v>
      </c>
      <c r="J504" s="3" t="s">
        <v>6295</v>
      </c>
      <c r="K504" s="3"/>
      <c r="L504" s="3"/>
      <c r="M504" s="3"/>
      <c r="N504" s="3" t="s">
        <v>6936</v>
      </c>
      <c r="O504" s="3" t="s">
        <v>1134</v>
      </c>
      <c r="P504" s="3" t="s">
        <v>6937</v>
      </c>
      <c r="Q504" s="3"/>
      <c r="R504" s="3"/>
      <c r="S504" s="3"/>
      <c r="T504" s="3"/>
      <c r="U504" s="3"/>
      <c r="V504" s="3"/>
      <c r="W504" s="3"/>
      <c r="X504" s="3"/>
      <c r="Y504" s="3"/>
      <c r="Z504" s="3"/>
      <c r="AA504" s="3"/>
      <c r="AB504" s="3"/>
      <c r="AC504" s="3"/>
      <c r="AD504" s="3"/>
      <c r="AE504" s="3"/>
      <c r="AF504" s="3"/>
      <c r="AG504" s="3"/>
      <c r="AH504" s="3"/>
      <c r="AI504" s="3"/>
      <c r="AJ504" s="3"/>
      <c r="AK504" s="3"/>
      <c r="AL504" s="3"/>
      <c r="AM504" s="3" t="s">
        <v>6298</v>
      </c>
      <c r="AN504" s="3" t="s">
        <v>6299</v>
      </c>
      <c r="AO504" s="3"/>
      <c r="AP504" s="3"/>
      <c r="AQ504" s="3"/>
      <c r="AR504" s="3" t="s">
        <v>2293</v>
      </c>
      <c r="AS504" s="3">
        <v>2024</v>
      </c>
      <c r="AT504" s="3">
        <v>84</v>
      </c>
      <c r="AU504" s="3">
        <v>3</v>
      </c>
      <c r="AV504" s="3"/>
      <c r="AW504" s="3">
        <v>1</v>
      </c>
      <c r="AX504" s="3"/>
      <c r="AY504" s="3" t="s">
        <v>6938</v>
      </c>
      <c r="AZ504" s="3"/>
      <c r="BA504" s="3"/>
      <c r="BB504" s="3"/>
      <c r="BC504" s="3" t="s">
        <v>6939</v>
      </c>
      <c r="BD504" s="15" t="str">
        <f>HYPERLINK("http://dx.doi.org/10.1158/1538-7445.ADVBC23-A075","http://dx.doi.org/10.1158/1538-7445.ADVBC23-A075")</f>
        <v>http://dx.doi.org/10.1158/1538-7445.ADVBC23-A075</v>
      </c>
      <c r="BE504" s="3"/>
      <c r="BF504" s="3"/>
      <c r="BG504" s="3"/>
      <c r="BH504" s="3"/>
      <c r="BI504" s="3"/>
      <c r="BJ504" s="3" t="s">
        <v>6940</v>
      </c>
      <c r="BK504" s="3"/>
      <c r="BL504" s="3"/>
      <c r="BM504" s="3"/>
      <c r="BN504" s="3"/>
      <c r="BO504" s="3"/>
      <c r="BP504" s="3"/>
      <c r="BQ504" s="3"/>
      <c r="BR504" s="3"/>
      <c r="BS504" s="3"/>
      <c r="BT504" s="3"/>
      <c r="BU504" s="2" t="s">
        <v>7193</v>
      </c>
      <c r="BV504" s="10" t="s">
        <v>7188</v>
      </c>
      <c r="BW504" s="10" t="s">
        <v>7189</v>
      </c>
    </row>
    <row r="505" spans="1:75" ht="12.75" customHeight="1">
      <c r="A505" s="3" t="s">
        <v>63</v>
      </c>
      <c r="B505" s="3" t="s">
        <v>1954</v>
      </c>
      <c r="C505" s="3"/>
      <c r="D505" s="3"/>
      <c r="E505" s="3"/>
      <c r="F505" s="3" t="s">
        <v>1955</v>
      </c>
      <c r="G505" s="3"/>
      <c r="H505" s="3"/>
      <c r="I505" s="3" t="s">
        <v>1956</v>
      </c>
      <c r="J505" s="3" t="s">
        <v>1633</v>
      </c>
      <c r="K505" s="3"/>
      <c r="L505" s="3"/>
      <c r="M505" s="3"/>
      <c r="N505" s="3" t="s">
        <v>1957</v>
      </c>
      <c r="O505" s="3" t="s">
        <v>1958</v>
      </c>
      <c r="P505" s="3" t="s">
        <v>1635</v>
      </c>
      <c r="Q505" s="3"/>
      <c r="R505" s="3"/>
      <c r="S505" s="3"/>
      <c r="T505" s="3"/>
      <c r="U505" s="3"/>
      <c r="V505" s="3"/>
      <c r="W505" s="3"/>
      <c r="X505" s="3"/>
      <c r="Y505" s="3" t="s">
        <v>1959</v>
      </c>
      <c r="Z505" s="3"/>
      <c r="AA505" s="3"/>
      <c r="AB505" s="3"/>
      <c r="AC505" s="3"/>
      <c r="AD505" s="3"/>
      <c r="AE505" s="3"/>
      <c r="AF505" s="3"/>
      <c r="AG505" s="3"/>
      <c r="AH505" s="3"/>
      <c r="AI505" s="3"/>
      <c r="AJ505" s="3"/>
      <c r="AK505" s="3"/>
      <c r="AL505" s="3"/>
      <c r="AM505" s="3" t="s">
        <v>1636</v>
      </c>
      <c r="AN505" s="3" t="s">
        <v>1637</v>
      </c>
      <c r="AO505" s="3"/>
      <c r="AP505" s="3"/>
      <c r="AQ505" s="3"/>
      <c r="AR505" s="3" t="s">
        <v>68</v>
      </c>
      <c r="AS505" s="3">
        <v>2015</v>
      </c>
      <c r="AT505" s="3">
        <v>30</v>
      </c>
      <c r="AU505" s="3"/>
      <c r="AV505" s="3"/>
      <c r="AW505" s="3">
        <v>2</v>
      </c>
      <c r="AX505" s="3"/>
      <c r="AY505" s="3">
        <v>2191915</v>
      </c>
      <c r="AZ505" s="3" t="s">
        <v>1960</v>
      </c>
      <c r="BA505" s="3" t="s">
        <v>1960</v>
      </c>
      <c r="BB505" s="3"/>
      <c r="BC505" s="3"/>
      <c r="BD505" s="3"/>
      <c r="BE505" s="3"/>
      <c r="BF505" s="3"/>
      <c r="BG505" s="3"/>
      <c r="BH505" s="3"/>
      <c r="BI505" s="3"/>
      <c r="BJ505" s="3" t="s">
        <v>1961</v>
      </c>
      <c r="BK505" s="3"/>
      <c r="BL505" s="3"/>
      <c r="BM505" s="3"/>
      <c r="BN505" s="3"/>
      <c r="BO505" s="3"/>
      <c r="BP505" s="3"/>
      <c r="BQ505" s="3"/>
      <c r="BR505" s="3"/>
      <c r="BS505" s="3"/>
      <c r="BT505" s="3"/>
      <c r="BU505" s="1" t="s">
        <v>7418</v>
      </c>
      <c r="BV505" s="10" t="s">
        <v>7188</v>
      </c>
      <c r="BW505" s="10" t="s">
        <v>7189</v>
      </c>
    </row>
    <row r="506" spans="1:75" ht="12.75" customHeight="1">
      <c r="A506" s="3" t="s">
        <v>63</v>
      </c>
      <c r="B506" s="3" t="s">
        <v>3014</v>
      </c>
      <c r="C506" s="3"/>
      <c r="D506" s="3"/>
      <c r="E506" s="3"/>
      <c r="F506" s="3" t="s">
        <v>3015</v>
      </c>
      <c r="G506" s="3"/>
      <c r="H506" s="3"/>
      <c r="I506" s="3" t="s">
        <v>3016</v>
      </c>
      <c r="J506" s="3" t="s">
        <v>2540</v>
      </c>
      <c r="K506" s="3"/>
      <c r="L506" s="3"/>
      <c r="M506" s="3"/>
      <c r="N506" s="3" t="s">
        <v>3017</v>
      </c>
      <c r="O506" s="3" t="s">
        <v>3018</v>
      </c>
      <c r="P506" s="3" t="s">
        <v>2543</v>
      </c>
      <c r="Q506" s="3"/>
      <c r="R506" s="3"/>
      <c r="S506" s="3"/>
      <c r="T506" s="3"/>
      <c r="U506" s="3"/>
      <c r="V506" s="3"/>
      <c r="W506" s="3"/>
      <c r="X506" s="3"/>
      <c r="Y506" s="3" t="s">
        <v>3019</v>
      </c>
      <c r="Z506" s="3"/>
      <c r="AA506" s="3"/>
      <c r="AB506" s="3"/>
      <c r="AC506" s="3"/>
      <c r="AD506" s="3"/>
      <c r="AE506" s="3"/>
      <c r="AF506" s="3"/>
      <c r="AG506" s="3"/>
      <c r="AH506" s="3"/>
      <c r="AI506" s="3"/>
      <c r="AJ506" s="3"/>
      <c r="AK506" s="3"/>
      <c r="AL506" s="3"/>
      <c r="AM506" s="3" t="s">
        <v>2545</v>
      </c>
      <c r="AN506" s="3" t="s">
        <v>2546</v>
      </c>
      <c r="AO506" s="3"/>
      <c r="AP506" s="3"/>
      <c r="AQ506" s="3"/>
      <c r="AR506" s="3" t="s">
        <v>3020</v>
      </c>
      <c r="AS506" s="3">
        <v>2017</v>
      </c>
      <c r="AT506" s="3">
        <v>69</v>
      </c>
      <c r="AU506" s="3">
        <v>11</v>
      </c>
      <c r="AV506" s="3"/>
      <c r="AW506" s="3" t="s">
        <v>151</v>
      </c>
      <c r="AX506" s="3"/>
      <c r="AY506" s="3" t="s">
        <v>3021</v>
      </c>
      <c r="AZ506" s="3">
        <v>855</v>
      </c>
      <c r="BA506" s="3">
        <v>855</v>
      </c>
      <c r="BB506" s="3"/>
      <c r="BC506" s="3" t="s">
        <v>3022</v>
      </c>
      <c r="BD506" s="15" t="str">
        <f>HYPERLINK("http://dx.doi.org/10.1016/S0735-1097(17)34244-4","http://dx.doi.org/10.1016/S0735-1097(17)34244-4")</f>
        <v>http://dx.doi.org/10.1016/S0735-1097(17)34244-4</v>
      </c>
      <c r="BE506" s="3"/>
      <c r="BF506" s="3"/>
      <c r="BG506" s="3"/>
      <c r="BH506" s="3"/>
      <c r="BI506" s="3"/>
      <c r="BJ506" s="3" t="s">
        <v>3023</v>
      </c>
      <c r="BK506" s="3"/>
      <c r="BL506" s="3"/>
      <c r="BM506" s="3"/>
      <c r="BN506" s="3"/>
      <c r="BO506" s="3"/>
      <c r="BP506" s="3"/>
      <c r="BQ506" s="3"/>
      <c r="BR506" s="3"/>
      <c r="BS506" s="3"/>
      <c r="BT506" s="3"/>
      <c r="BU506" s="1" t="s">
        <v>7323</v>
      </c>
      <c r="BV506" s="10" t="s">
        <v>7188</v>
      </c>
      <c r="BW506" s="10" t="s">
        <v>7189</v>
      </c>
    </row>
    <row r="507" spans="1:75" ht="12.75" customHeight="1">
      <c r="A507" s="3" t="s">
        <v>63</v>
      </c>
      <c r="B507" s="3" t="s">
        <v>1962</v>
      </c>
      <c r="C507" s="3"/>
      <c r="D507" s="3"/>
      <c r="E507" s="3"/>
      <c r="F507" s="3" t="s">
        <v>1963</v>
      </c>
      <c r="G507" s="3"/>
      <c r="H507" s="3"/>
      <c r="I507" s="3" t="s">
        <v>1964</v>
      </c>
      <c r="J507" s="3" t="s">
        <v>905</v>
      </c>
      <c r="K507" s="3"/>
      <c r="L507" s="3"/>
      <c r="M507" s="3"/>
      <c r="N507" s="3"/>
      <c r="O507" s="3"/>
      <c r="P507" s="3"/>
      <c r="Q507" s="3"/>
      <c r="R507" s="3"/>
      <c r="S507" s="3"/>
      <c r="T507" s="3" t="s">
        <v>1965</v>
      </c>
      <c r="U507" s="3"/>
      <c r="V507" s="3"/>
      <c r="W507" s="3"/>
      <c r="X507" s="3"/>
      <c r="Y507" s="3" t="s">
        <v>1966</v>
      </c>
      <c r="Z507" s="3" t="s">
        <v>1967</v>
      </c>
      <c r="AA507" s="3"/>
      <c r="AB507" s="3"/>
      <c r="AC507" s="3"/>
      <c r="AD507" s="3"/>
      <c r="AE507" s="3"/>
      <c r="AF507" s="3"/>
      <c r="AG507" s="3"/>
      <c r="AH507" s="3"/>
      <c r="AI507" s="3"/>
      <c r="AJ507" s="3"/>
      <c r="AK507" s="3"/>
      <c r="AL507" s="3"/>
      <c r="AM507" s="3" t="s">
        <v>908</v>
      </c>
      <c r="AN507" s="3" t="s">
        <v>909</v>
      </c>
      <c r="AO507" s="3"/>
      <c r="AP507" s="3"/>
      <c r="AQ507" s="3"/>
      <c r="AR507" s="3" t="s">
        <v>173</v>
      </c>
      <c r="AS507" s="3">
        <v>2015</v>
      </c>
      <c r="AT507" s="3">
        <v>115</v>
      </c>
      <c r="AU507" s="3">
        <v>7</v>
      </c>
      <c r="AV507" s="3"/>
      <c r="AW507" s="3"/>
      <c r="AX507" s="3"/>
      <c r="AY507" s="3"/>
      <c r="AZ507" s="3">
        <v>1102</v>
      </c>
      <c r="BA507" s="3">
        <v>1108</v>
      </c>
      <c r="BB507" s="3"/>
      <c r="BC507" s="3" t="s">
        <v>1968</v>
      </c>
      <c r="BD507" s="15" t="str">
        <f>HYPERLINK("http://dx.doi.org/10.1016/j.jand.2015.01.001","http://dx.doi.org/10.1016/j.jand.2015.01.001")</f>
        <v>http://dx.doi.org/10.1016/j.jand.2015.01.001</v>
      </c>
      <c r="BE507" s="3"/>
      <c r="BF507" s="3"/>
      <c r="BG507" s="3"/>
      <c r="BH507" s="3"/>
      <c r="BI507" s="3">
        <v>25769748</v>
      </c>
      <c r="BJ507" s="3" t="s">
        <v>1969</v>
      </c>
      <c r="BK507" s="3"/>
      <c r="BL507" s="3"/>
      <c r="BM507" s="3"/>
      <c r="BN507" s="3"/>
      <c r="BO507" s="3"/>
      <c r="BP507" s="3"/>
      <c r="BQ507" s="3"/>
      <c r="BR507" s="3"/>
      <c r="BS507" s="3"/>
      <c r="BT507" s="3"/>
      <c r="BU507" s="1" t="s">
        <v>7304</v>
      </c>
      <c r="BV507" s="10" t="s">
        <v>7188</v>
      </c>
      <c r="BW507" s="10" t="s">
        <v>7189</v>
      </c>
    </row>
    <row r="508" spans="1:75" ht="12.75" customHeight="1">
      <c r="A508" s="7" t="s">
        <v>63</v>
      </c>
      <c r="B508" s="7" t="s">
        <v>6941</v>
      </c>
      <c r="C508" s="7"/>
      <c r="D508" s="7"/>
      <c r="E508" s="7"/>
      <c r="F508" s="7" t="s">
        <v>6942</v>
      </c>
      <c r="G508" s="7"/>
      <c r="H508" s="7"/>
      <c r="I508" s="7" t="s">
        <v>6943</v>
      </c>
      <c r="J508" s="7" t="s">
        <v>6182</v>
      </c>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t="s">
        <v>6184</v>
      </c>
      <c r="AN508" s="7"/>
      <c r="AO508" s="7"/>
      <c r="AP508" s="7"/>
      <c r="AQ508" s="7"/>
      <c r="AR508" s="7"/>
      <c r="AS508" s="7">
        <v>2024</v>
      </c>
      <c r="AT508" s="7">
        <v>63</v>
      </c>
      <c r="AU508" s="7"/>
      <c r="AV508" s="7"/>
      <c r="AW508" s="7"/>
      <c r="AX508" s="7"/>
      <c r="AY508" s="7"/>
      <c r="AZ508" s="7"/>
      <c r="BA508" s="7"/>
      <c r="BB508" s="7">
        <v>57923</v>
      </c>
      <c r="BC508" s="7" t="s">
        <v>6944</v>
      </c>
      <c r="BD508" s="11" t="str">
        <f>HYPERLINK("http://dx.doi.org/10.4000/11wvm","http://dx.doi.org/10.4000/11wvm")</f>
        <v>http://dx.doi.org/10.4000/11wvm</v>
      </c>
      <c r="BE508" s="7"/>
      <c r="BF508" s="7"/>
      <c r="BG508" s="7"/>
      <c r="BH508" s="7"/>
      <c r="BI508" s="7"/>
      <c r="BJ508" s="7" t="s">
        <v>6945</v>
      </c>
      <c r="BK508" s="7"/>
      <c r="BL508" s="7"/>
      <c r="BM508" s="7"/>
      <c r="BN508" s="7"/>
      <c r="BO508" s="7"/>
      <c r="BP508" s="7"/>
      <c r="BQ508" s="7"/>
      <c r="BR508" s="7"/>
      <c r="BS508" s="7"/>
      <c r="BT508" s="7"/>
      <c r="BU508" s="13" t="s">
        <v>7419</v>
      </c>
      <c r="BV508" s="10" t="s">
        <v>3516</v>
      </c>
      <c r="BW508" s="10" t="s">
        <v>7196</v>
      </c>
    </row>
    <row r="509" spans="1:75" ht="12.75" customHeight="1">
      <c r="A509" s="4" t="s">
        <v>63</v>
      </c>
      <c r="B509" s="4" t="s">
        <v>499</v>
      </c>
      <c r="C509" s="4"/>
      <c r="D509" s="4"/>
      <c r="E509" s="4"/>
      <c r="F509" s="4" t="s">
        <v>500</v>
      </c>
      <c r="G509" s="4"/>
      <c r="H509" s="4"/>
      <c r="I509" s="4" t="s">
        <v>501</v>
      </c>
      <c r="J509" s="4" t="s">
        <v>502</v>
      </c>
      <c r="K509" s="4"/>
      <c r="L509" s="4"/>
      <c r="M509" s="4"/>
      <c r="N509" s="4"/>
      <c r="O509" s="4"/>
      <c r="P509" s="4"/>
      <c r="Q509" s="4"/>
      <c r="R509" s="4"/>
      <c r="S509" s="4"/>
      <c r="T509" s="4" t="s">
        <v>503</v>
      </c>
      <c r="U509" s="4"/>
      <c r="V509" s="4"/>
      <c r="W509" s="4"/>
      <c r="X509" s="4"/>
      <c r="Y509" s="4" t="s">
        <v>504</v>
      </c>
      <c r="Z509" s="4" t="s">
        <v>505</v>
      </c>
      <c r="AA509" s="4"/>
      <c r="AB509" s="4"/>
      <c r="AC509" s="4"/>
      <c r="AD509" s="4"/>
      <c r="AE509" s="4"/>
      <c r="AF509" s="4"/>
      <c r="AG509" s="4"/>
      <c r="AH509" s="4"/>
      <c r="AI509" s="4"/>
      <c r="AJ509" s="4"/>
      <c r="AK509" s="4"/>
      <c r="AL509" s="4"/>
      <c r="AM509" s="4" t="s">
        <v>506</v>
      </c>
      <c r="AN509" s="4" t="s">
        <v>507</v>
      </c>
      <c r="AO509" s="4"/>
      <c r="AP509" s="4"/>
      <c r="AQ509" s="4"/>
      <c r="AR509" s="4" t="s">
        <v>78</v>
      </c>
      <c r="AS509" s="4">
        <v>2010</v>
      </c>
      <c r="AT509" s="4">
        <v>87</v>
      </c>
      <c r="AU509" s="4">
        <v>3</v>
      </c>
      <c r="AV509" s="4"/>
      <c r="AW509" s="4"/>
      <c r="AX509" s="4"/>
      <c r="AY509" s="4"/>
      <c r="AZ509" s="4">
        <v>381</v>
      </c>
      <c r="BA509" s="4">
        <v>393</v>
      </c>
      <c r="BB509" s="4"/>
      <c r="BC509" s="4" t="s">
        <v>508</v>
      </c>
      <c r="BD509" s="5" t="str">
        <f>HYPERLINK("http://dx.doi.org/10.1007/s11524-010-9441-9","http://dx.doi.org/10.1007/s11524-010-9441-9")</f>
        <v>http://dx.doi.org/10.1007/s11524-010-9441-9</v>
      </c>
      <c r="BE509" s="4"/>
      <c r="BF509" s="4"/>
      <c r="BG509" s="4"/>
      <c r="BH509" s="4"/>
      <c r="BI509" s="4">
        <v>20354910</v>
      </c>
      <c r="BJ509" s="4" t="s">
        <v>509</v>
      </c>
      <c r="BK509" s="4"/>
      <c r="BL509" s="4"/>
      <c r="BM509" s="4"/>
      <c r="BN509" s="4"/>
      <c r="BO509" s="4"/>
      <c r="BP509" s="4"/>
      <c r="BQ509" s="4"/>
      <c r="BR509" s="4"/>
      <c r="BS509" s="4"/>
      <c r="BT509" s="4"/>
      <c r="BU509" s="12" t="s">
        <v>7347</v>
      </c>
      <c r="BV509" s="12" t="s">
        <v>7188</v>
      </c>
      <c r="BW509" s="12" t="s">
        <v>7189</v>
      </c>
    </row>
    <row r="510" spans="1:75" ht="12.75" customHeight="1">
      <c r="A510" s="4" t="s">
        <v>63</v>
      </c>
      <c r="B510" s="4" t="s">
        <v>4354</v>
      </c>
      <c r="C510" s="4"/>
      <c r="D510" s="4"/>
      <c r="E510" s="4"/>
      <c r="F510" s="4" t="s">
        <v>4355</v>
      </c>
      <c r="G510" s="4"/>
      <c r="H510" s="4"/>
      <c r="I510" s="4" t="s">
        <v>4356</v>
      </c>
      <c r="J510" s="4" t="s">
        <v>4357</v>
      </c>
      <c r="K510" s="4"/>
      <c r="L510" s="4"/>
      <c r="M510" s="4"/>
      <c r="N510" s="4"/>
      <c r="O510" s="4"/>
      <c r="P510" s="4"/>
      <c r="Q510" s="4"/>
      <c r="R510" s="4"/>
      <c r="S510" s="4"/>
      <c r="T510" s="4" t="s">
        <v>4358</v>
      </c>
      <c r="U510" s="4"/>
      <c r="V510" s="4"/>
      <c r="W510" s="4"/>
      <c r="X510" s="4"/>
      <c r="Y510" s="4"/>
      <c r="Z510" s="4"/>
      <c r="AA510" s="4"/>
      <c r="AB510" s="4"/>
      <c r="AC510" s="4"/>
      <c r="AD510" s="4"/>
      <c r="AE510" s="4"/>
      <c r="AF510" s="4"/>
      <c r="AG510" s="4"/>
      <c r="AH510" s="4"/>
      <c r="AI510" s="4"/>
      <c r="AJ510" s="4"/>
      <c r="AK510" s="4"/>
      <c r="AL510" s="4"/>
      <c r="AM510" s="4" t="s">
        <v>4359</v>
      </c>
      <c r="AN510" s="4" t="s">
        <v>4360</v>
      </c>
      <c r="AO510" s="4"/>
      <c r="AP510" s="4"/>
      <c r="AQ510" s="4"/>
      <c r="AR510" s="4" t="s">
        <v>173</v>
      </c>
      <c r="AS510" s="4">
        <v>2020</v>
      </c>
      <c r="AT510" s="4">
        <v>87</v>
      </c>
      <c r="AU510" s="4">
        <v>4</v>
      </c>
      <c r="AV510" s="4"/>
      <c r="AW510" s="4"/>
      <c r="AX510" s="4"/>
      <c r="AY510" s="4"/>
      <c r="AZ510" s="4">
        <v>1954</v>
      </c>
      <c r="BA510" s="4">
        <v>1988</v>
      </c>
      <c r="BB510" s="4"/>
      <c r="BC510" s="4" t="s">
        <v>4361</v>
      </c>
      <c r="BD510" s="5" t="str">
        <f>HYPERLINK("http://dx.doi.org/10.1093/restud/rdz030","http://dx.doi.org/10.1093/restud/rdz030")</f>
        <v>http://dx.doi.org/10.1093/restud/rdz030</v>
      </c>
      <c r="BE510" s="4"/>
      <c r="BF510" s="4"/>
      <c r="BG510" s="4"/>
      <c r="BH510" s="4"/>
      <c r="BI510" s="4"/>
      <c r="BJ510" s="4" t="s">
        <v>4362</v>
      </c>
      <c r="BK510" s="4"/>
      <c r="BL510" s="4"/>
      <c r="BM510" s="4"/>
      <c r="BN510" s="4"/>
      <c r="BO510" s="4"/>
      <c r="BP510" s="4"/>
      <c r="BQ510" s="4"/>
      <c r="BR510" s="4"/>
      <c r="BS510" s="4"/>
      <c r="BT510" s="4"/>
      <c r="BU510" s="12" t="s">
        <v>7271</v>
      </c>
      <c r="BV510" s="12" t="s">
        <v>7188</v>
      </c>
      <c r="BW510" s="12" t="s">
        <v>7189</v>
      </c>
    </row>
    <row r="511" spans="1:75" ht="12.75" customHeight="1">
      <c r="A511" s="4" t="s">
        <v>63</v>
      </c>
      <c r="B511" s="4" t="s">
        <v>3889</v>
      </c>
      <c r="C511" s="4"/>
      <c r="D511" s="4"/>
      <c r="E511" s="4"/>
      <c r="F511" s="4" t="s">
        <v>3890</v>
      </c>
      <c r="G511" s="4"/>
      <c r="H511" s="4"/>
      <c r="I511" s="4" t="s">
        <v>3891</v>
      </c>
      <c r="J511" s="4" t="s">
        <v>3471</v>
      </c>
      <c r="K511" s="4"/>
      <c r="L511" s="4"/>
      <c r="M511" s="4"/>
      <c r="N511" s="4"/>
      <c r="O511" s="4"/>
      <c r="P511" s="4"/>
      <c r="Q511" s="4"/>
      <c r="R511" s="4"/>
      <c r="S511" s="4"/>
      <c r="T511" s="4" t="s">
        <v>3892</v>
      </c>
      <c r="U511" s="4"/>
      <c r="V511" s="4"/>
      <c r="W511" s="4"/>
      <c r="X511" s="4"/>
      <c r="Y511" s="4"/>
      <c r="Z511" s="4"/>
      <c r="AA511" s="4"/>
      <c r="AB511" s="4"/>
      <c r="AC511" s="4"/>
      <c r="AD511" s="4"/>
      <c r="AE511" s="4"/>
      <c r="AF511" s="4"/>
      <c r="AG511" s="4"/>
      <c r="AH511" s="4"/>
      <c r="AI511" s="4"/>
      <c r="AJ511" s="4"/>
      <c r="AK511" s="4"/>
      <c r="AL511" s="4"/>
      <c r="AM511" s="4" t="s">
        <v>3475</v>
      </c>
      <c r="AN511" s="4" t="s">
        <v>3476</v>
      </c>
      <c r="AO511" s="4"/>
      <c r="AP511" s="4"/>
      <c r="AQ511" s="4"/>
      <c r="AR511" s="4" t="s">
        <v>3893</v>
      </c>
      <c r="AS511" s="4">
        <v>2019</v>
      </c>
      <c r="AT511" s="4">
        <v>24</v>
      </c>
      <c r="AU511" s="4">
        <v>5</v>
      </c>
      <c r="AV511" s="4"/>
      <c r="AW511" s="4"/>
      <c r="AX511" s="4"/>
      <c r="AY511" s="4"/>
      <c r="AZ511" s="4">
        <v>417</v>
      </c>
      <c r="BA511" s="4">
        <v>427</v>
      </c>
      <c r="BB511" s="4"/>
      <c r="BC511" s="4" t="s">
        <v>3894</v>
      </c>
      <c r="BD511" s="5" t="str">
        <f>HYPERLINK("http://dx.doi.org/10.1080/13549839.2019.1585771","http://dx.doi.org/10.1080/13549839.2019.1585771")</f>
        <v>http://dx.doi.org/10.1080/13549839.2019.1585771</v>
      </c>
      <c r="BE511" s="4"/>
      <c r="BF511" s="4"/>
      <c r="BG511" s="4"/>
      <c r="BH511" s="4"/>
      <c r="BI511" s="4"/>
      <c r="BJ511" s="4" t="s">
        <v>3895</v>
      </c>
      <c r="BK511" s="4"/>
      <c r="BL511" s="4"/>
      <c r="BM511" s="4"/>
      <c r="BN511" s="4"/>
      <c r="BO511" s="4"/>
      <c r="BP511" s="4"/>
      <c r="BQ511" s="4"/>
      <c r="BR511" s="4"/>
      <c r="BS511" s="4"/>
      <c r="BT511" s="4"/>
      <c r="BU511" s="12" t="s">
        <v>7383</v>
      </c>
      <c r="BV511" s="12" t="s">
        <v>7188</v>
      </c>
      <c r="BW511" s="12" t="s">
        <v>7189</v>
      </c>
    </row>
    <row r="512" spans="1:75" ht="12.75" customHeight="1">
      <c r="A512" s="3" t="s">
        <v>63</v>
      </c>
      <c r="B512" s="3" t="s">
        <v>1569</v>
      </c>
      <c r="C512" s="3"/>
      <c r="D512" s="3"/>
      <c r="E512" s="3"/>
      <c r="F512" s="3" t="s">
        <v>1570</v>
      </c>
      <c r="G512" s="3"/>
      <c r="H512" s="3"/>
      <c r="I512" s="3" t="s">
        <v>1571</v>
      </c>
      <c r="J512" s="3" t="s">
        <v>696</v>
      </c>
      <c r="K512" s="3"/>
      <c r="L512" s="3"/>
      <c r="M512" s="3"/>
      <c r="N512" s="3"/>
      <c r="O512" s="3"/>
      <c r="P512" s="3"/>
      <c r="Q512" s="3"/>
      <c r="R512" s="3"/>
      <c r="S512" s="3"/>
      <c r="T512" s="3" t="s">
        <v>1572</v>
      </c>
      <c r="U512" s="3"/>
      <c r="V512" s="3"/>
      <c r="W512" s="3"/>
      <c r="X512" s="3"/>
      <c r="Y512" s="3" t="s">
        <v>1573</v>
      </c>
      <c r="Z512" s="3" t="s">
        <v>1574</v>
      </c>
      <c r="AA512" s="3"/>
      <c r="AB512" s="3"/>
      <c r="AC512" s="3"/>
      <c r="AD512" s="3"/>
      <c r="AE512" s="3"/>
      <c r="AF512" s="3"/>
      <c r="AG512" s="3"/>
      <c r="AH512" s="3"/>
      <c r="AI512" s="3"/>
      <c r="AJ512" s="3"/>
      <c r="AK512" s="3"/>
      <c r="AL512" s="3"/>
      <c r="AM512" s="3" t="s">
        <v>698</v>
      </c>
      <c r="AN512" s="3"/>
      <c r="AO512" s="3"/>
      <c r="AP512" s="3"/>
      <c r="AQ512" s="3"/>
      <c r="AR512" s="3" t="s">
        <v>67</v>
      </c>
      <c r="AS512" s="3">
        <v>2014</v>
      </c>
      <c r="AT512" s="3">
        <v>33</v>
      </c>
      <c r="AU512" s="3">
        <v>2</v>
      </c>
      <c r="AV512" s="3"/>
      <c r="AW512" s="3"/>
      <c r="AX512" s="3"/>
      <c r="AY512" s="3"/>
      <c r="AZ512" s="3">
        <v>283</v>
      </c>
      <c r="BA512" s="3">
        <v>291</v>
      </c>
      <c r="BB512" s="3"/>
      <c r="BC512" s="3" t="s">
        <v>1575</v>
      </c>
      <c r="BD512" s="15" t="str">
        <f>HYPERLINK("http://dx.doi.org/10.1377/hlthaff.2013.0512","http://dx.doi.org/10.1377/hlthaff.2013.0512")</f>
        <v>http://dx.doi.org/10.1377/hlthaff.2013.0512</v>
      </c>
      <c r="BE512" s="3"/>
      <c r="BF512" s="3"/>
      <c r="BG512" s="3"/>
      <c r="BH512" s="3"/>
      <c r="BI512" s="3">
        <v>24493772</v>
      </c>
      <c r="BJ512" s="3" t="s">
        <v>1576</v>
      </c>
      <c r="BK512" s="3"/>
      <c r="BL512" s="3"/>
      <c r="BM512" s="3"/>
      <c r="BN512" s="3"/>
      <c r="BO512" s="3"/>
      <c r="BP512" s="3"/>
      <c r="BQ512" s="3"/>
      <c r="BR512" s="3"/>
      <c r="BS512" s="3"/>
      <c r="BT512" s="3"/>
      <c r="BU512" s="1" t="s">
        <v>7215</v>
      </c>
      <c r="BV512" s="2" t="s">
        <v>7188</v>
      </c>
      <c r="BW512" s="10" t="s">
        <v>7189</v>
      </c>
    </row>
    <row r="513" spans="1:75" ht="12.75" customHeight="1">
      <c r="A513" s="4" t="s">
        <v>63</v>
      </c>
      <c r="B513" s="4" t="s">
        <v>3024</v>
      </c>
      <c r="C513" s="4"/>
      <c r="D513" s="4"/>
      <c r="E513" s="4"/>
      <c r="F513" s="4" t="s">
        <v>3025</v>
      </c>
      <c r="G513" s="4"/>
      <c r="H513" s="4"/>
      <c r="I513" s="4" t="s">
        <v>3026</v>
      </c>
      <c r="J513" s="4" t="s">
        <v>3027</v>
      </c>
      <c r="K513" s="4"/>
      <c r="L513" s="4"/>
      <c r="M513" s="4"/>
      <c r="N513" s="4"/>
      <c r="O513" s="4"/>
      <c r="P513" s="4"/>
      <c r="Q513" s="4"/>
      <c r="R513" s="4"/>
      <c r="S513" s="4"/>
      <c r="T513" s="4" t="s">
        <v>3028</v>
      </c>
      <c r="U513" s="4"/>
      <c r="V513" s="4"/>
      <c r="W513" s="4"/>
      <c r="X513" s="4"/>
      <c r="Y513" s="4"/>
      <c r="Z513" s="4"/>
      <c r="AA513" s="4"/>
      <c r="AB513" s="4"/>
      <c r="AC513" s="4"/>
      <c r="AD513" s="4"/>
      <c r="AE513" s="4"/>
      <c r="AF513" s="4"/>
      <c r="AG513" s="4"/>
      <c r="AH513" s="4"/>
      <c r="AI513" s="4"/>
      <c r="AJ513" s="4"/>
      <c r="AK513" s="4"/>
      <c r="AL513" s="4"/>
      <c r="AM513" s="4" t="s">
        <v>3029</v>
      </c>
      <c r="AN513" s="4" t="s">
        <v>3030</v>
      </c>
      <c r="AO513" s="4"/>
      <c r="AP513" s="4"/>
      <c r="AQ513" s="4"/>
      <c r="AR513" s="4"/>
      <c r="AS513" s="4">
        <v>2017</v>
      </c>
      <c r="AT513" s="4">
        <v>53</v>
      </c>
      <c r="AU513" s="4">
        <v>3</v>
      </c>
      <c r="AV513" s="4"/>
      <c r="AW513" s="4"/>
      <c r="AX513" s="4"/>
      <c r="AY513" s="4"/>
      <c r="AZ513" s="4">
        <v>399</v>
      </c>
      <c r="BA513" s="4">
        <v>413</v>
      </c>
      <c r="BB513" s="4"/>
      <c r="BC513" s="4" t="s">
        <v>3031</v>
      </c>
      <c r="BD513" s="5" t="str">
        <f>HYPERLINK("http://dx.doi.org/10.1080/10437797.2016.1266976","http://dx.doi.org/10.1080/10437797.2016.1266976")</f>
        <v>http://dx.doi.org/10.1080/10437797.2016.1266976</v>
      </c>
      <c r="BE513" s="4"/>
      <c r="BF513" s="4"/>
      <c r="BG513" s="4"/>
      <c r="BH513" s="4"/>
      <c r="BI513" s="4"/>
      <c r="BJ513" s="4" t="s">
        <v>3032</v>
      </c>
      <c r="BK513" s="4"/>
      <c r="BL513" s="4"/>
      <c r="BM513" s="4"/>
      <c r="BN513" s="4"/>
      <c r="BO513" s="4"/>
      <c r="BP513" s="4"/>
      <c r="BQ513" s="4"/>
      <c r="BR513" s="4"/>
      <c r="BS513" s="4"/>
      <c r="BT513" s="4"/>
      <c r="BU513" s="12" t="s">
        <v>7193</v>
      </c>
      <c r="BV513" s="12" t="s">
        <v>7188</v>
      </c>
      <c r="BW513" s="12" t="s">
        <v>7189</v>
      </c>
    </row>
    <row r="514" spans="1:75" ht="12.75" customHeight="1">
      <c r="A514" s="3" t="s">
        <v>63</v>
      </c>
      <c r="B514" s="3" t="s">
        <v>3896</v>
      </c>
      <c r="C514" s="3"/>
      <c r="D514" s="3"/>
      <c r="E514" s="3"/>
      <c r="F514" s="3" t="s">
        <v>3897</v>
      </c>
      <c r="G514" s="3"/>
      <c r="H514" s="3"/>
      <c r="I514" s="3" t="s">
        <v>3898</v>
      </c>
      <c r="J514" s="3" t="s">
        <v>2540</v>
      </c>
      <c r="K514" s="3"/>
      <c r="L514" s="3"/>
      <c r="M514" s="3"/>
      <c r="N514" s="3" t="s">
        <v>3899</v>
      </c>
      <c r="O514" s="3" t="s">
        <v>1090</v>
      </c>
      <c r="P514" s="3" t="s">
        <v>2543</v>
      </c>
      <c r="Q514" s="3"/>
      <c r="R514" s="3"/>
      <c r="S514" s="3"/>
      <c r="T514" s="3"/>
      <c r="U514" s="3"/>
      <c r="V514" s="3"/>
      <c r="W514" s="3"/>
      <c r="X514" s="3"/>
      <c r="Y514" s="3"/>
      <c r="Z514" s="3"/>
      <c r="AA514" s="3"/>
      <c r="AB514" s="3"/>
      <c r="AC514" s="3"/>
      <c r="AD514" s="3"/>
      <c r="AE514" s="3"/>
      <c r="AF514" s="3"/>
      <c r="AG514" s="3"/>
      <c r="AH514" s="3"/>
      <c r="AI514" s="3"/>
      <c r="AJ514" s="3"/>
      <c r="AK514" s="3"/>
      <c r="AL514" s="3"/>
      <c r="AM514" s="3" t="s">
        <v>2545</v>
      </c>
      <c r="AN514" s="3" t="s">
        <v>2546</v>
      </c>
      <c r="AO514" s="3"/>
      <c r="AP514" s="3"/>
      <c r="AQ514" s="3"/>
      <c r="AR514" s="3" t="s">
        <v>3900</v>
      </c>
      <c r="AS514" s="3">
        <v>2019</v>
      </c>
      <c r="AT514" s="3">
        <v>73</v>
      </c>
      <c r="AU514" s="3">
        <v>9</v>
      </c>
      <c r="AV514" s="3"/>
      <c r="AW514" s="3">
        <v>1</v>
      </c>
      <c r="AX514" s="3"/>
      <c r="AY514" s="3" t="s">
        <v>3901</v>
      </c>
      <c r="AZ514" s="3">
        <v>861</v>
      </c>
      <c r="BA514" s="3">
        <v>861</v>
      </c>
      <c r="BB514" s="3"/>
      <c r="BC514" s="3" t="s">
        <v>3902</v>
      </c>
      <c r="BD514" s="15" t="str">
        <f>HYPERLINK("http://dx.doi.org/10.1016/S0735-1097(19)31468-8","http://dx.doi.org/10.1016/S0735-1097(19)31468-8")</f>
        <v>http://dx.doi.org/10.1016/S0735-1097(19)31468-8</v>
      </c>
      <c r="BE514" s="3"/>
      <c r="BF514" s="3"/>
      <c r="BG514" s="3"/>
      <c r="BH514" s="3"/>
      <c r="BI514" s="3"/>
      <c r="BJ514" s="3" t="s">
        <v>3903</v>
      </c>
      <c r="BK514" s="3"/>
      <c r="BL514" s="3"/>
      <c r="BM514" s="3"/>
      <c r="BN514" s="3"/>
      <c r="BO514" s="3"/>
      <c r="BP514" s="3"/>
      <c r="BQ514" s="3"/>
      <c r="BR514" s="3"/>
      <c r="BS514" s="3"/>
      <c r="BT514" s="3"/>
      <c r="BU514" s="1" t="s">
        <v>7420</v>
      </c>
      <c r="BV514" s="2" t="s">
        <v>7188</v>
      </c>
      <c r="BW514" s="10" t="s">
        <v>7189</v>
      </c>
    </row>
    <row r="515" spans="1:75" ht="12.75" customHeight="1">
      <c r="A515" s="3" t="s">
        <v>63</v>
      </c>
      <c r="B515" s="3" t="s">
        <v>5032</v>
      </c>
      <c r="C515" s="3"/>
      <c r="D515" s="3"/>
      <c r="E515" s="3"/>
      <c r="F515" s="3" t="s">
        <v>5033</v>
      </c>
      <c r="G515" s="3"/>
      <c r="H515" s="3"/>
      <c r="I515" s="3" t="s">
        <v>5034</v>
      </c>
      <c r="J515" s="3" t="s">
        <v>4990</v>
      </c>
      <c r="K515" s="3"/>
      <c r="L515" s="3"/>
      <c r="M515" s="3"/>
      <c r="N515" s="3"/>
      <c r="O515" s="3"/>
      <c r="P515" s="3"/>
      <c r="Q515" s="3"/>
      <c r="R515" s="3"/>
      <c r="S515" s="3"/>
      <c r="T515" s="3"/>
      <c r="U515" s="3"/>
      <c r="V515" s="3"/>
      <c r="W515" s="3"/>
      <c r="X515" s="3"/>
      <c r="Y515" s="3" t="s">
        <v>4835</v>
      </c>
      <c r="Z515" s="3"/>
      <c r="AA515" s="3"/>
      <c r="AB515" s="3"/>
      <c r="AC515" s="3"/>
      <c r="AD515" s="3"/>
      <c r="AE515" s="3"/>
      <c r="AF515" s="3"/>
      <c r="AG515" s="3"/>
      <c r="AH515" s="3"/>
      <c r="AI515" s="3"/>
      <c r="AJ515" s="3"/>
      <c r="AK515" s="3"/>
      <c r="AL515" s="3"/>
      <c r="AM515" s="3" t="s">
        <v>4991</v>
      </c>
      <c r="AN515" s="3"/>
      <c r="AO515" s="3"/>
      <c r="AP515" s="3"/>
      <c r="AQ515" s="3"/>
      <c r="AR515" s="3" t="s">
        <v>445</v>
      </c>
      <c r="AS515" s="3">
        <v>2021</v>
      </c>
      <c r="AT515" s="3">
        <v>74</v>
      </c>
      <c r="AU515" s="3">
        <v>3</v>
      </c>
      <c r="AV515" s="3"/>
      <c r="AW515" s="3"/>
      <c r="AX515" s="3"/>
      <c r="AY515" s="3" t="s">
        <v>5035</v>
      </c>
      <c r="AZ515" s="3" t="s">
        <v>5036</v>
      </c>
      <c r="BA515" s="3" t="s">
        <v>5036</v>
      </c>
      <c r="BB515" s="3"/>
      <c r="BC515" s="3"/>
      <c r="BD515" s="3"/>
      <c r="BE515" s="3"/>
      <c r="BF515" s="3"/>
      <c r="BG515" s="3"/>
      <c r="BH515" s="3"/>
      <c r="BI515" s="3"/>
      <c r="BJ515" s="3" t="s">
        <v>5037</v>
      </c>
      <c r="BK515" s="3"/>
      <c r="BL515" s="3"/>
      <c r="BM515" s="3"/>
      <c r="BN515" s="3"/>
      <c r="BO515" s="3"/>
      <c r="BP515" s="3"/>
      <c r="BQ515" s="3"/>
      <c r="BR515" s="3"/>
      <c r="BS515" s="3"/>
      <c r="BT515" s="3"/>
      <c r="BU515" s="1" t="s">
        <v>7421</v>
      </c>
      <c r="BV515" s="2" t="s">
        <v>7188</v>
      </c>
      <c r="BW515" s="10" t="s">
        <v>7189</v>
      </c>
    </row>
    <row r="516" spans="1:75" ht="12.75" customHeight="1">
      <c r="A516" s="4" t="s">
        <v>63</v>
      </c>
      <c r="B516" s="4" t="s">
        <v>6307</v>
      </c>
      <c r="C516" s="4"/>
      <c r="D516" s="4"/>
      <c r="E516" s="4"/>
      <c r="F516" s="4" t="s">
        <v>6308</v>
      </c>
      <c r="G516" s="4"/>
      <c r="H516" s="4"/>
      <c r="I516" s="4" t="s">
        <v>6309</v>
      </c>
      <c r="J516" s="4" t="s">
        <v>822</v>
      </c>
      <c r="K516" s="4"/>
      <c r="L516" s="4"/>
      <c r="M516" s="4"/>
      <c r="N516" s="4"/>
      <c r="O516" s="4"/>
      <c r="P516" s="4"/>
      <c r="Q516" s="4"/>
      <c r="R516" s="4"/>
      <c r="S516" s="4"/>
      <c r="T516" s="4" t="s">
        <v>6310</v>
      </c>
      <c r="U516" s="4"/>
      <c r="V516" s="4"/>
      <c r="W516" s="4"/>
      <c r="X516" s="4"/>
      <c r="Y516" s="4" t="s">
        <v>6311</v>
      </c>
      <c r="Z516" s="4" t="s">
        <v>6312</v>
      </c>
      <c r="AA516" s="4"/>
      <c r="AB516" s="4"/>
      <c r="AC516" s="4"/>
      <c r="AD516" s="4"/>
      <c r="AE516" s="4"/>
      <c r="AF516" s="4"/>
      <c r="AG516" s="4"/>
      <c r="AH516" s="4"/>
      <c r="AI516" s="4"/>
      <c r="AJ516" s="4"/>
      <c r="AK516" s="4"/>
      <c r="AL516" s="4"/>
      <c r="AM516" s="4" t="s">
        <v>824</v>
      </c>
      <c r="AN516" s="4" t="s">
        <v>825</v>
      </c>
      <c r="AO516" s="4"/>
      <c r="AP516" s="4"/>
      <c r="AQ516" s="4"/>
      <c r="AR516" s="4" t="s">
        <v>6313</v>
      </c>
      <c r="AS516" s="4">
        <v>2023</v>
      </c>
      <c r="AT516" s="4">
        <v>26</v>
      </c>
      <c r="AU516" s="4">
        <v>2</v>
      </c>
      <c r="AV516" s="4"/>
      <c r="AW516" s="4"/>
      <c r="AX516" s="4"/>
      <c r="AY516" s="4"/>
      <c r="AZ516" s="4">
        <v>387</v>
      </c>
      <c r="BA516" s="4">
        <v>408</v>
      </c>
      <c r="BB516" s="4"/>
      <c r="BC516" s="4" t="s">
        <v>6314</v>
      </c>
      <c r="BD516" s="5" t="str">
        <f>HYPERLINK("http://dx.doi.org/10.1080/15528014.2021.2000700","http://dx.doi.org/10.1080/15528014.2021.2000700")</f>
        <v>http://dx.doi.org/10.1080/15528014.2021.2000700</v>
      </c>
      <c r="BE516" s="4"/>
      <c r="BF516" s="4" t="s">
        <v>5467</v>
      </c>
      <c r="BG516" s="4"/>
      <c r="BH516" s="4"/>
      <c r="BI516" s="4"/>
      <c r="BJ516" s="4" t="s">
        <v>6315</v>
      </c>
      <c r="BK516" s="4"/>
      <c r="BL516" s="4"/>
      <c r="BM516" s="4"/>
      <c r="BN516" s="4"/>
      <c r="BO516" s="4"/>
      <c r="BP516" s="4"/>
      <c r="BQ516" s="4"/>
      <c r="BR516" s="4"/>
      <c r="BS516" s="4"/>
      <c r="BT516" s="4"/>
      <c r="BU516" s="12" t="s">
        <v>7306</v>
      </c>
      <c r="BV516" s="12" t="s">
        <v>7188</v>
      </c>
      <c r="BW516" s="12" t="s">
        <v>7189</v>
      </c>
    </row>
    <row r="517" spans="1:75" ht="12.75" customHeight="1">
      <c r="A517" s="3" t="s">
        <v>63</v>
      </c>
      <c r="B517" s="3" t="s">
        <v>6316</v>
      </c>
      <c r="C517" s="3"/>
      <c r="D517" s="3"/>
      <c r="E517" s="3"/>
      <c r="F517" s="3" t="s">
        <v>6317</v>
      </c>
      <c r="G517" s="3"/>
      <c r="H517" s="3"/>
      <c r="I517" s="3" t="s">
        <v>6318</v>
      </c>
      <c r="J517" s="3" t="s">
        <v>2540</v>
      </c>
      <c r="K517" s="3"/>
      <c r="L517" s="3"/>
      <c r="M517" s="3"/>
      <c r="N517" s="3" t="s">
        <v>6319</v>
      </c>
      <c r="O517" s="3" t="s">
        <v>1090</v>
      </c>
      <c r="P517" s="3"/>
      <c r="Q517" s="3"/>
      <c r="R517" s="3"/>
      <c r="S517" s="3"/>
      <c r="T517" s="3"/>
      <c r="U517" s="3"/>
      <c r="V517" s="3"/>
      <c r="W517" s="3"/>
      <c r="X517" s="3"/>
      <c r="Y517" s="3" t="s">
        <v>6320</v>
      </c>
      <c r="Z517" s="3"/>
      <c r="AA517" s="3"/>
      <c r="AB517" s="3"/>
      <c r="AC517" s="3"/>
      <c r="AD517" s="3"/>
      <c r="AE517" s="3"/>
      <c r="AF517" s="3"/>
      <c r="AG517" s="3"/>
      <c r="AH517" s="3"/>
      <c r="AI517" s="3"/>
      <c r="AJ517" s="3"/>
      <c r="AK517" s="3"/>
      <c r="AL517" s="3"/>
      <c r="AM517" s="3" t="s">
        <v>2545</v>
      </c>
      <c r="AN517" s="3" t="s">
        <v>2546</v>
      </c>
      <c r="AO517" s="3"/>
      <c r="AP517" s="3"/>
      <c r="AQ517" s="3"/>
      <c r="AR517" s="3" t="s">
        <v>6321</v>
      </c>
      <c r="AS517" s="3">
        <v>2023</v>
      </c>
      <c r="AT517" s="3">
        <v>81</v>
      </c>
      <c r="AU517" s="3">
        <v>8</v>
      </c>
      <c r="AV517" s="3"/>
      <c r="AW517" s="3" t="s">
        <v>1330</v>
      </c>
      <c r="AX517" s="3"/>
      <c r="AY517" s="3" t="s">
        <v>6322</v>
      </c>
      <c r="AZ517" s="3">
        <v>1639</v>
      </c>
      <c r="BA517" s="3">
        <v>1639</v>
      </c>
      <c r="BB517" s="3"/>
      <c r="BC517" s="3"/>
      <c r="BD517" s="3"/>
      <c r="BE517" s="3"/>
      <c r="BF517" s="3"/>
      <c r="BG517" s="3"/>
      <c r="BH517" s="3"/>
      <c r="BI517" s="3"/>
      <c r="BJ517" s="3" t="s">
        <v>6323</v>
      </c>
      <c r="BK517" s="3"/>
      <c r="BL517" s="3"/>
      <c r="BM517" s="3"/>
      <c r="BN517" s="3"/>
      <c r="BO517" s="3"/>
      <c r="BP517" s="3"/>
      <c r="BQ517" s="3"/>
      <c r="BR517" s="3"/>
      <c r="BS517" s="3"/>
      <c r="BT517" s="3"/>
      <c r="BU517" s="1" t="s">
        <v>7297</v>
      </c>
      <c r="BV517" s="2" t="s">
        <v>7188</v>
      </c>
      <c r="BW517" s="10" t="s">
        <v>7189</v>
      </c>
    </row>
    <row r="518" spans="1:75" ht="12.75" customHeight="1">
      <c r="A518" s="4" t="s">
        <v>63</v>
      </c>
      <c r="B518" s="4" t="s">
        <v>1209</v>
      </c>
      <c r="C518" s="4"/>
      <c r="D518" s="4"/>
      <c r="E518" s="4"/>
      <c r="F518" s="4" t="s">
        <v>1210</v>
      </c>
      <c r="G518" s="4"/>
      <c r="H518" s="4"/>
      <c r="I518" s="4" t="s">
        <v>1211</v>
      </c>
      <c r="J518" s="4" t="s">
        <v>1212</v>
      </c>
      <c r="K518" s="4"/>
      <c r="L518" s="4"/>
      <c r="M518" s="4"/>
      <c r="N518" s="4"/>
      <c r="O518" s="4"/>
      <c r="P518" s="4"/>
      <c r="Q518" s="4"/>
      <c r="R518" s="4"/>
      <c r="S518" s="4"/>
      <c r="T518" s="4" t="s">
        <v>1213</v>
      </c>
      <c r="U518" s="4"/>
      <c r="V518" s="4"/>
      <c r="W518" s="4"/>
      <c r="X518" s="4"/>
      <c r="Y518" s="4" t="s">
        <v>1214</v>
      </c>
      <c r="Z518" s="4"/>
      <c r="AA518" s="4"/>
      <c r="AB518" s="4"/>
      <c r="AC518" s="4"/>
      <c r="AD518" s="4"/>
      <c r="AE518" s="4"/>
      <c r="AF518" s="4"/>
      <c r="AG518" s="4"/>
      <c r="AH518" s="4"/>
      <c r="AI518" s="4"/>
      <c r="AJ518" s="4"/>
      <c r="AK518" s="4"/>
      <c r="AL518" s="4"/>
      <c r="AM518" s="4" t="s">
        <v>1215</v>
      </c>
      <c r="AN518" s="4"/>
      <c r="AO518" s="4"/>
      <c r="AP518" s="4"/>
      <c r="AQ518" s="4"/>
      <c r="AR518" s="4"/>
      <c r="AS518" s="4">
        <v>2013</v>
      </c>
      <c r="AT518" s="4">
        <v>40</v>
      </c>
      <c r="AU518" s="4">
        <v>2</v>
      </c>
      <c r="AV518" s="4"/>
      <c r="AW518" s="4"/>
      <c r="AX518" s="4" t="s">
        <v>569</v>
      </c>
      <c r="AY518" s="4"/>
      <c r="AZ518" s="4">
        <v>90</v>
      </c>
      <c r="BA518" s="4">
        <v>102</v>
      </c>
      <c r="BB518" s="4"/>
      <c r="BC518" s="4" t="s">
        <v>1216</v>
      </c>
      <c r="BD518" s="5" t="str">
        <f>HYPERLINK("http://dx.doi.org/10.1080/15230406.2013.776210","http://dx.doi.org/10.1080/15230406.2013.776210")</f>
        <v>http://dx.doi.org/10.1080/15230406.2013.776210</v>
      </c>
      <c r="BE518" s="4"/>
      <c r="BF518" s="4"/>
      <c r="BG518" s="4"/>
      <c r="BH518" s="4"/>
      <c r="BI518" s="4">
        <v>25126022</v>
      </c>
      <c r="BJ518" s="4" t="s">
        <v>1217</v>
      </c>
      <c r="BK518" s="4"/>
      <c r="BL518" s="4"/>
      <c r="BM518" s="4"/>
      <c r="BN518" s="4"/>
      <c r="BO518" s="4"/>
      <c r="BP518" s="4"/>
      <c r="BQ518" s="4"/>
      <c r="BR518" s="4"/>
      <c r="BS518" s="4"/>
      <c r="BT518" s="4"/>
      <c r="BU518" s="12" t="s">
        <v>7201</v>
      </c>
      <c r="BV518" s="12" t="s">
        <v>7188</v>
      </c>
      <c r="BW518" s="12" t="s">
        <v>7189</v>
      </c>
    </row>
    <row r="519" spans="1:75" ht="12.75" customHeight="1">
      <c r="A519" s="4" t="s">
        <v>201</v>
      </c>
      <c r="B519" s="4" t="s">
        <v>1577</v>
      </c>
      <c r="C519" s="4"/>
      <c r="D519" s="4" t="s">
        <v>1578</v>
      </c>
      <c r="E519" s="4"/>
      <c r="F519" s="4" t="s">
        <v>1579</v>
      </c>
      <c r="G519" s="4"/>
      <c r="H519" s="4"/>
      <c r="I519" s="4" t="s">
        <v>1580</v>
      </c>
      <c r="J519" s="4" t="s">
        <v>1581</v>
      </c>
      <c r="K519" s="4" t="s">
        <v>1582</v>
      </c>
      <c r="L519" s="4"/>
      <c r="M519" s="4"/>
      <c r="N519" s="4" t="s">
        <v>1583</v>
      </c>
      <c r="O519" s="4" t="s">
        <v>1584</v>
      </c>
      <c r="P519" s="4" t="s">
        <v>1585</v>
      </c>
      <c r="Q519" s="4"/>
      <c r="R519" s="4"/>
      <c r="S519" s="4"/>
      <c r="T519" s="4" t="s">
        <v>1586</v>
      </c>
      <c r="U519" s="4"/>
      <c r="V519" s="4"/>
      <c r="W519" s="4"/>
      <c r="X519" s="4"/>
      <c r="Y519" s="4" t="s">
        <v>1587</v>
      </c>
      <c r="Z519" s="4"/>
      <c r="AA519" s="4"/>
      <c r="AB519" s="4"/>
      <c r="AC519" s="4"/>
      <c r="AD519" s="4"/>
      <c r="AE519" s="4"/>
      <c r="AF519" s="4"/>
      <c r="AG519" s="4"/>
      <c r="AH519" s="4"/>
      <c r="AI519" s="4"/>
      <c r="AJ519" s="4"/>
      <c r="AK519" s="4"/>
      <c r="AL519" s="4"/>
      <c r="AM519" s="4" t="s">
        <v>1588</v>
      </c>
      <c r="AN519" s="4"/>
      <c r="AO519" s="4" t="s">
        <v>1589</v>
      </c>
      <c r="AP519" s="4"/>
      <c r="AQ519" s="4"/>
      <c r="AR519" s="4"/>
      <c r="AS519" s="4">
        <v>2014</v>
      </c>
      <c r="AT519" s="4">
        <v>11</v>
      </c>
      <c r="AU519" s="4"/>
      <c r="AV519" s="4"/>
      <c r="AW519" s="4"/>
      <c r="AX519" s="4"/>
      <c r="AY519" s="4"/>
      <c r="AZ519" s="4">
        <v>356</v>
      </c>
      <c r="BA519" s="4">
        <v>363</v>
      </c>
      <c r="BB519" s="4"/>
      <c r="BC519" s="4" t="s">
        <v>1590</v>
      </c>
      <c r="BD519" s="5" t="str">
        <f>HYPERLINK("http://dx.doi.org/10.4028/www.scientific.net/AEF.11.356","http://dx.doi.org/10.4028/www.scientific.net/AEF.11.356")</f>
        <v>http://dx.doi.org/10.4028/www.scientific.net/AEF.11.356</v>
      </c>
      <c r="BE519" s="4"/>
      <c r="BF519" s="4"/>
      <c r="BG519" s="4"/>
      <c r="BH519" s="4"/>
      <c r="BI519" s="4"/>
      <c r="BJ519" s="4" t="s">
        <v>1591</v>
      </c>
      <c r="BK519" s="4"/>
      <c r="BL519" s="4"/>
      <c r="BM519" s="4"/>
      <c r="BN519" s="4"/>
      <c r="BO519" s="4"/>
      <c r="BP519" s="4"/>
      <c r="BQ519" s="4"/>
      <c r="BR519" s="4"/>
      <c r="BS519" s="4"/>
      <c r="BT519" s="4"/>
      <c r="BU519" s="12" t="s">
        <v>7422</v>
      </c>
      <c r="BV519" s="12" t="s">
        <v>7188</v>
      </c>
      <c r="BW519" s="12" t="s">
        <v>7189</v>
      </c>
    </row>
    <row r="520" spans="1:75" ht="12.75" customHeight="1">
      <c r="A520" s="4" t="s">
        <v>63</v>
      </c>
      <c r="B520" s="4" t="s">
        <v>676</v>
      </c>
      <c r="C520" s="4"/>
      <c r="D520" s="4"/>
      <c r="E520" s="4"/>
      <c r="F520" s="4" t="s">
        <v>677</v>
      </c>
      <c r="G520" s="4"/>
      <c r="H520" s="4"/>
      <c r="I520" s="4" t="s">
        <v>678</v>
      </c>
      <c r="J520" s="4" t="s">
        <v>679</v>
      </c>
      <c r="K520" s="4"/>
      <c r="L520" s="4"/>
      <c r="M520" s="4"/>
      <c r="N520" s="4"/>
      <c r="O520" s="4"/>
      <c r="P520" s="4"/>
      <c r="Q520" s="4"/>
      <c r="R520" s="4"/>
      <c r="S520" s="4"/>
      <c r="T520" s="4" t="s">
        <v>680</v>
      </c>
      <c r="U520" s="4"/>
      <c r="V520" s="4"/>
      <c r="W520" s="4"/>
      <c r="X520" s="4"/>
      <c r="Y520" s="4"/>
      <c r="Z520" s="4" t="s">
        <v>681</v>
      </c>
      <c r="AA520" s="4"/>
      <c r="AB520" s="4"/>
      <c r="AC520" s="4"/>
      <c r="AD520" s="4"/>
      <c r="AE520" s="4"/>
      <c r="AF520" s="4"/>
      <c r="AG520" s="4"/>
      <c r="AH520" s="4"/>
      <c r="AI520" s="4"/>
      <c r="AJ520" s="4"/>
      <c r="AK520" s="4"/>
      <c r="AL520" s="4"/>
      <c r="AM520" s="4" t="s">
        <v>682</v>
      </c>
      <c r="AN520" s="4" t="s">
        <v>683</v>
      </c>
      <c r="AO520" s="4"/>
      <c r="AP520" s="4"/>
      <c r="AQ520" s="4"/>
      <c r="AR520" s="4" t="s">
        <v>64</v>
      </c>
      <c r="AS520" s="4">
        <v>2011</v>
      </c>
      <c r="AT520" s="4">
        <v>22</v>
      </c>
      <c r="AU520" s="4">
        <v>4</v>
      </c>
      <c r="AV520" s="4"/>
      <c r="AW520" s="4"/>
      <c r="AX520" s="4"/>
      <c r="AY520" s="4"/>
      <c r="AZ520" s="4">
        <v>1205</v>
      </c>
      <c r="BA520" s="4">
        <v>1220</v>
      </c>
      <c r="BB520" s="4"/>
      <c r="BC520" s="4"/>
      <c r="BD520" s="4"/>
      <c r="BE520" s="4"/>
      <c r="BF520" s="4"/>
      <c r="BG520" s="4"/>
      <c r="BH520" s="4"/>
      <c r="BI520" s="4">
        <v>22080704</v>
      </c>
      <c r="BJ520" s="4" t="s">
        <v>684</v>
      </c>
      <c r="BK520" s="4"/>
      <c r="BL520" s="4"/>
      <c r="BM520" s="4"/>
      <c r="BN520" s="4"/>
      <c r="BO520" s="4"/>
      <c r="BP520" s="4"/>
      <c r="BQ520" s="4"/>
      <c r="BR520" s="4"/>
      <c r="BS520" s="4"/>
      <c r="BT520" s="4"/>
      <c r="BU520" s="12" t="s">
        <v>7225</v>
      </c>
      <c r="BV520" s="12" t="s">
        <v>7188</v>
      </c>
      <c r="BW520" s="12" t="s">
        <v>7189</v>
      </c>
    </row>
    <row r="521" spans="1:75" ht="12.75" customHeight="1">
      <c r="A521" s="3" t="s">
        <v>63</v>
      </c>
      <c r="B521" s="3" t="s">
        <v>6324</v>
      </c>
      <c r="C521" s="3"/>
      <c r="D521" s="3"/>
      <c r="E521" s="3"/>
      <c r="F521" s="3" t="s">
        <v>6325</v>
      </c>
      <c r="G521" s="3"/>
      <c r="H521" s="3"/>
      <c r="I521" s="3" t="s">
        <v>6326</v>
      </c>
      <c r="J521" s="3" t="s">
        <v>6295</v>
      </c>
      <c r="K521" s="3"/>
      <c r="L521" s="3"/>
      <c r="M521" s="3"/>
      <c r="N521" s="3" t="s">
        <v>6327</v>
      </c>
      <c r="O521" s="3" t="s">
        <v>6328</v>
      </c>
      <c r="P521" s="3"/>
      <c r="Q521" s="3"/>
      <c r="R521" s="3"/>
      <c r="S521" s="3"/>
      <c r="T521" s="3"/>
      <c r="U521" s="3"/>
      <c r="V521" s="3"/>
      <c r="W521" s="3"/>
      <c r="X521" s="3"/>
      <c r="Y521" s="3"/>
      <c r="Z521" s="3"/>
      <c r="AA521" s="3"/>
      <c r="AB521" s="3"/>
      <c r="AC521" s="3"/>
      <c r="AD521" s="3"/>
      <c r="AE521" s="3"/>
      <c r="AF521" s="3"/>
      <c r="AG521" s="3"/>
      <c r="AH521" s="3"/>
      <c r="AI521" s="3"/>
      <c r="AJ521" s="3"/>
      <c r="AK521" s="3"/>
      <c r="AL521" s="3"/>
      <c r="AM521" s="3" t="s">
        <v>6298</v>
      </c>
      <c r="AN521" s="3" t="s">
        <v>6299</v>
      </c>
      <c r="AO521" s="3"/>
      <c r="AP521" s="3"/>
      <c r="AQ521" s="3"/>
      <c r="AR521" s="3" t="s">
        <v>3979</v>
      </c>
      <c r="AS521" s="3">
        <v>2023</v>
      </c>
      <c r="AT521" s="3">
        <v>83</v>
      </c>
      <c r="AU521" s="3">
        <v>5</v>
      </c>
      <c r="AV521" s="3"/>
      <c r="AW521" s="3" t="s">
        <v>151</v>
      </c>
      <c r="AX521" s="3"/>
      <c r="AY521" s="3" t="s">
        <v>6329</v>
      </c>
      <c r="AZ521" s="3"/>
      <c r="BA521" s="3"/>
      <c r="BB521" s="3"/>
      <c r="BC521" s="3" t="s">
        <v>6330</v>
      </c>
      <c r="BD521" s="15" t="str">
        <f>HYPERLINK("http://dx.doi.org/10.1158/1538-7445.SABCS22-P6-03-02","http://dx.doi.org/10.1158/1538-7445.SABCS22-P6-03-02")</f>
        <v>http://dx.doi.org/10.1158/1538-7445.SABCS22-P6-03-02</v>
      </c>
      <c r="BE521" s="3"/>
      <c r="BF521" s="3"/>
      <c r="BG521" s="3"/>
      <c r="BH521" s="3"/>
      <c r="BI521" s="3"/>
      <c r="BJ521" s="3" t="s">
        <v>6331</v>
      </c>
      <c r="BK521" s="3"/>
      <c r="BL521" s="3"/>
      <c r="BM521" s="3"/>
      <c r="BN521" s="3"/>
      <c r="BO521" s="3"/>
      <c r="BP521" s="3"/>
      <c r="BQ521" s="3"/>
      <c r="BR521" s="3"/>
      <c r="BS521" s="3"/>
      <c r="BT521" s="3"/>
      <c r="BU521" s="2" t="s">
        <v>7193</v>
      </c>
      <c r="BV521" s="2" t="s">
        <v>7193</v>
      </c>
      <c r="BW521" s="2" t="s">
        <v>7193</v>
      </c>
    </row>
    <row r="522" spans="1:75" ht="12.75" customHeight="1">
      <c r="A522" s="3" t="s">
        <v>63</v>
      </c>
      <c r="B522" s="3" t="s">
        <v>864</v>
      </c>
      <c r="C522" s="3"/>
      <c r="D522" s="3"/>
      <c r="E522" s="3"/>
      <c r="F522" s="3" t="s">
        <v>865</v>
      </c>
      <c r="G522" s="3"/>
      <c r="H522" s="3"/>
      <c r="I522" s="3" t="s">
        <v>866</v>
      </c>
      <c r="J522" s="3" t="s">
        <v>867</v>
      </c>
      <c r="K522" s="3"/>
      <c r="L522" s="3"/>
      <c r="M522" s="3"/>
      <c r="N522" s="3"/>
      <c r="O522" s="3"/>
      <c r="P522" s="3"/>
      <c r="Q522" s="3"/>
      <c r="R522" s="3"/>
      <c r="S522" s="3"/>
      <c r="T522" s="3" t="s">
        <v>868</v>
      </c>
      <c r="U522" s="3"/>
      <c r="V522" s="3"/>
      <c r="W522" s="3"/>
      <c r="X522" s="3"/>
      <c r="Y522" s="3" t="s">
        <v>869</v>
      </c>
      <c r="Z522" s="3" t="s">
        <v>870</v>
      </c>
      <c r="AA522" s="3"/>
      <c r="AB522" s="3"/>
      <c r="AC522" s="3"/>
      <c r="AD522" s="3"/>
      <c r="AE522" s="3"/>
      <c r="AF522" s="3"/>
      <c r="AG522" s="3"/>
      <c r="AH522" s="3"/>
      <c r="AI522" s="3"/>
      <c r="AJ522" s="3"/>
      <c r="AK522" s="3"/>
      <c r="AL522" s="3"/>
      <c r="AM522" s="3" t="s">
        <v>871</v>
      </c>
      <c r="AN522" s="3"/>
      <c r="AO522" s="3"/>
      <c r="AP522" s="3"/>
      <c r="AQ522" s="3"/>
      <c r="AR522" s="3" t="s">
        <v>92</v>
      </c>
      <c r="AS522" s="3">
        <v>2012</v>
      </c>
      <c r="AT522" s="3">
        <v>75</v>
      </c>
      <c r="AU522" s="3">
        <v>7</v>
      </c>
      <c r="AV522" s="3"/>
      <c r="AW522" s="3"/>
      <c r="AX522" s="3"/>
      <c r="AY522" s="3"/>
      <c r="AZ522" s="3">
        <v>1254</v>
      </c>
      <c r="BA522" s="3">
        <v>1262</v>
      </c>
      <c r="BB522" s="3"/>
      <c r="BC522" s="3" t="s">
        <v>872</v>
      </c>
      <c r="BD522" s="15" t="str">
        <f>HYPERLINK("http://dx.doi.org/10.1016/j.socscimed.2012.05.014","http://dx.doi.org/10.1016/j.socscimed.2012.05.014")</f>
        <v>http://dx.doi.org/10.1016/j.socscimed.2012.05.014</v>
      </c>
      <c r="BE522" s="3"/>
      <c r="BF522" s="3"/>
      <c r="BG522" s="3"/>
      <c r="BH522" s="3"/>
      <c r="BI522" s="3">
        <v>22727742</v>
      </c>
      <c r="BJ522" s="3" t="s">
        <v>873</v>
      </c>
      <c r="BK522" s="3"/>
      <c r="BL522" s="3"/>
      <c r="BM522" s="3"/>
      <c r="BN522" s="3"/>
      <c r="BO522" s="3"/>
      <c r="BP522" s="3"/>
      <c r="BQ522" s="3"/>
      <c r="BR522" s="3"/>
      <c r="BS522" s="3"/>
      <c r="BT522" s="3"/>
      <c r="BU522" s="1" t="s">
        <v>7423</v>
      </c>
      <c r="BV522" s="2" t="s">
        <v>7188</v>
      </c>
      <c r="BW522" s="10" t="s">
        <v>7189</v>
      </c>
    </row>
    <row r="523" spans="1:75" ht="12.75" customHeight="1">
      <c r="A523" s="3" t="s">
        <v>63</v>
      </c>
      <c r="B523" s="3" t="s">
        <v>3904</v>
      </c>
      <c r="C523" s="3"/>
      <c r="D523" s="3"/>
      <c r="E523" s="3"/>
      <c r="F523" s="3" t="s">
        <v>3905</v>
      </c>
      <c r="G523" s="3"/>
      <c r="H523" s="3"/>
      <c r="I523" s="3" t="s">
        <v>3906</v>
      </c>
      <c r="J523" s="3" t="s">
        <v>2442</v>
      </c>
      <c r="K523" s="3"/>
      <c r="L523" s="3"/>
      <c r="M523" s="3"/>
      <c r="N523" s="3" t="s">
        <v>3907</v>
      </c>
      <c r="O523" s="3" t="s">
        <v>1926</v>
      </c>
      <c r="P523" s="3" t="s">
        <v>2533</v>
      </c>
      <c r="Q523" s="3"/>
      <c r="R523" s="3"/>
      <c r="S523" s="3"/>
      <c r="T523" s="3"/>
      <c r="U523" s="3"/>
      <c r="V523" s="3"/>
      <c r="W523" s="3"/>
      <c r="X523" s="3"/>
      <c r="Y523" s="3" t="s">
        <v>3908</v>
      </c>
      <c r="Z523" s="3"/>
      <c r="AA523" s="3"/>
      <c r="AB523" s="3"/>
      <c r="AC523" s="3"/>
      <c r="AD523" s="3"/>
      <c r="AE523" s="3"/>
      <c r="AF523" s="3"/>
      <c r="AG523" s="3"/>
      <c r="AH523" s="3"/>
      <c r="AI523" s="3"/>
      <c r="AJ523" s="3"/>
      <c r="AK523" s="3"/>
      <c r="AL523" s="3"/>
      <c r="AM523" s="3" t="s">
        <v>2445</v>
      </c>
      <c r="AN523" s="3" t="s">
        <v>2446</v>
      </c>
      <c r="AO523" s="3"/>
      <c r="AP523" s="3"/>
      <c r="AQ523" s="3"/>
      <c r="AR523" s="3"/>
      <c r="AS523" s="3">
        <v>2019</v>
      </c>
      <c r="AT523" s="3">
        <v>139</v>
      </c>
      <c r="AU523" s="3"/>
      <c r="AV523" s="3"/>
      <c r="AW523" s="3">
        <v>1</v>
      </c>
      <c r="AX523" s="3"/>
      <c r="AY523" s="3" t="s">
        <v>3909</v>
      </c>
      <c r="AZ523" s="3"/>
      <c r="BA523" s="3"/>
      <c r="BB523" s="3"/>
      <c r="BC523" s="3" t="s">
        <v>3910</v>
      </c>
      <c r="BD523" s="15" t="str">
        <f>HYPERLINK("http://dx.doi.org/10.1161/circ.139.suppl_1.P225","http://dx.doi.org/10.1161/circ.139.suppl_1.P225")</f>
        <v>http://dx.doi.org/10.1161/circ.139.suppl_1.P225</v>
      </c>
      <c r="BE523" s="3"/>
      <c r="BF523" s="3"/>
      <c r="BG523" s="3"/>
      <c r="BH523" s="3"/>
      <c r="BI523" s="3"/>
      <c r="BJ523" s="3" t="s">
        <v>3911</v>
      </c>
      <c r="BK523" s="3"/>
      <c r="BL523" s="3"/>
      <c r="BM523" s="3"/>
      <c r="BN523" s="3"/>
      <c r="BO523" s="3"/>
      <c r="BP523" s="3"/>
      <c r="BQ523" s="3"/>
      <c r="BR523" s="3"/>
      <c r="BS523" s="3"/>
      <c r="BT523" s="3"/>
      <c r="BU523" s="1" t="s">
        <v>7424</v>
      </c>
      <c r="BV523" s="2" t="s">
        <v>7188</v>
      </c>
      <c r="BW523" s="10" t="s">
        <v>7189</v>
      </c>
    </row>
    <row r="524" spans="1:75" ht="12.75" customHeight="1">
      <c r="A524" s="4" t="s">
        <v>63</v>
      </c>
      <c r="B524" s="4" t="s">
        <v>5038</v>
      </c>
      <c r="C524" s="4"/>
      <c r="D524" s="4"/>
      <c r="E524" s="4"/>
      <c r="F524" s="4" t="s">
        <v>5039</v>
      </c>
      <c r="G524" s="4"/>
      <c r="H524" s="4"/>
      <c r="I524" s="4" t="s">
        <v>5040</v>
      </c>
      <c r="J524" s="4" t="s">
        <v>5041</v>
      </c>
      <c r="K524" s="4"/>
      <c r="L524" s="4"/>
      <c r="M524" s="4"/>
      <c r="N524" s="4"/>
      <c r="O524" s="4"/>
      <c r="P524" s="4"/>
      <c r="Q524" s="4"/>
      <c r="R524" s="4"/>
      <c r="S524" s="4"/>
      <c r="T524" s="4" t="s">
        <v>5042</v>
      </c>
      <c r="U524" s="4"/>
      <c r="V524" s="4"/>
      <c r="W524" s="4"/>
      <c r="X524" s="4"/>
      <c r="Y524" s="4" t="s">
        <v>4029</v>
      </c>
      <c r="Z524" s="4" t="s">
        <v>5043</v>
      </c>
      <c r="AA524" s="4"/>
      <c r="AB524" s="4"/>
      <c r="AC524" s="4"/>
      <c r="AD524" s="4"/>
      <c r="AE524" s="4"/>
      <c r="AF524" s="4"/>
      <c r="AG524" s="4"/>
      <c r="AH524" s="4"/>
      <c r="AI524" s="4"/>
      <c r="AJ524" s="4"/>
      <c r="AK524" s="4"/>
      <c r="AL524" s="4"/>
      <c r="AM524" s="4" t="s">
        <v>5044</v>
      </c>
      <c r="AN524" s="4" t="s">
        <v>5045</v>
      </c>
      <c r="AO524" s="4"/>
      <c r="AP524" s="4"/>
      <c r="AQ524" s="4"/>
      <c r="AR524" s="4" t="s">
        <v>82</v>
      </c>
      <c r="AS524" s="4">
        <v>2021</v>
      </c>
      <c r="AT524" s="4">
        <v>86</v>
      </c>
      <c r="AU524" s="4"/>
      <c r="AV524" s="4"/>
      <c r="AW524" s="4"/>
      <c r="AX524" s="4"/>
      <c r="AY524" s="4"/>
      <c r="AZ524" s="4"/>
      <c r="BA524" s="4"/>
      <c r="BB524" s="4">
        <v>101590</v>
      </c>
      <c r="BC524" s="4" t="s">
        <v>5046</v>
      </c>
      <c r="BD524" s="5" t="str">
        <f>HYPERLINK("http://dx.doi.org/10.1016/j.compenvurbsys.2020.101590","http://dx.doi.org/10.1016/j.compenvurbsys.2020.101590")</f>
        <v>http://dx.doi.org/10.1016/j.compenvurbsys.2020.101590</v>
      </c>
      <c r="BE524" s="4"/>
      <c r="BF524" s="4" t="s">
        <v>5047</v>
      </c>
      <c r="BG524" s="4"/>
      <c r="BH524" s="4"/>
      <c r="BI524" s="4"/>
      <c r="BJ524" s="4" t="s">
        <v>5048</v>
      </c>
      <c r="BK524" s="4"/>
      <c r="BL524" s="4"/>
      <c r="BM524" s="4"/>
      <c r="BN524" s="4"/>
      <c r="BO524" s="4"/>
      <c r="BP524" s="4"/>
      <c r="BQ524" s="4"/>
      <c r="BR524" s="4"/>
      <c r="BS524" s="4"/>
      <c r="BT524" s="4"/>
      <c r="BU524" s="12" t="s">
        <v>7193</v>
      </c>
      <c r="BV524" s="12" t="s">
        <v>7188</v>
      </c>
      <c r="BW524" s="12" t="s">
        <v>7189</v>
      </c>
    </row>
    <row r="525" spans="1:75" ht="12.75" customHeight="1">
      <c r="A525" s="4" t="s">
        <v>63</v>
      </c>
      <c r="B525" s="4" t="s">
        <v>3912</v>
      </c>
      <c r="C525" s="4"/>
      <c r="D525" s="4"/>
      <c r="E525" s="4"/>
      <c r="F525" s="4" t="s">
        <v>3913</v>
      </c>
      <c r="G525" s="4"/>
      <c r="H525" s="4"/>
      <c r="I525" s="4" t="s">
        <v>3914</v>
      </c>
      <c r="J525" s="4" t="s">
        <v>905</v>
      </c>
      <c r="K525" s="4"/>
      <c r="L525" s="4"/>
      <c r="M525" s="4"/>
      <c r="N525" s="4"/>
      <c r="O525" s="4"/>
      <c r="P525" s="4"/>
      <c r="Q525" s="4"/>
      <c r="R525" s="4"/>
      <c r="S525" s="4"/>
      <c r="T525" s="4"/>
      <c r="U525" s="4"/>
      <c r="V525" s="4"/>
      <c r="W525" s="4"/>
      <c r="X525" s="4"/>
      <c r="Y525" s="4" t="s">
        <v>860</v>
      </c>
      <c r="Z525" s="4"/>
      <c r="AA525" s="4"/>
      <c r="AB525" s="4"/>
      <c r="AC525" s="4"/>
      <c r="AD525" s="4"/>
      <c r="AE525" s="4"/>
      <c r="AF525" s="4"/>
      <c r="AG525" s="4"/>
      <c r="AH525" s="4"/>
      <c r="AI525" s="4"/>
      <c r="AJ525" s="4"/>
      <c r="AK525" s="4"/>
      <c r="AL525" s="4"/>
      <c r="AM525" s="4" t="s">
        <v>908</v>
      </c>
      <c r="AN525" s="4" t="s">
        <v>909</v>
      </c>
      <c r="AO525" s="4"/>
      <c r="AP525" s="4"/>
      <c r="AQ525" s="4"/>
      <c r="AR525" s="4" t="s">
        <v>133</v>
      </c>
      <c r="AS525" s="4">
        <v>2019</v>
      </c>
      <c r="AT525" s="4">
        <v>119</v>
      </c>
      <c r="AU525" s="4">
        <v>1</v>
      </c>
      <c r="AV525" s="4"/>
      <c r="AW525" s="4"/>
      <c r="AX525" s="4"/>
      <c r="AY525" s="4"/>
      <c r="AZ525" s="4">
        <v>39</v>
      </c>
      <c r="BA525" s="4">
        <v>44</v>
      </c>
      <c r="BB525" s="4"/>
      <c r="BC525" s="4" t="s">
        <v>3915</v>
      </c>
      <c r="BD525" s="5" t="str">
        <f>HYPERLINK("http://dx.doi.org/10.1016/j.jand.2018.09.008","http://dx.doi.org/10.1016/j.jand.2018.09.008")</f>
        <v>http://dx.doi.org/10.1016/j.jand.2018.09.008</v>
      </c>
      <c r="BE525" s="4"/>
      <c r="BF525" s="4"/>
      <c r="BG525" s="4"/>
      <c r="BH525" s="4"/>
      <c r="BI525" s="4">
        <v>30447973</v>
      </c>
      <c r="BJ525" s="4" t="s">
        <v>3916</v>
      </c>
      <c r="BK525" s="4"/>
      <c r="BL525" s="4"/>
      <c r="BM525" s="4"/>
      <c r="BN525" s="4"/>
      <c r="BO525" s="4"/>
      <c r="BP525" s="4"/>
      <c r="BQ525" s="4"/>
      <c r="BR525" s="4"/>
      <c r="BS525" s="4"/>
      <c r="BT525" s="4"/>
      <c r="BU525" s="12" t="s">
        <v>7425</v>
      </c>
      <c r="BV525" s="12" t="s">
        <v>7188</v>
      </c>
      <c r="BW525" s="12" t="s">
        <v>7189</v>
      </c>
    </row>
    <row r="526" spans="1:75" ht="12.75" customHeight="1">
      <c r="A526" s="4" t="s">
        <v>63</v>
      </c>
      <c r="B526" s="4" t="s">
        <v>510</v>
      </c>
      <c r="C526" s="4"/>
      <c r="D526" s="4"/>
      <c r="E526" s="4"/>
      <c r="F526" s="4" t="s">
        <v>511</v>
      </c>
      <c r="G526" s="4"/>
      <c r="H526" s="4"/>
      <c r="I526" s="4" t="s">
        <v>512</v>
      </c>
      <c r="J526" s="4" t="s">
        <v>513</v>
      </c>
      <c r="K526" s="4"/>
      <c r="L526" s="4"/>
      <c r="M526" s="4"/>
      <c r="N526" s="4"/>
      <c r="O526" s="4"/>
      <c r="P526" s="4"/>
      <c r="Q526" s="4"/>
      <c r="R526" s="4"/>
      <c r="S526" s="4"/>
      <c r="T526" s="4" t="s">
        <v>514</v>
      </c>
      <c r="U526" s="4"/>
      <c r="V526" s="4"/>
      <c r="W526" s="4"/>
      <c r="X526" s="4"/>
      <c r="Y526" s="4"/>
      <c r="Z526" s="4"/>
      <c r="AA526" s="4"/>
      <c r="AB526" s="4"/>
      <c r="AC526" s="4"/>
      <c r="AD526" s="4"/>
      <c r="AE526" s="4"/>
      <c r="AF526" s="4"/>
      <c r="AG526" s="4"/>
      <c r="AH526" s="4"/>
      <c r="AI526" s="4"/>
      <c r="AJ526" s="4"/>
      <c r="AK526" s="4"/>
      <c r="AL526" s="4"/>
      <c r="AM526" s="4" t="s">
        <v>515</v>
      </c>
      <c r="AN526" s="4"/>
      <c r="AO526" s="4"/>
      <c r="AP526" s="4"/>
      <c r="AQ526" s="4"/>
      <c r="AR526" s="4" t="s">
        <v>445</v>
      </c>
      <c r="AS526" s="4">
        <v>2010</v>
      </c>
      <c r="AT526" s="4">
        <v>4</v>
      </c>
      <c r="AU526" s="4">
        <v>9</v>
      </c>
      <c r="AV526" s="4"/>
      <c r="AW526" s="4"/>
      <c r="AX526" s="4"/>
      <c r="AY526" s="4"/>
      <c r="AZ526" s="4">
        <v>1418</v>
      </c>
      <c r="BA526" s="4">
        <v>1432</v>
      </c>
      <c r="BB526" s="4"/>
      <c r="BC526" s="4" t="s">
        <v>516</v>
      </c>
      <c r="BD526" s="5" t="str">
        <f>HYPERLINK("http://dx.doi.org/10.1111/j.1749-8198.2010.00383.x","http://dx.doi.org/10.1111/j.1749-8198.2010.00383.x")</f>
        <v>http://dx.doi.org/10.1111/j.1749-8198.2010.00383.x</v>
      </c>
      <c r="BE526" s="4"/>
      <c r="BF526" s="4"/>
      <c r="BG526" s="4"/>
      <c r="BH526" s="4"/>
      <c r="BI526" s="4"/>
      <c r="BJ526" s="4" t="s">
        <v>517</v>
      </c>
      <c r="BK526" s="4"/>
      <c r="BL526" s="4"/>
      <c r="BM526" s="4"/>
      <c r="BN526" s="4"/>
      <c r="BO526" s="4"/>
      <c r="BP526" s="4"/>
      <c r="BQ526" s="4"/>
      <c r="BR526" s="4"/>
      <c r="BS526" s="4"/>
      <c r="BT526" s="4"/>
      <c r="BU526" s="12" t="s">
        <v>7193</v>
      </c>
      <c r="BV526" s="12" t="s">
        <v>7193</v>
      </c>
      <c r="BW526" s="12" t="s">
        <v>7193</v>
      </c>
    </row>
    <row r="527" spans="1:75" ht="12.75" customHeight="1">
      <c r="A527" s="4" t="s">
        <v>63</v>
      </c>
      <c r="B527" s="4" t="s">
        <v>5049</v>
      </c>
      <c r="C527" s="4"/>
      <c r="D527" s="4"/>
      <c r="E527" s="4"/>
      <c r="F527" s="4" t="s">
        <v>5050</v>
      </c>
      <c r="G527" s="4"/>
      <c r="H527" s="4"/>
      <c r="I527" s="4" t="s">
        <v>5051</v>
      </c>
      <c r="J527" s="4" t="s">
        <v>1997</v>
      </c>
      <c r="K527" s="4"/>
      <c r="L527" s="4"/>
      <c r="M527" s="4"/>
      <c r="N527" s="4"/>
      <c r="O527" s="4"/>
      <c r="P527" s="4"/>
      <c r="Q527" s="4"/>
      <c r="R527" s="4"/>
      <c r="S527" s="4"/>
      <c r="T527" s="4" t="s">
        <v>5052</v>
      </c>
      <c r="U527" s="4"/>
      <c r="V527" s="4"/>
      <c r="W527" s="4"/>
      <c r="X527" s="4"/>
      <c r="Y527" s="4"/>
      <c r="Z527" s="4" t="s">
        <v>5053</v>
      </c>
      <c r="AA527" s="4"/>
      <c r="AB527" s="4"/>
      <c r="AC527" s="4"/>
      <c r="AD527" s="4"/>
      <c r="AE527" s="4"/>
      <c r="AF527" s="4"/>
      <c r="AG527" s="4"/>
      <c r="AH527" s="4"/>
      <c r="AI527" s="4"/>
      <c r="AJ527" s="4"/>
      <c r="AK527" s="4"/>
      <c r="AL527" s="4"/>
      <c r="AM527" s="4" t="s">
        <v>1999</v>
      </c>
      <c r="AN527" s="4" t="s">
        <v>2000</v>
      </c>
      <c r="AO527" s="4"/>
      <c r="AP527" s="4"/>
      <c r="AQ527" s="4"/>
      <c r="AR527" s="4" t="s">
        <v>173</v>
      </c>
      <c r="AS527" s="4">
        <v>2021</v>
      </c>
      <c r="AT527" s="4">
        <v>22</v>
      </c>
      <c r="AU527" s="4">
        <v>4</v>
      </c>
      <c r="AV527" s="4"/>
      <c r="AW527" s="4"/>
      <c r="AX527" s="4"/>
      <c r="AY527" s="4"/>
      <c r="AZ527" s="4">
        <v>453</v>
      </c>
      <c r="BA527" s="4">
        <v>455</v>
      </c>
      <c r="BB527" s="4">
        <v>1524839920963583</v>
      </c>
      <c r="BC527" s="4" t="s">
        <v>5054</v>
      </c>
      <c r="BD527" s="5" t="str">
        <f>HYPERLINK("http://dx.doi.org/10.1177/1524839920963583","http://dx.doi.org/10.1177/1524839920963583")</f>
        <v>http://dx.doi.org/10.1177/1524839920963583</v>
      </c>
      <c r="BE527" s="4"/>
      <c r="BF527" s="4" t="s">
        <v>4889</v>
      </c>
      <c r="BG527" s="4"/>
      <c r="BH527" s="4"/>
      <c r="BI527" s="4">
        <v>33084410</v>
      </c>
      <c r="BJ527" s="4" t="s">
        <v>5055</v>
      </c>
      <c r="BK527" s="4"/>
      <c r="BL527" s="4"/>
      <c r="BM527" s="4"/>
      <c r="BN527" s="4"/>
      <c r="BO527" s="4"/>
      <c r="BP527" s="4"/>
      <c r="BQ527" s="4"/>
      <c r="BR527" s="4"/>
      <c r="BS527" s="4"/>
      <c r="BT527" s="4"/>
      <c r="BU527" s="12" t="s">
        <v>7187</v>
      </c>
      <c r="BV527" s="12" t="s">
        <v>7188</v>
      </c>
      <c r="BW527" s="12" t="s">
        <v>7189</v>
      </c>
    </row>
    <row r="528" spans="1:75" ht="12.75" customHeight="1">
      <c r="A528" s="4" t="s">
        <v>63</v>
      </c>
      <c r="B528" s="4" t="s">
        <v>3917</v>
      </c>
      <c r="C528" s="4"/>
      <c r="D528" s="4"/>
      <c r="E528" s="4"/>
      <c r="F528" s="4" t="s">
        <v>3918</v>
      </c>
      <c r="G528" s="4"/>
      <c r="H528" s="4"/>
      <c r="I528" s="4" t="s">
        <v>3919</v>
      </c>
      <c r="J528" s="4" t="s">
        <v>959</v>
      </c>
      <c r="K528" s="4"/>
      <c r="L528" s="4"/>
      <c r="M528" s="4"/>
      <c r="N528" s="4"/>
      <c r="O528" s="4"/>
      <c r="P528" s="4"/>
      <c r="Q528" s="4"/>
      <c r="R528" s="4"/>
      <c r="S528" s="4"/>
      <c r="T528" s="4" t="s">
        <v>3920</v>
      </c>
      <c r="U528" s="4"/>
      <c r="V528" s="4"/>
      <c r="W528" s="4"/>
      <c r="X528" s="4"/>
      <c r="Y528" s="4" t="s">
        <v>3921</v>
      </c>
      <c r="Z528" s="4" t="s">
        <v>3922</v>
      </c>
      <c r="AA528" s="4"/>
      <c r="AB528" s="4"/>
      <c r="AC528" s="4"/>
      <c r="AD528" s="4"/>
      <c r="AE528" s="4"/>
      <c r="AF528" s="4"/>
      <c r="AG528" s="4"/>
      <c r="AH528" s="4"/>
      <c r="AI528" s="4"/>
      <c r="AJ528" s="4"/>
      <c r="AK528" s="4"/>
      <c r="AL528" s="4"/>
      <c r="AM528" s="4" t="s">
        <v>962</v>
      </c>
      <c r="AN528" s="4" t="s">
        <v>963</v>
      </c>
      <c r="AO528" s="4"/>
      <c r="AP528" s="4"/>
      <c r="AQ528" s="4"/>
      <c r="AR528" s="4" t="s">
        <v>82</v>
      </c>
      <c r="AS528" s="4">
        <v>2019</v>
      </c>
      <c r="AT528" s="4">
        <v>41</v>
      </c>
      <c r="AU528" s="4">
        <v>1</v>
      </c>
      <c r="AV528" s="4"/>
      <c r="AW528" s="4"/>
      <c r="AX528" s="4"/>
      <c r="AY528" s="4"/>
      <c r="AZ528" s="4">
        <v>71</v>
      </c>
      <c r="BA528" s="4">
        <v>95</v>
      </c>
      <c r="BB528" s="4"/>
      <c r="BC528" s="4" t="s">
        <v>3923</v>
      </c>
      <c r="BD528" s="5" t="str">
        <f>HYPERLINK("http://dx.doi.org/10.1093/aepp/ppy003","http://dx.doi.org/10.1093/aepp/ppy003")</f>
        <v>http://dx.doi.org/10.1093/aepp/ppy003</v>
      </c>
      <c r="BE528" s="4"/>
      <c r="BF528" s="4"/>
      <c r="BG528" s="4"/>
      <c r="BH528" s="4"/>
      <c r="BI528" s="4"/>
      <c r="BJ528" s="4" t="s">
        <v>3924</v>
      </c>
      <c r="BK528" s="4"/>
      <c r="BL528" s="4"/>
      <c r="BM528" s="4"/>
      <c r="BN528" s="4"/>
      <c r="BO528" s="4"/>
      <c r="BP528" s="4"/>
      <c r="BQ528" s="4"/>
      <c r="BR528" s="4"/>
      <c r="BS528" s="4"/>
      <c r="BT528" s="4"/>
      <c r="BU528" s="12" t="s">
        <v>7193</v>
      </c>
      <c r="BV528" s="12" t="s">
        <v>7188</v>
      </c>
      <c r="BW528" s="12" t="s">
        <v>7189</v>
      </c>
    </row>
    <row r="529" spans="1:75" ht="12.75" customHeight="1">
      <c r="A529" s="3" t="s">
        <v>63</v>
      </c>
      <c r="B529" s="3" t="s">
        <v>2480</v>
      </c>
      <c r="C529" s="3"/>
      <c r="D529" s="3"/>
      <c r="E529" s="3"/>
      <c r="F529" s="3" t="s">
        <v>2481</v>
      </c>
      <c r="G529" s="3"/>
      <c r="H529" s="3"/>
      <c r="I529" s="3" t="s">
        <v>2482</v>
      </c>
      <c r="J529" s="3" t="s">
        <v>2483</v>
      </c>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t="s">
        <v>2484</v>
      </c>
      <c r="AN529" s="3" t="s">
        <v>2485</v>
      </c>
      <c r="AO529" s="3"/>
      <c r="AP529" s="3"/>
      <c r="AQ529" s="3"/>
      <c r="AR529" s="3" t="s">
        <v>64</v>
      </c>
      <c r="AS529" s="3">
        <v>2016</v>
      </c>
      <c r="AT529" s="3">
        <v>117</v>
      </c>
      <c r="AU529" s="3">
        <v>5</v>
      </c>
      <c r="AV529" s="3"/>
      <c r="AW529" s="3" t="s">
        <v>151</v>
      </c>
      <c r="AX529" s="3"/>
      <c r="AY529" s="3" t="s">
        <v>2486</v>
      </c>
      <c r="AZ529" s="3" t="s">
        <v>2487</v>
      </c>
      <c r="BA529" s="3" t="s">
        <v>2487</v>
      </c>
      <c r="BB529" s="3"/>
      <c r="BC529" s="3"/>
      <c r="BD529" s="3"/>
      <c r="BE529" s="3"/>
      <c r="BF529" s="3"/>
      <c r="BG529" s="3"/>
      <c r="BH529" s="3"/>
      <c r="BI529" s="3"/>
      <c r="BJ529" s="3" t="s">
        <v>2488</v>
      </c>
      <c r="BK529" s="3"/>
      <c r="BL529" s="3"/>
      <c r="BM529" s="3"/>
      <c r="BN529" s="3"/>
      <c r="BO529" s="3"/>
      <c r="BP529" s="3"/>
      <c r="BQ529" s="3"/>
      <c r="BR529" s="3"/>
      <c r="BS529" s="3"/>
      <c r="BT529" s="3"/>
      <c r="BU529" s="1" t="s">
        <v>7321</v>
      </c>
      <c r="BV529" s="2" t="s">
        <v>7188</v>
      </c>
      <c r="BW529" s="10" t="s">
        <v>7189</v>
      </c>
    </row>
    <row r="530" spans="1:75" ht="12.75" customHeight="1">
      <c r="A530" s="3" t="s">
        <v>63</v>
      </c>
      <c r="B530" s="3" t="s">
        <v>4363</v>
      </c>
      <c r="C530" s="3"/>
      <c r="D530" s="3"/>
      <c r="E530" s="3"/>
      <c r="F530" s="3" t="s">
        <v>4364</v>
      </c>
      <c r="G530" s="3"/>
      <c r="H530" s="3"/>
      <c r="I530" s="3" t="s">
        <v>4365</v>
      </c>
      <c r="J530" s="3" t="s">
        <v>4366</v>
      </c>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t="s">
        <v>4367</v>
      </c>
      <c r="AN530" s="3" t="s">
        <v>4368</v>
      </c>
      <c r="AO530" s="3"/>
      <c r="AP530" s="3"/>
      <c r="AQ530" s="3"/>
      <c r="AR530" s="3" t="s">
        <v>445</v>
      </c>
      <c r="AS530" s="3">
        <v>2020</v>
      </c>
      <c r="AT530" s="3">
        <v>55</v>
      </c>
      <c r="AU530" s="3">
        <v>9</v>
      </c>
      <c r="AV530" s="3"/>
      <c r="AW530" s="3" t="s">
        <v>151</v>
      </c>
      <c r="AX530" s="3"/>
      <c r="AY530" s="3"/>
      <c r="AZ530" s="3" t="s">
        <v>4369</v>
      </c>
      <c r="BA530" s="3" t="s">
        <v>4370</v>
      </c>
      <c r="BB530" s="3"/>
      <c r="BC530" s="3"/>
      <c r="BD530" s="3"/>
      <c r="BE530" s="3"/>
      <c r="BF530" s="3"/>
      <c r="BG530" s="3"/>
      <c r="BH530" s="3"/>
      <c r="BI530" s="3"/>
      <c r="BJ530" s="3" t="s">
        <v>4371</v>
      </c>
      <c r="BK530" s="3"/>
      <c r="BL530" s="3"/>
      <c r="BM530" s="3"/>
      <c r="BN530" s="3"/>
      <c r="BO530" s="3"/>
      <c r="BP530" s="3"/>
      <c r="BQ530" s="3"/>
      <c r="BR530" s="3"/>
      <c r="BS530" s="3"/>
      <c r="BT530" s="3"/>
      <c r="BU530" s="1" t="s">
        <v>7321</v>
      </c>
      <c r="BV530" s="2" t="s">
        <v>7188</v>
      </c>
      <c r="BW530" s="10" t="s">
        <v>7189</v>
      </c>
    </row>
    <row r="531" spans="1:75" ht="12.75" customHeight="1">
      <c r="A531" s="6" t="s">
        <v>63</v>
      </c>
      <c r="B531" s="6" t="s">
        <v>5056</v>
      </c>
      <c r="C531" s="6"/>
      <c r="D531" s="6"/>
      <c r="E531" s="6"/>
      <c r="F531" s="6" t="s">
        <v>5057</v>
      </c>
      <c r="G531" s="6"/>
      <c r="H531" s="6"/>
      <c r="I531" s="6" t="s">
        <v>5058</v>
      </c>
      <c r="J531" s="6" t="s">
        <v>423</v>
      </c>
      <c r="K531" s="6"/>
      <c r="L531" s="6"/>
      <c r="M531" s="6"/>
      <c r="N531" s="6"/>
      <c r="O531" s="6"/>
      <c r="P531" s="6"/>
      <c r="Q531" s="6"/>
      <c r="R531" s="6"/>
      <c r="S531" s="6"/>
      <c r="T531" s="6" t="s">
        <v>5059</v>
      </c>
      <c r="U531" s="6"/>
      <c r="V531" s="6"/>
      <c r="W531" s="6"/>
      <c r="X531" s="6"/>
      <c r="Y531" s="6" t="s">
        <v>5060</v>
      </c>
      <c r="Z531" s="6" t="s">
        <v>5061</v>
      </c>
      <c r="AA531" s="6"/>
      <c r="AB531" s="6"/>
      <c r="AC531" s="6"/>
      <c r="AD531" s="6"/>
      <c r="AE531" s="6"/>
      <c r="AF531" s="6"/>
      <c r="AG531" s="6"/>
      <c r="AH531" s="6"/>
      <c r="AI531" s="6"/>
      <c r="AJ531" s="6"/>
      <c r="AK531" s="6"/>
      <c r="AL531" s="6"/>
      <c r="AM531" s="6" t="s">
        <v>427</v>
      </c>
      <c r="AN531" s="6" t="s">
        <v>428</v>
      </c>
      <c r="AO531" s="6"/>
      <c r="AP531" s="6"/>
      <c r="AQ531" s="6"/>
      <c r="AR531" s="6" t="s">
        <v>1991</v>
      </c>
      <c r="AS531" s="6">
        <v>2021</v>
      </c>
      <c r="AT531" s="6">
        <v>16</v>
      </c>
      <c r="AU531" s="6">
        <v>6</v>
      </c>
      <c r="AV531" s="6"/>
      <c r="AW531" s="6"/>
      <c r="AX531" s="6"/>
      <c r="AY531" s="6"/>
      <c r="AZ531" s="6">
        <v>751</v>
      </c>
      <c r="BA531" s="6">
        <v>769</v>
      </c>
      <c r="BB531" s="6"/>
      <c r="BC531" s="6" t="s">
        <v>5062</v>
      </c>
      <c r="BD531" s="9" t="str">
        <f>HYPERLINK("http://dx.doi.org/10.1080/19320248.2020.1739586","http://dx.doi.org/10.1080/19320248.2020.1739586")</f>
        <v>http://dx.doi.org/10.1080/19320248.2020.1739586</v>
      </c>
      <c r="BE531" s="6"/>
      <c r="BF531" s="6" t="s">
        <v>5063</v>
      </c>
      <c r="BG531" s="6"/>
      <c r="BH531" s="6"/>
      <c r="BI531" s="6"/>
      <c r="BJ531" s="6" t="s">
        <v>5064</v>
      </c>
      <c r="BK531" s="6"/>
      <c r="BL531" s="6"/>
      <c r="BM531" s="6"/>
      <c r="BN531" s="6"/>
      <c r="BO531" s="6"/>
      <c r="BP531" s="6"/>
      <c r="BQ531" s="6"/>
      <c r="BR531" s="6"/>
      <c r="BS531" s="6"/>
      <c r="BT531" s="6"/>
      <c r="BU531" s="8" t="s">
        <v>7426</v>
      </c>
      <c r="BV531" s="8" t="s">
        <v>7427</v>
      </c>
      <c r="BW531" s="8" t="s">
        <v>7301</v>
      </c>
    </row>
    <row r="532" spans="1:75" ht="12.75" customHeight="1">
      <c r="A532" s="6" t="s">
        <v>63</v>
      </c>
      <c r="B532" s="6" t="s">
        <v>6332</v>
      </c>
      <c r="C532" s="6"/>
      <c r="D532" s="6"/>
      <c r="E532" s="6"/>
      <c r="F532" s="6" t="s">
        <v>6333</v>
      </c>
      <c r="G532" s="6"/>
      <c r="H532" s="6"/>
      <c r="I532" s="6" t="s">
        <v>6334</v>
      </c>
      <c r="J532" s="6" t="s">
        <v>6335</v>
      </c>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t="s">
        <v>6336</v>
      </c>
      <c r="AO532" s="6"/>
      <c r="AP532" s="6"/>
      <c r="AQ532" s="6"/>
      <c r="AR532" s="6" t="s">
        <v>65</v>
      </c>
      <c r="AS532" s="6">
        <v>2023</v>
      </c>
      <c r="AT532" s="6">
        <v>7</v>
      </c>
      <c r="AU532" s="6"/>
      <c r="AV532" s="6"/>
      <c r="AW532" s="6">
        <v>1</v>
      </c>
      <c r="AX532" s="6"/>
      <c r="AY532" s="6" t="s">
        <v>6337</v>
      </c>
      <c r="AZ532" s="6">
        <v>108</v>
      </c>
      <c r="BA532" s="6">
        <v>108</v>
      </c>
      <c r="BB532" s="6"/>
      <c r="BC532" s="6"/>
      <c r="BD532" s="6"/>
      <c r="BE532" s="6"/>
      <c r="BF532" s="6"/>
      <c r="BG532" s="6"/>
      <c r="BH532" s="6"/>
      <c r="BI532" s="6"/>
      <c r="BJ532" s="6" t="s">
        <v>6338</v>
      </c>
      <c r="BK532" s="6"/>
      <c r="BL532" s="6"/>
      <c r="BM532" s="6"/>
      <c r="BN532" s="6"/>
      <c r="BO532" s="6"/>
      <c r="BP532" s="6"/>
      <c r="BQ532" s="6"/>
      <c r="BR532" s="6"/>
      <c r="BS532" s="6"/>
      <c r="BT532" s="6"/>
      <c r="BU532" s="8" t="s">
        <v>7193</v>
      </c>
      <c r="BV532" s="8" t="s">
        <v>7188</v>
      </c>
      <c r="BW532" s="8" t="s">
        <v>7189</v>
      </c>
    </row>
    <row r="533" spans="1:75" ht="12.75" customHeight="1">
      <c r="A533" s="6" t="s">
        <v>63</v>
      </c>
      <c r="B533" s="6" t="s">
        <v>5065</v>
      </c>
      <c r="C533" s="6"/>
      <c r="D533" s="6"/>
      <c r="E533" s="6"/>
      <c r="F533" s="6" t="s">
        <v>5066</v>
      </c>
      <c r="G533" s="6"/>
      <c r="H533" s="6"/>
      <c r="I533" s="6" t="s">
        <v>5067</v>
      </c>
      <c r="J533" s="6" t="s">
        <v>800</v>
      </c>
      <c r="K533" s="6"/>
      <c r="L533" s="6"/>
      <c r="M533" s="6"/>
      <c r="N533" s="6"/>
      <c r="O533" s="6"/>
      <c r="P533" s="6"/>
      <c r="Q533" s="6"/>
      <c r="R533" s="6"/>
      <c r="S533" s="6"/>
      <c r="T533" s="6" t="s">
        <v>5068</v>
      </c>
      <c r="U533" s="6"/>
      <c r="V533" s="6"/>
      <c r="W533" s="6"/>
      <c r="X533" s="6"/>
      <c r="Y533" s="6" t="s">
        <v>4913</v>
      </c>
      <c r="Z533" s="6" t="s">
        <v>5069</v>
      </c>
      <c r="AA533" s="6"/>
      <c r="AB533" s="6"/>
      <c r="AC533" s="6"/>
      <c r="AD533" s="6"/>
      <c r="AE533" s="6"/>
      <c r="AF533" s="6"/>
      <c r="AG533" s="6"/>
      <c r="AH533" s="6"/>
      <c r="AI533" s="6"/>
      <c r="AJ533" s="6"/>
      <c r="AK533" s="6"/>
      <c r="AL533" s="6"/>
      <c r="AM533" s="6" t="s">
        <v>804</v>
      </c>
      <c r="AN533" s="6" t="s">
        <v>805</v>
      </c>
      <c r="AO533" s="6"/>
      <c r="AP533" s="6"/>
      <c r="AQ533" s="6"/>
      <c r="AR533" s="6" t="s">
        <v>82</v>
      </c>
      <c r="AS533" s="6">
        <v>2021</v>
      </c>
      <c r="AT533" s="6">
        <v>111</v>
      </c>
      <c r="AU533" s="6">
        <v>3</v>
      </c>
      <c r="AV533" s="6"/>
      <c r="AW533" s="6"/>
      <c r="AX533" s="6"/>
      <c r="AY533" s="6"/>
      <c r="AZ533" s="6">
        <v>494</v>
      </c>
      <c r="BA533" s="6">
        <v>497</v>
      </c>
      <c r="BB533" s="6"/>
      <c r="BC533" s="6" t="s">
        <v>5070</v>
      </c>
      <c r="BD533" s="9" t="str">
        <f>HYPERLINK("http://dx.doi.org/10.2105/AJPH.2020.306041","http://dx.doi.org/10.2105/AJPH.2020.306041")</f>
        <v>http://dx.doi.org/10.2105/AJPH.2020.306041</v>
      </c>
      <c r="BE533" s="6"/>
      <c r="BF533" s="6"/>
      <c r="BG533" s="6"/>
      <c r="BH533" s="6"/>
      <c r="BI533" s="6">
        <v>33476228</v>
      </c>
      <c r="BJ533" s="6" t="s">
        <v>5071</v>
      </c>
      <c r="BK533" s="6"/>
      <c r="BL533" s="6"/>
      <c r="BM533" s="6"/>
      <c r="BN533" s="6"/>
      <c r="BO533" s="6"/>
      <c r="BP533" s="6"/>
      <c r="BQ533" s="6"/>
      <c r="BR533" s="6"/>
      <c r="BS533" s="6"/>
      <c r="BT533" s="6"/>
      <c r="BU533" s="8" t="s">
        <v>7304</v>
      </c>
      <c r="BV533" s="8" t="s">
        <v>7188</v>
      </c>
      <c r="BW533" s="8" t="s">
        <v>7189</v>
      </c>
    </row>
    <row r="534" spans="1:75" ht="12.75" customHeight="1">
      <c r="A534" s="6" t="s">
        <v>63</v>
      </c>
      <c r="B534" s="6" t="s">
        <v>3033</v>
      </c>
      <c r="C534" s="6"/>
      <c r="D534" s="6"/>
      <c r="E534" s="6"/>
      <c r="F534" s="6" t="s">
        <v>3034</v>
      </c>
      <c r="G534" s="6"/>
      <c r="H534" s="6"/>
      <c r="I534" s="6" t="s">
        <v>3035</v>
      </c>
      <c r="J534" s="6" t="s">
        <v>3036</v>
      </c>
      <c r="K534" s="6"/>
      <c r="L534" s="6"/>
      <c r="M534" s="6"/>
      <c r="N534" s="6"/>
      <c r="O534" s="6"/>
      <c r="P534" s="6"/>
      <c r="Q534" s="6"/>
      <c r="R534" s="6"/>
      <c r="S534" s="6"/>
      <c r="T534" s="6" t="s">
        <v>3037</v>
      </c>
      <c r="U534" s="6"/>
      <c r="V534" s="6"/>
      <c r="W534" s="6"/>
      <c r="X534" s="6"/>
      <c r="Y534" s="6" t="s">
        <v>3038</v>
      </c>
      <c r="Z534" s="6" t="s">
        <v>3039</v>
      </c>
      <c r="AA534" s="6"/>
      <c r="AB534" s="6"/>
      <c r="AC534" s="6"/>
      <c r="AD534" s="6"/>
      <c r="AE534" s="6"/>
      <c r="AF534" s="6"/>
      <c r="AG534" s="6"/>
      <c r="AH534" s="6"/>
      <c r="AI534" s="6"/>
      <c r="AJ534" s="6"/>
      <c r="AK534" s="6"/>
      <c r="AL534" s="6"/>
      <c r="AM534" s="6" t="s">
        <v>3040</v>
      </c>
      <c r="AN534" s="6" t="s">
        <v>3041</v>
      </c>
      <c r="AO534" s="6"/>
      <c r="AP534" s="6"/>
      <c r="AQ534" s="6"/>
      <c r="AR534" s="6" t="s">
        <v>64</v>
      </c>
      <c r="AS534" s="6">
        <v>2017</v>
      </c>
      <c r="AT534" s="6">
        <v>17</v>
      </c>
      <c r="AU534" s="6">
        <v>11</v>
      </c>
      <c r="AV534" s="6"/>
      <c r="AW534" s="6"/>
      <c r="AX534" s="6"/>
      <c r="AY534" s="6"/>
      <c r="AZ534" s="6">
        <v>2232</v>
      </c>
      <c r="BA534" s="6">
        <v>2238</v>
      </c>
      <c r="BB534" s="6"/>
      <c r="BC534" s="6" t="s">
        <v>3042</v>
      </c>
      <c r="BD534" s="9" t="str">
        <f>HYPERLINK("http://dx.doi.org/10.1111/ggi.13004","http://dx.doi.org/10.1111/ggi.13004")</f>
        <v>http://dx.doi.org/10.1111/ggi.13004</v>
      </c>
      <c r="BE534" s="6"/>
      <c r="BF534" s="6"/>
      <c r="BG534" s="6"/>
      <c r="BH534" s="6"/>
      <c r="BI534" s="6">
        <v>28224758</v>
      </c>
      <c r="BJ534" s="6" t="s">
        <v>3043</v>
      </c>
      <c r="BK534" s="6"/>
      <c r="BL534" s="6"/>
      <c r="BM534" s="6"/>
      <c r="BN534" s="6"/>
      <c r="BO534" s="6"/>
      <c r="BP534" s="6"/>
      <c r="BQ534" s="6"/>
      <c r="BR534" s="6"/>
      <c r="BS534" s="6"/>
      <c r="BT534" s="6"/>
      <c r="BU534" s="8" t="s">
        <v>7193</v>
      </c>
      <c r="BV534" s="8" t="s">
        <v>5215</v>
      </c>
      <c r="BW534" s="8" t="s">
        <v>7245</v>
      </c>
    </row>
    <row r="535" spans="1:75" ht="12.75" customHeight="1">
      <c r="A535" s="4" t="s">
        <v>63</v>
      </c>
      <c r="B535" s="4" t="s">
        <v>2489</v>
      </c>
      <c r="C535" s="4"/>
      <c r="D535" s="4"/>
      <c r="E535" s="4"/>
      <c r="F535" s="4" t="s">
        <v>2490</v>
      </c>
      <c r="G535" s="4"/>
      <c r="H535" s="4"/>
      <c r="I535" s="4" t="s">
        <v>2491</v>
      </c>
      <c r="J535" s="4" t="s">
        <v>2492</v>
      </c>
      <c r="K535" s="4"/>
      <c r="L535" s="4"/>
      <c r="M535" s="4"/>
      <c r="N535" s="4"/>
      <c r="O535" s="4"/>
      <c r="P535" s="4"/>
      <c r="Q535" s="4"/>
      <c r="R535" s="4"/>
      <c r="S535" s="4"/>
      <c r="T535" s="4" t="s">
        <v>2493</v>
      </c>
      <c r="U535" s="4"/>
      <c r="V535" s="4"/>
      <c r="W535" s="4"/>
      <c r="X535" s="4"/>
      <c r="Y535" s="4"/>
      <c r="Z535" s="4"/>
      <c r="AA535" s="4"/>
      <c r="AB535" s="4"/>
      <c r="AC535" s="4"/>
      <c r="AD535" s="4"/>
      <c r="AE535" s="4"/>
      <c r="AF535" s="4"/>
      <c r="AG535" s="4"/>
      <c r="AH535" s="4"/>
      <c r="AI535" s="4"/>
      <c r="AJ535" s="4"/>
      <c r="AK535" s="4"/>
      <c r="AL535" s="4"/>
      <c r="AM535" s="4" t="s">
        <v>2494</v>
      </c>
      <c r="AN535" s="4" t="s">
        <v>2495</v>
      </c>
      <c r="AO535" s="4"/>
      <c r="AP535" s="4"/>
      <c r="AQ535" s="4"/>
      <c r="AR535" s="4" t="s">
        <v>173</v>
      </c>
      <c r="AS535" s="4">
        <v>2016</v>
      </c>
      <c r="AT535" s="4">
        <v>38</v>
      </c>
      <c r="AU535" s="4">
        <v>3</v>
      </c>
      <c r="AV535" s="4"/>
      <c r="AW535" s="4"/>
      <c r="AX535" s="4"/>
      <c r="AY535" s="4"/>
      <c r="AZ535" s="4">
        <v>170</v>
      </c>
      <c r="BA535" s="4">
        <v>177</v>
      </c>
      <c r="BB535" s="4"/>
      <c r="BC535" s="4" t="s">
        <v>2496</v>
      </c>
      <c r="BD535" s="5" t="str">
        <f>HYPERLINK("http://dx.doi.org/10.1093/cs/cdw019","http://dx.doi.org/10.1093/cs/cdw019")</f>
        <v>http://dx.doi.org/10.1093/cs/cdw019</v>
      </c>
      <c r="BE535" s="4"/>
      <c r="BF535" s="4"/>
      <c r="BG535" s="4"/>
      <c r="BH535" s="4"/>
      <c r="BI535" s="4"/>
      <c r="BJ535" s="4" t="s">
        <v>2497</v>
      </c>
      <c r="BK535" s="4"/>
      <c r="BL535" s="4"/>
      <c r="BM535" s="4"/>
      <c r="BN535" s="4"/>
      <c r="BO535" s="4"/>
      <c r="BP535" s="4"/>
      <c r="BQ535" s="4"/>
      <c r="BR535" s="4"/>
      <c r="BS535" s="4"/>
      <c r="BT535" s="4"/>
      <c r="BU535" s="12" t="s">
        <v>7193</v>
      </c>
      <c r="BV535" s="12" t="s">
        <v>7188</v>
      </c>
      <c r="BW535" s="12" t="s">
        <v>7189</v>
      </c>
    </row>
    <row r="536" spans="1:75" ht="12.75" customHeight="1">
      <c r="A536" s="4" t="s">
        <v>63</v>
      </c>
      <c r="B536" s="4" t="s">
        <v>2498</v>
      </c>
      <c r="C536" s="4"/>
      <c r="D536" s="4"/>
      <c r="E536" s="4"/>
      <c r="F536" s="4" t="s">
        <v>2499</v>
      </c>
      <c r="G536" s="4"/>
      <c r="H536" s="4"/>
      <c r="I536" s="4" t="s">
        <v>2500</v>
      </c>
      <c r="J536" s="4" t="s">
        <v>2501</v>
      </c>
      <c r="K536" s="4"/>
      <c r="L536" s="4"/>
      <c r="M536" s="4"/>
      <c r="N536" s="4"/>
      <c r="O536" s="4"/>
      <c r="P536" s="4"/>
      <c r="Q536" s="4"/>
      <c r="R536" s="4"/>
      <c r="S536" s="4"/>
      <c r="T536" s="4" t="s">
        <v>2502</v>
      </c>
      <c r="U536" s="4"/>
      <c r="V536" s="4"/>
      <c r="W536" s="4"/>
      <c r="X536" s="4"/>
      <c r="Y536" s="4"/>
      <c r="Z536" s="4" t="s">
        <v>2503</v>
      </c>
      <c r="AA536" s="4"/>
      <c r="AB536" s="4"/>
      <c r="AC536" s="4"/>
      <c r="AD536" s="4"/>
      <c r="AE536" s="4"/>
      <c r="AF536" s="4"/>
      <c r="AG536" s="4"/>
      <c r="AH536" s="4"/>
      <c r="AI536" s="4"/>
      <c r="AJ536" s="4"/>
      <c r="AK536" s="4"/>
      <c r="AL536" s="4"/>
      <c r="AM536" s="4" t="s">
        <v>2504</v>
      </c>
      <c r="AN536" s="4" t="s">
        <v>2505</v>
      </c>
      <c r="AO536" s="4"/>
      <c r="AP536" s="4"/>
      <c r="AQ536" s="4"/>
      <c r="AR536" s="4" t="s">
        <v>173</v>
      </c>
      <c r="AS536" s="4">
        <v>2016</v>
      </c>
      <c r="AT536" s="4">
        <v>66</v>
      </c>
      <c r="AU536" s="4"/>
      <c r="AV536" s="4"/>
      <c r="AW536" s="4"/>
      <c r="AX536" s="4"/>
      <c r="AY536" s="4"/>
      <c r="AZ536" s="4">
        <v>121</v>
      </c>
      <c r="BA536" s="4">
        <v>131</v>
      </c>
      <c r="BB536" s="4"/>
      <c r="BC536" s="4" t="s">
        <v>2506</v>
      </c>
      <c r="BD536" s="5" t="str">
        <f>HYPERLINK("http://dx.doi.org/10.1016/j.ecolind.2016.01.027","http://dx.doi.org/10.1016/j.ecolind.2016.01.027")</f>
        <v>http://dx.doi.org/10.1016/j.ecolind.2016.01.027</v>
      </c>
      <c r="BE536" s="4"/>
      <c r="BF536" s="4"/>
      <c r="BG536" s="4"/>
      <c r="BH536" s="4"/>
      <c r="BI536" s="4"/>
      <c r="BJ536" s="4" t="s">
        <v>2507</v>
      </c>
      <c r="BK536" s="4"/>
      <c r="BL536" s="4"/>
      <c r="BM536" s="4"/>
      <c r="BN536" s="4"/>
      <c r="BO536" s="4"/>
      <c r="BP536" s="4"/>
      <c r="BQ536" s="4"/>
      <c r="BR536" s="4"/>
      <c r="BS536" s="4"/>
      <c r="BT536" s="4"/>
      <c r="BU536" s="12" t="s">
        <v>7428</v>
      </c>
      <c r="BV536" s="12" t="s">
        <v>7188</v>
      </c>
      <c r="BW536" s="12" t="s">
        <v>7189</v>
      </c>
    </row>
    <row r="537" spans="1:75" ht="12.75" customHeight="1">
      <c r="A537" s="4" t="s">
        <v>63</v>
      </c>
      <c r="B537" s="4" t="s">
        <v>2665</v>
      </c>
      <c r="C537" s="4"/>
      <c r="D537" s="4"/>
      <c r="E537" s="4"/>
      <c r="F537" s="4" t="s">
        <v>2666</v>
      </c>
      <c r="G537" s="4"/>
      <c r="H537" s="4"/>
      <c r="I537" s="4" t="s">
        <v>5072</v>
      </c>
      <c r="J537" s="4" t="s">
        <v>532</v>
      </c>
      <c r="K537" s="4"/>
      <c r="L537" s="4"/>
      <c r="M537" s="4"/>
      <c r="N537" s="4"/>
      <c r="O537" s="4"/>
      <c r="P537" s="4"/>
      <c r="Q537" s="4"/>
      <c r="R537" s="4"/>
      <c r="S537" s="4"/>
      <c r="T537" s="4" t="s">
        <v>5073</v>
      </c>
      <c r="U537" s="4"/>
      <c r="V537" s="4"/>
      <c r="W537" s="4"/>
      <c r="X537" s="4"/>
      <c r="Y537" s="4"/>
      <c r="Z537" s="4" t="s">
        <v>2670</v>
      </c>
      <c r="AA537" s="4"/>
      <c r="AB537" s="4"/>
      <c r="AC537" s="4"/>
      <c r="AD537" s="4"/>
      <c r="AE537" s="4"/>
      <c r="AF537" s="4"/>
      <c r="AG537" s="4"/>
      <c r="AH537" s="4"/>
      <c r="AI537" s="4"/>
      <c r="AJ537" s="4"/>
      <c r="AK537" s="4"/>
      <c r="AL537" s="4"/>
      <c r="AM537" s="4" t="s">
        <v>534</v>
      </c>
      <c r="AN537" s="4" t="s">
        <v>535</v>
      </c>
      <c r="AO537" s="4"/>
      <c r="AP537" s="4"/>
      <c r="AQ537" s="4"/>
      <c r="AR537" s="4" t="s">
        <v>254</v>
      </c>
      <c r="AS537" s="4">
        <v>2021</v>
      </c>
      <c r="AT537" s="4">
        <v>10</v>
      </c>
      <c r="AU537" s="4">
        <v>3</v>
      </c>
      <c r="AV537" s="4"/>
      <c r="AW537" s="4"/>
      <c r="AX537" s="4"/>
      <c r="AY537" s="4"/>
      <c r="AZ537" s="4">
        <v>9</v>
      </c>
      <c r="BA537" s="4">
        <v>16</v>
      </c>
      <c r="BB537" s="4"/>
      <c r="BC537" s="4" t="s">
        <v>5074</v>
      </c>
      <c r="BD537" s="5" t="str">
        <f>HYPERLINK("http://dx.doi.org/10.5304/jafscd.2021.103.012","http://dx.doi.org/10.5304/jafscd.2021.103.012")</f>
        <v>http://dx.doi.org/10.5304/jafscd.2021.103.012</v>
      </c>
      <c r="BE537" s="4"/>
      <c r="BF537" s="4"/>
      <c r="BG537" s="4"/>
      <c r="BH537" s="4"/>
      <c r="BI537" s="4"/>
      <c r="BJ537" s="4" t="s">
        <v>5075</v>
      </c>
      <c r="BK537" s="4"/>
      <c r="BL537" s="4"/>
      <c r="BM537" s="4"/>
      <c r="BN537" s="4"/>
      <c r="BO537" s="4"/>
      <c r="BP537" s="4"/>
      <c r="BQ537" s="4"/>
      <c r="BR537" s="4"/>
      <c r="BS537" s="4"/>
      <c r="BT537" s="4"/>
      <c r="BU537" s="12" t="s">
        <v>7429</v>
      </c>
      <c r="BV537" s="12" t="s">
        <v>7188</v>
      </c>
      <c r="BW537" s="12" t="s">
        <v>7189</v>
      </c>
    </row>
    <row r="538" spans="1:75" ht="12.75" customHeight="1">
      <c r="A538" s="3" t="s">
        <v>63</v>
      </c>
      <c r="B538" s="3" t="s">
        <v>3044</v>
      </c>
      <c r="C538" s="3"/>
      <c r="D538" s="3"/>
      <c r="E538" s="3"/>
      <c r="F538" s="3" t="s">
        <v>3045</v>
      </c>
      <c r="G538" s="3"/>
      <c r="H538" s="3"/>
      <c r="I538" s="3" t="s">
        <v>3046</v>
      </c>
      <c r="J538" s="3" t="s">
        <v>3047</v>
      </c>
      <c r="K538" s="3"/>
      <c r="L538" s="3"/>
      <c r="M538" s="3"/>
      <c r="N538" s="3" t="s">
        <v>3048</v>
      </c>
      <c r="O538" s="3" t="s">
        <v>3049</v>
      </c>
      <c r="P538" s="3" t="s">
        <v>3050</v>
      </c>
      <c r="Q538" s="3"/>
      <c r="R538" s="3"/>
      <c r="S538" s="3"/>
      <c r="T538" s="3"/>
      <c r="U538" s="3"/>
      <c r="V538" s="3"/>
      <c r="W538" s="3"/>
      <c r="X538" s="3"/>
      <c r="Y538" s="3"/>
      <c r="Z538" s="3"/>
      <c r="AA538" s="3"/>
      <c r="AB538" s="3"/>
      <c r="AC538" s="3"/>
      <c r="AD538" s="3"/>
      <c r="AE538" s="3"/>
      <c r="AF538" s="3"/>
      <c r="AG538" s="3"/>
      <c r="AH538" s="3"/>
      <c r="AI538" s="3"/>
      <c r="AJ538" s="3"/>
      <c r="AK538" s="3"/>
      <c r="AL538" s="3"/>
      <c r="AM538" s="3" t="s">
        <v>3051</v>
      </c>
      <c r="AN538" s="3" t="s">
        <v>3052</v>
      </c>
      <c r="AO538" s="3"/>
      <c r="AP538" s="3"/>
      <c r="AQ538" s="3"/>
      <c r="AR538" s="3" t="s">
        <v>121</v>
      </c>
      <c r="AS538" s="3">
        <v>2017</v>
      </c>
      <c r="AT538" s="3">
        <v>23</v>
      </c>
      <c r="AU538" s="3">
        <v>8</v>
      </c>
      <c r="AV538" s="3"/>
      <c r="AW538" s="3" t="s">
        <v>151</v>
      </c>
      <c r="AX538" s="3"/>
      <c r="AY538" s="3">
        <v>210</v>
      </c>
      <c r="AZ538" s="3" t="s">
        <v>3053</v>
      </c>
      <c r="BA538" s="3" t="s">
        <v>3053</v>
      </c>
      <c r="BB538" s="3"/>
      <c r="BC538" s="3" t="s">
        <v>3054</v>
      </c>
      <c r="BD538" s="15" t="str">
        <f>HYPERLINK("http://dx.doi.org/10.1016/j.cardfail.2017.07.223","http://dx.doi.org/10.1016/j.cardfail.2017.07.223")</f>
        <v>http://dx.doi.org/10.1016/j.cardfail.2017.07.223</v>
      </c>
      <c r="BE538" s="3"/>
      <c r="BF538" s="3"/>
      <c r="BG538" s="3"/>
      <c r="BH538" s="3"/>
      <c r="BI538" s="3"/>
      <c r="BJ538" s="3" t="s">
        <v>3055</v>
      </c>
      <c r="BK538" s="3"/>
      <c r="BL538" s="3"/>
      <c r="BM538" s="3"/>
      <c r="BN538" s="3"/>
      <c r="BO538" s="3"/>
      <c r="BP538" s="3"/>
      <c r="BQ538" s="3"/>
      <c r="BR538" s="3"/>
      <c r="BS538" s="3"/>
      <c r="BT538" s="3"/>
      <c r="BU538" s="1" t="s">
        <v>7323</v>
      </c>
      <c r="BV538" s="2" t="s">
        <v>7188</v>
      </c>
      <c r="BW538" s="10" t="s">
        <v>7189</v>
      </c>
    </row>
    <row r="539" spans="1:75" ht="12.75" customHeight="1">
      <c r="A539" s="4" t="s">
        <v>63</v>
      </c>
      <c r="B539" s="4" t="s">
        <v>5763</v>
      </c>
      <c r="C539" s="4"/>
      <c r="D539" s="4"/>
      <c r="E539" s="4"/>
      <c r="F539" s="4" t="s">
        <v>5764</v>
      </c>
      <c r="G539" s="4"/>
      <c r="H539" s="4"/>
      <c r="I539" s="4" t="s">
        <v>5765</v>
      </c>
      <c r="J539" s="4" t="s">
        <v>221</v>
      </c>
      <c r="K539" s="4"/>
      <c r="L539" s="4"/>
      <c r="M539" s="4"/>
      <c r="N539" s="4"/>
      <c r="O539" s="4"/>
      <c r="P539" s="4"/>
      <c r="Q539" s="4"/>
      <c r="R539" s="4"/>
      <c r="S539" s="4"/>
      <c r="T539" s="4" t="s">
        <v>5766</v>
      </c>
      <c r="U539" s="4"/>
      <c r="V539" s="4"/>
      <c r="W539" s="4"/>
      <c r="X539" s="4"/>
      <c r="Y539" s="4"/>
      <c r="Z539" s="4" t="s">
        <v>5767</v>
      </c>
      <c r="AA539" s="4"/>
      <c r="AB539" s="4"/>
      <c r="AC539" s="4"/>
      <c r="AD539" s="4"/>
      <c r="AE539" s="4"/>
      <c r="AF539" s="4"/>
      <c r="AG539" s="4"/>
      <c r="AH539" s="4"/>
      <c r="AI539" s="4"/>
      <c r="AJ539" s="4"/>
      <c r="AK539" s="4"/>
      <c r="AL539" s="4"/>
      <c r="AM539" s="4" t="s">
        <v>223</v>
      </c>
      <c r="AN539" s="4" t="s">
        <v>224</v>
      </c>
      <c r="AO539" s="4"/>
      <c r="AP539" s="4"/>
      <c r="AQ539" s="4"/>
      <c r="AR539" s="4" t="s">
        <v>82</v>
      </c>
      <c r="AS539" s="4">
        <v>2022</v>
      </c>
      <c r="AT539" s="4">
        <v>39</v>
      </c>
      <c r="AU539" s="4">
        <v>1</v>
      </c>
      <c r="AV539" s="4"/>
      <c r="AW539" s="4"/>
      <c r="AX539" s="4"/>
      <c r="AY539" s="4"/>
      <c r="AZ539" s="4">
        <v>165</v>
      </c>
      <c r="BA539" s="4">
        <v>184</v>
      </c>
      <c r="BB539" s="4"/>
      <c r="BC539" s="4" t="s">
        <v>5768</v>
      </c>
      <c r="BD539" s="5" t="str">
        <f>HYPERLINK("http://dx.doi.org/10.1007/s10460-021-10236-8","http://dx.doi.org/10.1007/s10460-021-10236-8")</f>
        <v>http://dx.doi.org/10.1007/s10460-021-10236-8</v>
      </c>
      <c r="BE539" s="4"/>
      <c r="BF539" s="4" t="s">
        <v>5167</v>
      </c>
      <c r="BG539" s="4"/>
      <c r="BH539" s="4"/>
      <c r="BI539" s="4"/>
      <c r="BJ539" s="4" t="s">
        <v>5769</v>
      </c>
      <c r="BK539" s="4"/>
      <c r="BL539" s="4"/>
      <c r="BM539" s="4"/>
      <c r="BN539" s="4"/>
      <c r="BO539" s="4"/>
      <c r="BP539" s="4"/>
      <c r="BQ539" s="4"/>
      <c r="BR539" s="4"/>
      <c r="BS539" s="4"/>
      <c r="BT539" s="4"/>
      <c r="BU539" s="12" t="s">
        <v>7343</v>
      </c>
      <c r="BV539" s="12" t="s">
        <v>7188</v>
      </c>
      <c r="BW539" s="12" t="s">
        <v>7189</v>
      </c>
    </row>
    <row r="540" spans="1:75" ht="12.75" customHeight="1">
      <c r="A540" s="6" t="s">
        <v>63</v>
      </c>
      <c r="B540" s="6" t="s">
        <v>1592</v>
      </c>
      <c r="C540" s="6"/>
      <c r="D540" s="6"/>
      <c r="E540" s="6"/>
      <c r="F540" s="6" t="s">
        <v>1593</v>
      </c>
      <c r="G540" s="6"/>
      <c r="H540" s="6"/>
      <c r="I540" s="6" t="s">
        <v>1594</v>
      </c>
      <c r="J540" s="6" t="s">
        <v>396</v>
      </c>
      <c r="K540" s="6"/>
      <c r="L540" s="6"/>
      <c r="M540" s="6"/>
      <c r="N540" s="6"/>
      <c r="O540" s="6"/>
      <c r="P540" s="6"/>
      <c r="Q540" s="6"/>
      <c r="R540" s="6"/>
      <c r="S540" s="6"/>
      <c r="T540" s="6" t="s">
        <v>1595</v>
      </c>
      <c r="U540" s="6"/>
      <c r="V540" s="6"/>
      <c r="W540" s="6"/>
      <c r="X540" s="6"/>
      <c r="Y540" s="6" t="s">
        <v>1596</v>
      </c>
      <c r="Z540" s="6" t="s">
        <v>1597</v>
      </c>
      <c r="AA540" s="6"/>
      <c r="AB540" s="6"/>
      <c r="AC540" s="6"/>
      <c r="AD540" s="6"/>
      <c r="AE540" s="6"/>
      <c r="AF540" s="6"/>
      <c r="AG540" s="6"/>
      <c r="AH540" s="6"/>
      <c r="AI540" s="6"/>
      <c r="AJ540" s="6"/>
      <c r="AK540" s="6"/>
      <c r="AL540" s="6"/>
      <c r="AM540" s="6" t="s">
        <v>398</v>
      </c>
      <c r="AN540" s="6" t="s">
        <v>399</v>
      </c>
      <c r="AO540" s="6"/>
      <c r="AP540" s="6"/>
      <c r="AQ540" s="6"/>
      <c r="AR540" s="6" t="s">
        <v>342</v>
      </c>
      <c r="AS540" s="6">
        <v>2014</v>
      </c>
      <c r="AT540" s="6">
        <v>46</v>
      </c>
      <c r="AU540" s="6">
        <v>4</v>
      </c>
      <c r="AV540" s="6"/>
      <c r="AW540" s="6"/>
      <c r="AX540" s="6"/>
      <c r="AY540" s="6"/>
      <c r="AZ540" s="6">
        <v>241</v>
      </c>
      <c r="BA540" s="6">
        <v>249</v>
      </c>
      <c r="BB540" s="6"/>
      <c r="BC540" s="6" t="s">
        <v>1598</v>
      </c>
      <c r="BD540" s="9" t="str">
        <f>HYPERLINK("http://dx.doi.org/10.1016/j.jneb.2013.12.006","http://dx.doi.org/10.1016/j.jneb.2013.12.006")</f>
        <v>http://dx.doi.org/10.1016/j.jneb.2013.12.006</v>
      </c>
      <c r="BE540" s="6"/>
      <c r="BF540" s="6"/>
      <c r="BG540" s="6"/>
      <c r="BH540" s="6"/>
      <c r="BI540" s="6">
        <v>24560861</v>
      </c>
      <c r="BJ540" s="6" t="s">
        <v>1599</v>
      </c>
      <c r="BK540" s="6"/>
      <c r="BL540" s="6"/>
      <c r="BM540" s="6"/>
      <c r="BN540" s="6"/>
      <c r="BO540" s="6"/>
      <c r="BP540" s="6"/>
      <c r="BQ540" s="6"/>
      <c r="BR540" s="6"/>
      <c r="BS540" s="6"/>
      <c r="BT540" s="6"/>
      <c r="BU540" s="8" t="s">
        <v>7247</v>
      </c>
      <c r="BV540" s="8" t="s">
        <v>7188</v>
      </c>
      <c r="BW540" s="8" t="s">
        <v>7189</v>
      </c>
    </row>
    <row r="541" spans="1:75" ht="12.75" customHeight="1">
      <c r="A541" s="4" t="s">
        <v>63</v>
      </c>
      <c r="B541" s="4" t="s">
        <v>3056</v>
      </c>
      <c r="C541" s="4"/>
      <c r="D541" s="4"/>
      <c r="E541" s="4"/>
      <c r="F541" s="4" t="s">
        <v>3057</v>
      </c>
      <c r="G541" s="4"/>
      <c r="H541" s="4"/>
      <c r="I541" s="4" t="s">
        <v>3058</v>
      </c>
      <c r="J541" s="4" t="s">
        <v>3059</v>
      </c>
      <c r="K541" s="4"/>
      <c r="L541" s="4"/>
      <c r="M541" s="4"/>
      <c r="N541" s="4"/>
      <c r="O541" s="4"/>
      <c r="P541" s="4"/>
      <c r="Q541" s="4"/>
      <c r="R541" s="4"/>
      <c r="S541" s="4"/>
      <c r="T541" s="4" t="s">
        <v>3060</v>
      </c>
      <c r="U541" s="4"/>
      <c r="V541" s="4"/>
      <c r="W541" s="4"/>
      <c r="X541" s="4"/>
      <c r="Y541" s="4"/>
      <c r="Z541" s="4" t="s">
        <v>3061</v>
      </c>
      <c r="AA541" s="4"/>
      <c r="AB541" s="4"/>
      <c r="AC541" s="4"/>
      <c r="AD541" s="4"/>
      <c r="AE541" s="4"/>
      <c r="AF541" s="4"/>
      <c r="AG541" s="4"/>
      <c r="AH541" s="4"/>
      <c r="AI541" s="4"/>
      <c r="AJ541" s="4"/>
      <c r="AK541" s="4"/>
      <c r="AL541" s="4"/>
      <c r="AM541" s="4" t="s">
        <v>3062</v>
      </c>
      <c r="AN541" s="4" t="s">
        <v>3063</v>
      </c>
      <c r="AO541" s="4"/>
      <c r="AP541" s="4"/>
      <c r="AQ541" s="4"/>
      <c r="AR541" s="4" t="s">
        <v>67</v>
      </c>
      <c r="AS541" s="4">
        <v>2017</v>
      </c>
      <c r="AT541" s="4">
        <v>23</v>
      </c>
      <c r="AU541" s="4">
        <v>1</v>
      </c>
      <c r="AV541" s="4"/>
      <c r="AW541" s="4"/>
      <c r="AX541" s="4"/>
      <c r="AY541" s="4"/>
      <c r="AZ541" s="4">
        <v>99</v>
      </c>
      <c r="BA541" s="4">
        <v>115</v>
      </c>
      <c r="BB541" s="4"/>
      <c r="BC541" s="4" t="s">
        <v>3064</v>
      </c>
      <c r="BD541" s="5" t="str">
        <f>HYPERLINK("http://dx.doi.org/10.1007/s11158-015-9315-9","http://dx.doi.org/10.1007/s11158-015-9315-9")</f>
        <v>http://dx.doi.org/10.1007/s11158-015-9315-9</v>
      </c>
      <c r="BE541" s="4"/>
      <c r="BF541" s="4"/>
      <c r="BG541" s="4"/>
      <c r="BH541" s="4"/>
      <c r="BI541" s="4"/>
      <c r="BJ541" s="4" t="s">
        <v>3065</v>
      </c>
      <c r="BK541" s="4"/>
      <c r="BL541" s="4"/>
      <c r="BM541" s="4"/>
      <c r="BN541" s="4"/>
      <c r="BO541" s="4"/>
      <c r="BP541" s="4"/>
      <c r="BQ541" s="4"/>
      <c r="BR541" s="4"/>
      <c r="BS541" s="4"/>
      <c r="BT541" s="4"/>
      <c r="BU541" s="12" t="s">
        <v>7209</v>
      </c>
      <c r="BV541" s="12" t="s">
        <v>7209</v>
      </c>
      <c r="BW541" s="12" t="s">
        <v>7209</v>
      </c>
    </row>
    <row r="542" spans="1:75" ht="12.75" customHeight="1">
      <c r="A542" s="3" t="s">
        <v>63</v>
      </c>
      <c r="B542" s="3" t="s">
        <v>409</v>
      </c>
      <c r="C542" s="3"/>
      <c r="D542" s="3"/>
      <c r="E542" s="3"/>
      <c r="F542" s="3" t="s">
        <v>410</v>
      </c>
      <c r="G542" s="3"/>
      <c r="H542" s="3"/>
      <c r="I542" s="3" t="s">
        <v>411</v>
      </c>
      <c r="J542" s="3" t="s">
        <v>412</v>
      </c>
      <c r="K542" s="3"/>
      <c r="L542" s="3"/>
      <c r="M542" s="3"/>
      <c r="N542" s="3"/>
      <c r="O542" s="3"/>
      <c r="P542" s="3"/>
      <c r="Q542" s="3"/>
      <c r="R542" s="3"/>
      <c r="S542" s="3"/>
      <c r="T542" s="3" t="s">
        <v>413</v>
      </c>
      <c r="U542" s="3"/>
      <c r="V542" s="3"/>
      <c r="W542" s="3"/>
      <c r="X542" s="3"/>
      <c r="Y542" s="3"/>
      <c r="Z542" s="3"/>
      <c r="AA542" s="3"/>
      <c r="AB542" s="3"/>
      <c r="AC542" s="3"/>
      <c r="AD542" s="3"/>
      <c r="AE542" s="3"/>
      <c r="AF542" s="3"/>
      <c r="AG542" s="3"/>
      <c r="AH542" s="3"/>
      <c r="AI542" s="3"/>
      <c r="AJ542" s="3"/>
      <c r="AK542" s="3"/>
      <c r="AL542" s="3"/>
      <c r="AM542" s="3" t="s">
        <v>414</v>
      </c>
      <c r="AN542" s="3" t="s">
        <v>415</v>
      </c>
      <c r="AO542" s="3"/>
      <c r="AP542" s="3"/>
      <c r="AQ542" s="3"/>
      <c r="AR542" s="3"/>
      <c r="AS542" s="3">
        <v>2009</v>
      </c>
      <c r="AT542" s="3">
        <v>28</v>
      </c>
      <c r="AU542" s="3">
        <v>3</v>
      </c>
      <c r="AV542" s="3"/>
      <c r="AW542" s="3"/>
      <c r="AX542" s="3"/>
      <c r="AY542" s="3"/>
      <c r="AZ542" s="3">
        <v>242</v>
      </c>
      <c r="BA542" s="3">
        <v>248</v>
      </c>
      <c r="BB542" s="3"/>
      <c r="BC542" s="3" t="s">
        <v>416</v>
      </c>
      <c r="BD542" s="15" t="str">
        <f>HYPERLINK("http://dx.doi.org/10.1080/01616840903110107","http://dx.doi.org/10.1080/01616840903110107")</f>
        <v>http://dx.doi.org/10.1080/01616840903110107</v>
      </c>
      <c r="BE542" s="3"/>
      <c r="BF542" s="3"/>
      <c r="BG542" s="3"/>
      <c r="BH542" s="3"/>
      <c r="BI542" s="3"/>
      <c r="BJ542" s="3" t="s">
        <v>417</v>
      </c>
      <c r="BK542" s="3"/>
      <c r="BL542" s="3"/>
      <c r="BM542" s="3"/>
      <c r="BN542" s="3"/>
      <c r="BO542" s="3"/>
      <c r="BP542" s="3"/>
      <c r="BQ542" s="3"/>
      <c r="BR542" s="3"/>
      <c r="BS542" s="3"/>
      <c r="BT542" s="3"/>
      <c r="BU542" s="1" t="s">
        <v>7203</v>
      </c>
      <c r="BV542" s="2" t="s">
        <v>7188</v>
      </c>
      <c r="BW542" s="10" t="s">
        <v>7189</v>
      </c>
    </row>
    <row r="543" spans="1:75" ht="12.75" customHeight="1">
      <c r="A543" s="3" t="s">
        <v>63</v>
      </c>
      <c r="B543" s="3" t="s">
        <v>6946</v>
      </c>
      <c r="C543" s="3"/>
      <c r="D543" s="3"/>
      <c r="E543" s="3"/>
      <c r="F543" s="3" t="s">
        <v>6947</v>
      </c>
      <c r="G543" s="3"/>
      <c r="H543" s="3"/>
      <c r="I543" s="3" t="s">
        <v>6948</v>
      </c>
      <c r="J543" s="3" t="s">
        <v>1874</v>
      </c>
      <c r="K543" s="3"/>
      <c r="L543" s="3"/>
      <c r="M543" s="3"/>
      <c r="N543" s="3"/>
      <c r="O543" s="3"/>
      <c r="P543" s="3"/>
      <c r="Q543" s="3"/>
      <c r="R543" s="3"/>
      <c r="S543" s="3"/>
      <c r="T543" s="3" t="s">
        <v>6949</v>
      </c>
      <c r="U543" s="3"/>
      <c r="V543" s="3"/>
      <c r="W543" s="3"/>
      <c r="X543" s="3"/>
      <c r="Y543" s="3" t="s">
        <v>6950</v>
      </c>
      <c r="Z543" s="3" t="s">
        <v>6951</v>
      </c>
      <c r="AA543" s="3"/>
      <c r="AB543" s="3"/>
      <c r="AC543" s="3"/>
      <c r="AD543" s="3"/>
      <c r="AE543" s="3"/>
      <c r="AF543" s="3"/>
      <c r="AG543" s="3"/>
      <c r="AH543" s="3"/>
      <c r="AI543" s="3"/>
      <c r="AJ543" s="3"/>
      <c r="AK543" s="3"/>
      <c r="AL543" s="3"/>
      <c r="AM543" s="3" t="s">
        <v>1877</v>
      </c>
      <c r="AN543" s="3" t="s">
        <v>1878</v>
      </c>
      <c r="AO543" s="3"/>
      <c r="AP543" s="3"/>
      <c r="AQ543" s="3"/>
      <c r="AR543" s="3" t="s">
        <v>66</v>
      </c>
      <c r="AS543" s="3">
        <v>2024</v>
      </c>
      <c r="AT543" s="3">
        <v>118</v>
      </c>
      <c r="AU543" s="3"/>
      <c r="AV543" s="3"/>
      <c r="AW543" s="3"/>
      <c r="AX543" s="3"/>
      <c r="AY543" s="3"/>
      <c r="AZ543" s="3"/>
      <c r="BA543" s="3"/>
      <c r="BB543" s="3">
        <v>103945</v>
      </c>
      <c r="BC543" s="3" t="s">
        <v>6952</v>
      </c>
      <c r="BD543" s="15" t="str">
        <f>HYPERLINK("http://dx.doi.org/10.1016/j.jtrangeo.2024.103945","http://dx.doi.org/10.1016/j.jtrangeo.2024.103945")</f>
        <v>http://dx.doi.org/10.1016/j.jtrangeo.2024.103945</v>
      </c>
      <c r="BE543" s="3"/>
      <c r="BF543" s="3" t="s">
        <v>6652</v>
      </c>
      <c r="BG543" s="3"/>
      <c r="BH543" s="3"/>
      <c r="BI543" s="3"/>
      <c r="BJ543" s="3" t="s">
        <v>6953</v>
      </c>
      <c r="BK543" s="3"/>
      <c r="BL543" s="3"/>
      <c r="BM543" s="3"/>
      <c r="BN543" s="3"/>
      <c r="BO543" s="3"/>
      <c r="BP543" s="3"/>
      <c r="BQ543" s="3"/>
      <c r="BR543" s="3"/>
      <c r="BS543" s="3"/>
      <c r="BT543" s="3"/>
      <c r="BU543" s="1" t="s">
        <v>7430</v>
      </c>
      <c r="BV543" s="2" t="s">
        <v>7188</v>
      </c>
      <c r="BW543" s="10" t="s">
        <v>7189</v>
      </c>
    </row>
    <row r="544" spans="1:75" ht="12.75" customHeight="1">
      <c r="A544" s="3" t="s">
        <v>63</v>
      </c>
      <c r="B544" s="3" t="s">
        <v>5770</v>
      </c>
      <c r="C544" s="3"/>
      <c r="D544" s="3"/>
      <c r="E544" s="3"/>
      <c r="F544" s="3" t="s">
        <v>5771</v>
      </c>
      <c r="G544" s="3"/>
      <c r="H544" s="3"/>
      <c r="I544" s="3" t="s">
        <v>5772</v>
      </c>
      <c r="J544" s="3" t="s">
        <v>4044</v>
      </c>
      <c r="K544" s="3"/>
      <c r="L544" s="3"/>
      <c r="M544" s="3"/>
      <c r="N544" s="3"/>
      <c r="O544" s="3"/>
      <c r="P544" s="3"/>
      <c r="Q544" s="3"/>
      <c r="R544" s="3"/>
      <c r="S544" s="3"/>
      <c r="T544" s="3" t="s">
        <v>5773</v>
      </c>
      <c r="U544" s="3"/>
      <c r="V544" s="3"/>
      <c r="W544" s="3"/>
      <c r="X544" s="3"/>
      <c r="Y544" s="3" t="s">
        <v>5774</v>
      </c>
      <c r="Z544" s="3" t="s">
        <v>5775</v>
      </c>
      <c r="AA544" s="3"/>
      <c r="AB544" s="3"/>
      <c r="AC544" s="3"/>
      <c r="AD544" s="3"/>
      <c r="AE544" s="3"/>
      <c r="AF544" s="3"/>
      <c r="AG544" s="3"/>
      <c r="AH544" s="3"/>
      <c r="AI544" s="3"/>
      <c r="AJ544" s="3"/>
      <c r="AK544" s="3"/>
      <c r="AL544" s="3"/>
      <c r="AM544" s="3" t="s">
        <v>4047</v>
      </c>
      <c r="AN544" s="3"/>
      <c r="AO544" s="3"/>
      <c r="AP544" s="3"/>
      <c r="AQ544" s="3"/>
      <c r="AR544" s="3" t="s">
        <v>5776</v>
      </c>
      <c r="AS544" s="3">
        <v>2022</v>
      </c>
      <c r="AT544" s="3">
        <v>5</v>
      </c>
      <c r="AU544" s="3">
        <v>6</v>
      </c>
      <c r="AV544" s="3"/>
      <c r="AW544" s="3"/>
      <c r="AX544" s="3"/>
      <c r="AY544" s="3"/>
      <c r="AZ544" s="3"/>
      <c r="BA544" s="3"/>
      <c r="BB544" s="3" t="s">
        <v>5777</v>
      </c>
      <c r="BC544" s="3" t="s">
        <v>5778</v>
      </c>
      <c r="BD544" s="15" t="str">
        <f>HYPERLINK("http://dx.doi.org/10.1001/jamanetworkopen.2022.16406","http://dx.doi.org/10.1001/jamanetworkopen.2022.16406")</f>
        <v>http://dx.doi.org/10.1001/jamanetworkopen.2022.16406</v>
      </c>
      <c r="BE544" s="3"/>
      <c r="BF544" s="3"/>
      <c r="BG544" s="3"/>
      <c r="BH544" s="3"/>
      <c r="BI544" s="3">
        <v>35679041</v>
      </c>
      <c r="BJ544" s="3" t="s">
        <v>5779</v>
      </c>
      <c r="BK544" s="3"/>
      <c r="BL544" s="3"/>
      <c r="BM544" s="3"/>
      <c r="BN544" s="3"/>
      <c r="BO544" s="3"/>
      <c r="BP544" s="3"/>
      <c r="BQ544" s="3"/>
      <c r="BR544" s="3"/>
      <c r="BS544" s="3"/>
      <c r="BT544" s="3"/>
      <c r="BU544" s="1" t="s">
        <v>7431</v>
      </c>
      <c r="BV544" s="2" t="s">
        <v>7188</v>
      </c>
      <c r="BW544" s="10" t="s">
        <v>7189</v>
      </c>
    </row>
    <row r="545" spans="1:75" ht="12.75" customHeight="1">
      <c r="A545" s="7" t="s">
        <v>63</v>
      </c>
      <c r="B545" s="7" t="s">
        <v>4373</v>
      </c>
      <c r="C545" s="7"/>
      <c r="D545" s="7"/>
      <c r="E545" s="7"/>
      <c r="F545" s="7" t="s">
        <v>4374</v>
      </c>
      <c r="G545" s="7"/>
      <c r="H545" s="7"/>
      <c r="I545" s="7" t="s">
        <v>4375</v>
      </c>
      <c r="J545" s="7" t="s">
        <v>4376</v>
      </c>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t="s">
        <v>4377</v>
      </c>
      <c r="AN545" s="7" t="s">
        <v>4378</v>
      </c>
      <c r="AO545" s="7"/>
      <c r="AP545" s="7"/>
      <c r="AQ545" s="7"/>
      <c r="AR545" s="7" t="s">
        <v>2293</v>
      </c>
      <c r="AS545" s="7">
        <v>2020</v>
      </c>
      <c r="AT545" s="7">
        <v>22</v>
      </c>
      <c r="AU545" s="7"/>
      <c r="AV545" s="7"/>
      <c r="AW545" s="7">
        <v>1</v>
      </c>
      <c r="AX545" s="7"/>
      <c r="AY545" s="7">
        <v>601</v>
      </c>
      <c r="AZ545" s="7" t="s">
        <v>4379</v>
      </c>
      <c r="BA545" s="7" t="s">
        <v>4379</v>
      </c>
      <c r="BB545" s="7"/>
      <c r="BC545" s="7"/>
      <c r="BD545" s="7"/>
      <c r="BE545" s="7"/>
      <c r="BF545" s="7"/>
      <c r="BG545" s="7"/>
      <c r="BH545" s="7"/>
      <c r="BI545" s="7"/>
      <c r="BJ545" s="7" t="s">
        <v>4380</v>
      </c>
      <c r="BK545" s="7"/>
      <c r="BL545" s="7"/>
      <c r="BM545" s="7"/>
      <c r="BN545" s="7"/>
      <c r="BO545" s="7"/>
      <c r="BP545" s="7"/>
      <c r="BQ545" s="7"/>
      <c r="BR545" s="7"/>
      <c r="BS545" s="7"/>
      <c r="BT545" s="7"/>
      <c r="BU545" s="1" t="s">
        <v>7432</v>
      </c>
      <c r="BV545" s="2" t="s">
        <v>7188</v>
      </c>
      <c r="BW545" s="10" t="s">
        <v>7189</v>
      </c>
    </row>
    <row r="546" spans="1:75" ht="12.75" customHeight="1">
      <c r="A546" s="4" t="s">
        <v>63</v>
      </c>
      <c r="B546" s="4" t="s">
        <v>1600</v>
      </c>
      <c r="C546" s="4"/>
      <c r="D546" s="4"/>
      <c r="E546" s="4"/>
      <c r="F546" s="4" t="s">
        <v>1601</v>
      </c>
      <c r="G546" s="4"/>
      <c r="H546" s="4"/>
      <c r="I546" s="4" t="s">
        <v>1602</v>
      </c>
      <c r="J546" s="4" t="s">
        <v>532</v>
      </c>
      <c r="K546" s="4"/>
      <c r="L546" s="4"/>
      <c r="M546" s="4"/>
      <c r="N546" s="4"/>
      <c r="O546" s="4"/>
      <c r="P546" s="4"/>
      <c r="Q546" s="4"/>
      <c r="R546" s="4"/>
      <c r="S546" s="4"/>
      <c r="T546" s="4" t="s">
        <v>1603</v>
      </c>
      <c r="U546" s="4"/>
      <c r="V546" s="4"/>
      <c r="W546" s="4"/>
      <c r="X546" s="4"/>
      <c r="Y546" s="4"/>
      <c r="Z546" s="4" t="s">
        <v>1604</v>
      </c>
      <c r="AA546" s="4"/>
      <c r="AB546" s="4"/>
      <c r="AC546" s="4"/>
      <c r="AD546" s="4"/>
      <c r="AE546" s="4"/>
      <c r="AF546" s="4"/>
      <c r="AG546" s="4"/>
      <c r="AH546" s="4"/>
      <c r="AI546" s="4"/>
      <c r="AJ546" s="4"/>
      <c r="AK546" s="4"/>
      <c r="AL546" s="4"/>
      <c r="AM546" s="4" t="s">
        <v>534</v>
      </c>
      <c r="AN546" s="4" t="s">
        <v>535</v>
      </c>
      <c r="AO546" s="4"/>
      <c r="AP546" s="4"/>
      <c r="AQ546" s="4"/>
      <c r="AR546" s="4" t="s">
        <v>254</v>
      </c>
      <c r="AS546" s="4">
        <v>2014</v>
      </c>
      <c r="AT546" s="4">
        <v>4</v>
      </c>
      <c r="AU546" s="4">
        <v>3</v>
      </c>
      <c r="AV546" s="4"/>
      <c r="AW546" s="4"/>
      <c r="AX546" s="4"/>
      <c r="AY546" s="4"/>
      <c r="AZ546" s="4">
        <v>193</v>
      </c>
      <c r="BA546" s="4">
        <v>208</v>
      </c>
      <c r="BB546" s="4"/>
      <c r="BC546" s="4" t="s">
        <v>1605</v>
      </c>
      <c r="BD546" s="5" t="str">
        <f>HYPERLINK("http://dx.doi.org/10.5304/jafscd.2014.043.012","http://dx.doi.org/10.5304/jafscd.2014.043.012")</f>
        <v>http://dx.doi.org/10.5304/jafscd.2014.043.012</v>
      </c>
      <c r="BE546" s="4"/>
      <c r="BF546" s="4"/>
      <c r="BG546" s="4"/>
      <c r="BH546" s="4"/>
      <c r="BI546" s="4"/>
      <c r="BJ546" s="4" t="s">
        <v>1606</v>
      </c>
      <c r="BK546" s="4"/>
      <c r="BL546" s="4"/>
      <c r="BM546" s="4"/>
      <c r="BN546" s="4"/>
      <c r="BO546" s="4"/>
      <c r="BP546" s="4"/>
      <c r="BQ546" s="4"/>
      <c r="BR546" s="4"/>
      <c r="BS546" s="4"/>
      <c r="BT546" s="4"/>
      <c r="BU546" s="12" t="s">
        <v>7354</v>
      </c>
      <c r="BV546" s="12" t="s">
        <v>7188</v>
      </c>
      <c r="BW546" s="12" t="s">
        <v>7189</v>
      </c>
    </row>
    <row r="547" spans="1:75" ht="12.75" customHeight="1">
      <c r="A547" s="7" t="s">
        <v>63</v>
      </c>
      <c r="B547" s="7" t="s">
        <v>1218</v>
      </c>
      <c r="C547" s="7"/>
      <c r="D547" s="7"/>
      <c r="E547" s="7"/>
      <c r="F547" s="7" t="s">
        <v>1219</v>
      </c>
      <c r="G547" s="7"/>
      <c r="H547" s="7"/>
      <c r="I547" s="7" t="s">
        <v>1220</v>
      </c>
      <c r="J547" s="7" t="s">
        <v>1221</v>
      </c>
      <c r="K547" s="7"/>
      <c r="L547" s="7"/>
      <c r="M547" s="7"/>
      <c r="N547" s="7" t="s">
        <v>1222</v>
      </c>
      <c r="O547" s="7" t="s">
        <v>1223</v>
      </c>
      <c r="P547" s="7" t="s">
        <v>1224</v>
      </c>
      <c r="Q547" s="7"/>
      <c r="R547" s="7"/>
      <c r="S547" s="7"/>
      <c r="T547" s="7"/>
      <c r="U547" s="7"/>
      <c r="V547" s="7"/>
      <c r="W547" s="7"/>
      <c r="X547" s="7"/>
      <c r="Y547" s="7"/>
      <c r="Z547" s="7"/>
      <c r="AA547" s="7"/>
      <c r="AB547" s="7"/>
      <c r="AC547" s="7"/>
      <c r="AD547" s="7"/>
      <c r="AE547" s="7"/>
      <c r="AF547" s="7"/>
      <c r="AG547" s="7"/>
      <c r="AH547" s="7"/>
      <c r="AI547" s="7"/>
      <c r="AJ547" s="7"/>
      <c r="AK547" s="7"/>
      <c r="AL547" s="7"/>
      <c r="AM547" s="7" t="s">
        <v>1225</v>
      </c>
      <c r="AN547" s="7"/>
      <c r="AO547" s="7"/>
      <c r="AP547" s="7"/>
      <c r="AQ547" s="7"/>
      <c r="AR547" s="7" t="s">
        <v>68</v>
      </c>
      <c r="AS547" s="7">
        <v>2013</v>
      </c>
      <c r="AT547" s="7">
        <v>27</v>
      </c>
      <c r="AU547" s="7"/>
      <c r="AV547" s="7"/>
      <c r="AW547" s="7"/>
      <c r="AX547" s="7"/>
      <c r="AY547" s="7">
        <v>221.1</v>
      </c>
      <c r="AZ547" s="7"/>
      <c r="BA547" s="7"/>
      <c r="BB547" s="7"/>
      <c r="BC547" s="7"/>
      <c r="BD547" s="7"/>
      <c r="BE547" s="7"/>
      <c r="BF547" s="7"/>
      <c r="BG547" s="7"/>
      <c r="BH547" s="7"/>
      <c r="BI547" s="7"/>
      <c r="BJ547" s="7" t="s">
        <v>1226</v>
      </c>
      <c r="BK547" s="7"/>
      <c r="BL547" s="7"/>
      <c r="BM547" s="7"/>
      <c r="BN547" s="7"/>
      <c r="BO547" s="7"/>
      <c r="BP547" s="7"/>
      <c r="BQ547" s="7"/>
      <c r="BR547" s="7"/>
      <c r="BS547" s="7"/>
      <c r="BT547" s="7"/>
      <c r="BU547" s="1" t="s">
        <v>7364</v>
      </c>
      <c r="BV547" s="2" t="s">
        <v>7188</v>
      </c>
      <c r="BW547" s="10" t="s">
        <v>7189</v>
      </c>
    </row>
    <row r="548" spans="1:75" ht="12.75" customHeight="1">
      <c r="A548" s="4" t="s">
        <v>63</v>
      </c>
      <c r="B548" s="4" t="s">
        <v>3066</v>
      </c>
      <c r="C548" s="4"/>
      <c r="D548" s="4"/>
      <c r="E548" s="4"/>
      <c r="F548" s="4" t="s">
        <v>3067</v>
      </c>
      <c r="G548" s="4"/>
      <c r="H548" s="4"/>
      <c r="I548" s="4" t="s">
        <v>3068</v>
      </c>
      <c r="J548" s="4" t="s">
        <v>3069</v>
      </c>
      <c r="K548" s="4"/>
      <c r="L548" s="4"/>
      <c r="M548" s="4"/>
      <c r="N548" s="4"/>
      <c r="O548" s="4"/>
      <c r="P548" s="4"/>
      <c r="Q548" s="4"/>
      <c r="R548" s="4"/>
      <c r="S548" s="4"/>
      <c r="T548" s="4" t="s">
        <v>3070</v>
      </c>
      <c r="U548" s="4"/>
      <c r="V548" s="4"/>
      <c r="W548" s="4"/>
      <c r="X548" s="4"/>
      <c r="Y548" s="4" t="s">
        <v>3071</v>
      </c>
      <c r="Z548" s="4" t="s">
        <v>3072</v>
      </c>
      <c r="AA548" s="4"/>
      <c r="AB548" s="4"/>
      <c r="AC548" s="4"/>
      <c r="AD548" s="4"/>
      <c r="AE548" s="4"/>
      <c r="AF548" s="4"/>
      <c r="AG548" s="4"/>
      <c r="AH548" s="4"/>
      <c r="AI548" s="4"/>
      <c r="AJ548" s="4"/>
      <c r="AK548" s="4"/>
      <c r="AL548" s="4"/>
      <c r="AM548" s="4" t="s">
        <v>3073</v>
      </c>
      <c r="AN548" s="4" t="s">
        <v>3074</v>
      </c>
      <c r="AO548" s="4"/>
      <c r="AP548" s="4"/>
      <c r="AQ548" s="4"/>
      <c r="AR548" s="4" t="s">
        <v>279</v>
      </c>
      <c r="AS548" s="4">
        <v>2017</v>
      </c>
      <c r="AT548" s="4">
        <v>81</v>
      </c>
      <c r="AU548" s="4">
        <v>2</v>
      </c>
      <c r="AV548" s="4"/>
      <c r="AW548" s="4"/>
      <c r="AX548" s="4"/>
      <c r="AY548" s="4"/>
      <c r="AZ548" s="4">
        <v>577</v>
      </c>
      <c r="BA548" s="4">
        <v>596</v>
      </c>
      <c r="BB548" s="4"/>
      <c r="BC548" s="4" t="s">
        <v>3075</v>
      </c>
      <c r="BD548" s="5" t="str">
        <f>HYPERLINK("http://dx.doi.org/10.1093/poq/nfw038","http://dx.doi.org/10.1093/poq/nfw038")</f>
        <v>http://dx.doi.org/10.1093/poq/nfw038</v>
      </c>
      <c r="BE548" s="4"/>
      <c r="BF548" s="4"/>
      <c r="BG548" s="4"/>
      <c r="BH548" s="4"/>
      <c r="BI548" s="4"/>
      <c r="BJ548" s="4" t="s">
        <v>3076</v>
      </c>
      <c r="BK548" s="4"/>
      <c r="BL548" s="4"/>
      <c r="BM548" s="4"/>
      <c r="BN548" s="4"/>
      <c r="BO548" s="4"/>
      <c r="BP548" s="4"/>
      <c r="BQ548" s="4"/>
      <c r="BR548" s="4"/>
      <c r="BS548" s="4"/>
      <c r="BT548" s="4"/>
      <c r="BU548" s="12" t="s">
        <v>7193</v>
      </c>
      <c r="BV548" s="12" t="s">
        <v>7188</v>
      </c>
      <c r="BW548" s="12" t="s">
        <v>7189</v>
      </c>
    </row>
    <row r="549" spans="1:75" ht="12.75" customHeight="1">
      <c r="A549" s="6" t="s">
        <v>63</v>
      </c>
      <c r="B549" s="6" t="s">
        <v>5076</v>
      </c>
      <c r="C549" s="6"/>
      <c r="D549" s="6"/>
      <c r="E549" s="6"/>
      <c r="F549" s="6" t="s">
        <v>5077</v>
      </c>
      <c r="G549" s="6"/>
      <c r="H549" s="6"/>
      <c r="I549" s="6" t="s">
        <v>5078</v>
      </c>
      <c r="J549" s="6" t="s">
        <v>434</v>
      </c>
      <c r="K549" s="6"/>
      <c r="L549" s="6"/>
      <c r="M549" s="6"/>
      <c r="N549" s="6"/>
      <c r="O549" s="6"/>
      <c r="P549" s="6"/>
      <c r="Q549" s="6"/>
      <c r="R549" s="6"/>
      <c r="S549" s="6"/>
      <c r="T549" s="6" t="s">
        <v>5079</v>
      </c>
      <c r="U549" s="6"/>
      <c r="V549" s="6"/>
      <c r="W549" s="6"/>
      <c r="X549" s="6"/>
      <c r="Y549" s="6" t="s">
        <v>5080</v>
      </c>
      <c r="Z549" s="6" t="s">
        <v>5081</v>
      </c>
      <c r="AA549" s="6"/>
      <c r="AB549" s="6"/>
      <c r="AC549" s="6"/>
      <c r="AD549" s="6"/>
      <c r="AE549" s="6"/>
      <c r="AF549" s="6"/>
      <c r="AG549" s="6"/>
      <c r="AH549" s="6"/>
      <c r="AI549" s="6"/>
      <c r="AJ549" s="6"/>
      <c r="AK549" s="6"/>
      <c r="AL549" s="6"/>
      <c r="AM549" s="6" t="s">
        <v>436</v>
      </c>
      <c r="AN549" s="6" t="s">
        <v>568</v>
      </c>
      <c r="AO549" s="6"/>
      <c r="AP549" s="6"/>
      <c r="AQ549" s="6"/>
      <c r="AR549" s="6" t="s">
        <v>445</v>
      </c>
      <c r="AS549" s="6">
        <v>2021</v>
      </c>
      <c r="AT549" s="6">
        <v>134</v>
      </c>
      <c r="AU549" s="6"/>
      <c r="AV549" s="6"/>
      <c r="AW549" s="6"/>
      <c r="AX549" s="6"/>
      <c r="AY549" s="6"/>
      <c r="AZ549" s="6"/>
      <c r="BA549" s="6"/>
      <c r="BB549" s="6">
        <v>102517</v>
      </c>
      <c r="BC549" s="6" t="s">
        <v>5082</v>
      </c>
      <c r="BD549" s="9" t="str">
        <f>HYPERLINK("http://dx.doi.org/10.1016/j.apgeog.2021.102517","http://dx.doi.org/10.1016/j.apgeog.2021.102517")</f>
        <v>http://dx.doi.org/10.1016/j.apgeog.2021.102517</v>
      </c>
      <c r="BE549" s="6"/>
      <c r="BF549" s="6" t="s">
        <v>4874</v>
      </c>
      <c r="BG549" s="6"/>
      <c r="BH549" s="6"/>
      <c r="BI549" s="6">
        <v>36536833</v>
      </c>
      <c r="BJ549" s="6" t="s">
        <v>5083</v>
      </c>
      <c r="BK549" s="6"/>
      <c r="BL549" s="6"/>
      <c r="BM549" s="6"/>
      <c r="BN549" s="6"/>
      <c r="BO549" s="6"/>
      <c r="BP549" s="6"/>
      <c r="BQ549" s="6"/>
      <c r="BR549" s="6"/>
      <c r="BS549" s="6"/>
      <c r="BT549" s="6"/>
      <c r="BU549" s="8" t="s">
        <v>7433</v>
      </c>
      <c r="BV549" s="8" t="s">
        <v>7188</v>
      </c>
      <c r="BW549" s="8" t="s">
        <v>7189</v>
      </c>
    </row>
    <row r="550" spans="1:75" ht="12.75" customHeight="1">
      <c r="A550" s="4" t="s">
        <v>63</v>
      </c>
      <c r="B550" s="4" t="s">
        <v>6339</v>
      </c>
      <c r="C550" s="4"/>
      <c r="D550" s="4"/>
      <c r="E550" s="4"/>
      <c r="F550" s="4" t="s">
        <v>6340</v>
      </c>
      <c r="G550" s="4"/>
      <c r="H550" s="4"/>
      <c r="I550" s="4" t="s">
        <v>6341</v>
      </c>
      <c r="J550" s="4" t="s">
        <v>6342</v>
      </c>
      <c r="K550" s="4"/>
      <c r="L550" s="4"/>
      <c r="M550" s="4"/>
      <c r="N550" s="4"/>
      <c r="O550" s="4"/>
      <c r="P550" s="4"/>
      <c r="Q550" s="4"/>
      <c r="R550" s="4"/>
      <c r="S550" s="4"/>
      <c r="T550" s="4" t="s">
        <v>6343</v>
      </c>
      <c r="U550" s="4"/>
      <c r="V550" s="4"/>
      <c r="W550" s="4"/>
      <c r="X550" s="4"/>
      <c r="Y550" s="4" t="s">
        <v>6344</v>
      </c>
      <c r="Z550" s="4"/>
      <c r="AA550" s="4"/>
      <c r="AB550" s="4"/>
      <c r="AC550" s="4"/>
      <c r="AD550" s="4"/>
      <c r="AE550" s="4"/>
      <c r="AF550" s="4"/>
      <c r="AG550" s="4"/>
      <c r="AH550" s="4"/>
      <c r="AI550" s="4"/>
      <c r="AJ550" s="4"/>
      <c r="AK550" s="4"/>
      <c r="AL550" s="4"/>
      <c r="AM550" s="4" t="s">
        <v>6345</v>
      </c>
      <c r="AN550" s="4" t="s">
        <v>6346</v>
      </c>
      <c r="AO550" s="4"/>
      <c r="AP550" s="4"/>
      <c r="AQ550" s="4"/>
      <c r="AR550" s="4" t="s">
        <v>64</v>
      </c>
      <c r="AS550" s="4">
        <v>2023</v>
      </c>
      <c r="AT550" s="4">
        <v>237</v>
      </c>
      <c r="AU550" s="4">
        <v>1</v>
      </c>
      <c r="AV550" s="4"/>
      <c r="AW550" s="4"/>
      <c r="AX550" s="4"/>
      <c r="AY550" s="4"/>
      <c r="AZ550" s="4"/>
      <c r="BA550" s="4"/>
      <c r="BB550" s="4">
        <v>105499</v>
      </c>
      <c r="BC550" s="4" t="s">
        <v>6347</v>
      </c>
      <c r="BD550" s="5" t="str">
        <f>HYPERLINK("http://dx.doi.org/10.1016/j.jeconom.2023.105499","http://dx.doi.org/10.1016/j.jeconom.2023.105499")</f>
        <v>http://dx.doi.org/10.1016/j.jeconom.2023.105499</v>
      </c>
      <c r="BE550" s="4"/>
      <c r="BF550" s="4" t="s">
        <v>6057</v>
      </c>
      <c r="BG550" s="4"/>
      <c r="BH550" s="4"/>
      <c r="BI550" s="4"/>
      <c r="BJ550" s="4" t="s">
        <v>6348</v>
      </c>
      <c r="BK550" s="4"/>
      <c r="BL550" s="4"/>
      <c r="BM550" s="4"/>
      <c r="BN550" s="4"/>
      <c r="BO550" s="4"/>
      <c r="BP550" s="4"/>
      <c r="BQ550" s="4"/>
      <c r="BR550" s="4"/>
      <c r="BS550" s="4"/>
      <c r="BT550" s="4"/>
      <c r="BU550" s="12" t="s">
        <v>7434</v>
      </c>
      <c r="BV550" s="12" t="s">
        <v>7188</v>
      </c>
      <c r="BW550" s="12" t="s">
        <v>7189</v>
      </c>
    </row>
    <row r="551" spans="1:75" ht="12.75" customHeight="1">
      <c r="A551" s="3" t="s">
        <v>63</v>
      </c>
      <c r="B551" s="3" t="s">
        <v>6349</v>
      </c>
      <c r="C551" s="3"/>
      <c r="D551" s="3"/>
      <c r="E551" s="3"/>
      <c r="F551" s="3" t="s">
        <v>6350</v>
      </c>
      <c r="G551" s="3"/>
      <c r="H551" s="3"/>
      <c r="I551" s="3" t="s">
        <v>6351</v>
      </c>
      <c r="J551" s="3" t="s">
        <v>6352</v>
      </c>
      <c r="K551" s="3"/>
      <c r="L551" s="3"/>
      <c r="M551" s="3"/>
      <c r="N551" s="3"/>
      <c r="O551" s="3"/>
      <c r="P551" s="3"/>
      <c r="Q551" s="3"/>
      <c r="R551" s="3"/>
      <c r="S551" s="3"/>
      <c r="T551" s="3" t="s">
        <v>6353</v>
      </c>
      <c r="U551" s="3"/>
      <c r="V551" s="3"/>
      <c r="W551" s="3"/>
      <c r="X551" s="3"/>
      <c r="Y551" s="3" t="s">
        <v>6354</v>
      </c>
      <c r="Z551" s="3" t="s">
        <v>6355</v>
      </c>
      <c r="AA551" s="3"/>
      <c r="AB551" s="3"/>
      <c r="AC551" s="3"/>
      <c r="AD551" s="3"/>
      <c r="AE551" s="3"/>
      <c r="AF551" s="3"/>
      <c r="AG551" s="3"/>
      <c r="AH551" s="3"/>
      <c r="AI551" s="3"/>
      <c r="AJ551" s="3"/>
      <c r="AK551" s="3"/>
      <c r="AL551" s="3"/>
      <c r="AM551" s="3"/>
      <c r="AN551" s="3" t="s">
        <v>6356</v>
      </c>
      <c r="AO551" s="3"/>
      <c r="AP551" s="3"/>
      <c r="AQ551" s="3"/>
      <c r="AR551" s="3" t="s">
        <v>6357</v>
      </c>
      <c r="AS551" s="3">
        <v>2023</v>
      </c>
      <c r="AT551" s="3">
        <v>23</v>
      </c>
      <c r="AU551" s="3">
        <v>1</v>
      </c>
      <c r="AV551" s="3"/>
      <c r="AW551" s="3"/>
      <c r="AX551" s="3"/>
      <c r="AY551" s="3"/>
      <c r="AZ551" s="3"/>
      <c r="BA551" s="3"/>
      <c r="BB551" s="3">
        <v>661</v>
      </c>
      <c r="BC551" s="3" t="s">
        <v>6358</v>
      </c>
      <c r="BD551" s="15" t="str">
        <f>HYPERLINK("http://dx.doi.org/10.1186/s12884-023-05947-1","http://dx.doi.org/10.1186/s12884-023-05947-1")</f>
        <v>http://dx.doi.org/10.1186/s12884-023-05947-1</v>
      </c>
      <c r="BE551" s="3"/>
      <c r="BF551" s="3"/>
      <c r="BG551" s="3"/>
      <c r="BH551" s="3"/>
      <c r="BI551" s="3">
        <v>37704954</v>
      </c>
      <c r="BJ551" s="3" t="s">
        <v>6359</v>
      </c>
      <c r="BK551" s="3"/>
      <c r="BL551" s="3"/>
      <c r="BM551" s="3"/>
      <c r="BN551" s="3"/>
      <c r="BO551" s="3"/>
      <c r="BP551" s="3"/>
      <c r="BQ551" s="3"/>
      <c r="BR551" s="3"/>
      <c r="BS551" s="3"/>
      <c r="BT551" s="3"/>
      <c r="BU551" s="1" t="s">
        <v>7435</v>
      </c>
      <c r="BV551" s="2" t="s">
        <v>3516</v>
      </c>
      <c r="BW551" s="2" t="s">
        <v>7196</v>
      </c>
    </row>
    <row r="552" spans="1:75" ht="12.75" customHeight="1">
      <c r="A552" s="4" t="s">
        <v>63</v>
      </c>
      <c r="B552" s="4" t="s">
        <v>3925</v>
      </c>
      <c r="C552" s="4"/>
      <c r="D552" s="4"/>
      <c r="E552" s="4"/>
      <c r="F552" s="4" t="s">
        <v>3926</v>
      </c>
      <c r="G552" s="4"/>
      <c r="H552" s="4"/>
      <c r="I552" s="4" t="s">
        <v>3927</v>
      </c>
      <c r="J552" s="4" t="s">
        <v>3159</v>
      </c>
      <c r="K552" s="4"/>
      <c r="L552" s="4"/>
      <c r="M552" s="4"/>
      <c r="N552" s="4"/>
      <c r="O552" s="4"/>
      <c r="P552" s="4"/>
      <c r="Q552" s="4"/>
      <c r="R552" s="4"/>
      <c r="S552" s="4"/>
      <c r="T552" s="4" t="s">
        <v>3928</v>
      </c>
      <c r="U552" s="4"/>
      <c r="V552" s="4"/>
      <c r="W552" s="4"/>
      <c r="X552" s="4"/>
      <c r="Y552" s="4"/>
      <c r="Z552" s="4"/>
      <c r="AA552" s="4"/>
      <c r="AB552" s="4"/>
      <c r="AC552" s="4"/>
      <c r="AD552" s="4"/>
      <c r="AE552" s="4"/>
      <c r="AF552" s="4"/>
      <c r="AG552" s="4"/>
      <c r="AH552" s="4"/>
      <c r="AI552" s="4"/>
      <c r="AJ552" s="4"/>
      <c r="AK552" s="4"/>
      <c r="AL552" s="4"/>
      <c r="AM552" s="4" t="s">
        <v>3162</v>
      </c>
      <c r="AN552" s="4"/>
      <c r="AO552" s="4"/>
      <c r="AP552" s="4"/>
      <c r="AQ552" s="4"/>
      <c r="AR552" s="4" t="s">
        <v>121</v>
      </c>
      <c r="AS552" s="4">
        <v>2019</v>
      </c>
      <c r="AT552" s="4">
        <v>3</v>
      </c>
      <c r="AU552" s="4"/>
      <c r="AV552" s="4"/>
      <c r="AW552" s="4">
        <v>2</v>
      </c>
      <c r="AX552" s="4"/>
      <c r="AY552" s="4"/>
      <c r="AZ552" s="4"/>
      <c r="BA552" s="4"/>
      <c r="BB552" s="4" t="s">
        <v>3929</v>
      </c>
      <c r="BC552" s="4" t="s">
        <v>3930</v>
      </c>
      <c r="BD552" s="5" t="str">
        <f>HYPERLINK("http://dx.doi.org/10.1093/cdn/nzz054","http://dx.doi.org/10.1093/cdn/nzz054")</f>
        <v>http://dx.doi.org/10.1093/cdn/nzz054</v>
      </c>
      <c r="BE552" s="4"/>
      <c r="BF552" s="4"/>
      <c r="BG552" s="4"/>
      <c r="BH552" s="4"/>
      <c r="BI552" s="4">
        <v>31453425</v>
      </c>
      <c r="BJ552" s="4" t="s">
        <v>3931</v>
      </c>
      <c r="BK552" s="4"/>
      <c r="BL552" s="4"/>
      <c r="BM552" s="4"/>
      <c r="BN552" s="4"/>
      <c r="BO552" s="4"/>
      <c r="BP552" s="4"/>
      <c r="BQ552" s="4"/>
      <c r="BR552" s="4"/>
      <c r="BS552" s="4"/>
      <c r="BT552" s="4"/>
      <c r="BU552" s="12" t="s">
        <v>7193</v>
      </c>
      <c r="BV552" s="12" t="s">
        <v>7188</v>
      </c>
      <c r="BW552" s="12" t="s">
        <v>7189</v>
      </c>
    </row>
    <row r="553" spans="1:75" ht="12.75" customHeight="1">
      <c r="A553" s="4" t="s">
        <v>63</v>
      </c>
      <c r="B553" s="4" t="s">
        <v>1227</v>
      </c>
      <c r="C553" s="4"/>
      <c r="D553" s="4"/>
      <c r="E553" s="4"/>
      <c r="F553" s="4" t="s">
        <v>1228</v>
      </c>
      <c r="G553" s="4"/>
      <c r="H553" s="4"/>
      <c r="I553" s="4" t="s">
        <v>1229</v>
      </c>
      <c r="J553" s="4" t="s">
        <v>1230</v>
      </c>
      <c r="K553" s="4"/>
      <c r="L553" s="4"/>
      <c r="M553" s="4"/>
      <c r="N553" s="4"/>
      <c r="O553" s="4"/>
      <c r="P553" s="4"/>
      <c r="Q553" s="4"/>
      <c r="R553" s="4"/>
      <c r="S553" s="4"/>
      <c r="T553" s="4" t="s">
        <v>1231</v>
      </c>
      <c r="U553" s="4"/>
      <c r="V553" s="4"/>
      <c r="W553" s="4"/>
      <c r="X553" s="4"/>
      <c r="Y553" s="4"/>
      <c r="Z553" s="4"/>
      <c r="AA553" s="4"/>
      <c r="AB553" s="4"/>
      <c r="AC553" s="4"/>
      <c r="AD553" s="4"/>
      <c r="AE553" s="4"/>
      <c r="AF553" s="4"/>
      <c r="AG553" s="4"/>
      <c r="AH553" s="4"/>
      <c r="AI553" s="4"/>
      <c r="AJ553" s="4"/>
      <c r="AK553" s="4"/>
      <c r="AL553" s="4"/>
      <c r="AM553" s="4" t="s">
        <v>1232</v>
      </c>
      <c r="AN553" s="4" t="s">
        <v>1233</v>
      </c>
      <c r="AO553" s="4"/>
      <c r="AP553" s="4"/>
      <c r="AQ553" s="4"/>
      <c r="AR553" s="4" t="s">
        <v>65</v>
      </c>
      <c r="AS553" s="4">
        <v>2013</v>
      </c>
      <c r="AT553" s="4">
        <v>29</v>
      </c>
      <c r="AU553" s="4">
        <v>6</v>
      </c>
      <c r="AV553" s="4"/>
      <c r="AW553" s="4"/>
      <c r="AX553" s="4"/>
      <c r="AY553" s="4"/>
      <c r="AZ553" s="4">
        <v>452</v>
      </c>
      <c r="BA553" s="4">
        <v>463</v>
      </c>
      <c r="BB553" s="4"/>
      <c r="BC553" s="4" t="s">
        <v>1234</v>
      </c>
      <c r="BD553" s="5" t="str">
        <f>HYPERLINK("http://dx.doi.org/10.1177/1059840513491784","http://dx.doi.org/10.1177/1059840513491784")</f>
        <v>http://dx.doi.org/10.1177/1059840513491784</v>
      </c>
      <c r="BE553" s="4"/>
      <c r="BF553" s="4"/>
      <c r="BG553" s="4"/>
      <c r="BH553" s="4"/>
      <c r="BI553" s="4">
        <v>23715374</v>
      </c>
      <c r="BJ553" s="4" t="s">
        <v>1235</v>
      </c>
      <c r="BK553" s="4"/>
      <c r="BL553" s="4"/>
      <c r="BM553" s="4"/>
      <c r="BN553" s="4"/>
      <c r="BO553" s="4"/>
      <c r="BP553" s="4"/>
      <c r="BQ553" s="4"/>
      <c r="BR553" s="4"/>
      <c r="BS553" s="4"/>
      <c r="BT553" s="4"/>
      <c r="BU553" s="12" t="s">
        <v>7271</v>
      </c>
      <c r="BV553" s="12" t="s">
        <v>7188</v>
      </c>
      <c r="BW553" s="12" t="s">
        <v>7189</v>
      </c>
    </row>
    <row r="554" spans="1:75" ht="12.75" customHeight="1">
      <c r="A554" s="6" t="s">
        <v>63</v>
      </c>
      <c r="B554" s="6" t="s">
        <v>1607</v>
      </c>
      <c r="C554" s="6"/>
      <c r="D554" s="6"/>
      <c r="E554" s="6"/>
      <c r="F554" s="6" t="s">
        <v>1608</v>
      </c>
      <c r="G554" s="6"/>
      <c r="H554" s="6"/>
      <c r="I554" s="6" t="s">
        <v>1609</v>
      </c>
      <c r="J554" s="6" t="s">
        <v>1142</v>
      </c>
      <c r="K554" s="6"/>
      <c r="L554" s="6"/>
      <c r="M554" s="6"/>
      <c r="N554" s="6"/>
      <c r="O554" s="6"/>
      <c r="P554" s="6"/>
      <c r="Q554" s="6"/>
      <c r="R554" s="6"/>
      <c r="S554" s="6"/>
      <c r="T554" s="6" t="s">
        <v>1610</v>
      </c>
      <c r="U554" s="6"/>
      <c r="V554" s="6"/>
      <c r="W554" s="6"/>
      <c r="X554" s="6"/>
      <c r="Y554" s="6"/>
      <c r="Z554" s="6"/>
      <c r="AA554" s="6"/>
      <c r="AB554" s="6"/>
      <c r="AC554" s="6"/>
      <c r="AD554" s="6"/>
      <c r="AE554" s="6"/>
      <c r="AF554" s="6"/>
      <c r="AG554" s="6"/>
      <c r="AH554" s="6"/>
      <c r="AI554" s="6"/>
      <c r="AJ554" s="6"/>
      <c r="AK554" s="6"/>
      <c r="AL554" s="6"/>
      <c r="AM554" s="6"/>
      <c r="AN554" s="6" t="s">
        <v>1144</v>
      </c>
      <c r="AO554" s="6"/>
      <c r="AP554" s="6"/>
      <c r="AQ554" s="6"/>
      <c r="AR554" s="6" t="s">
        <v>66</v>
      </c>
      <c r="AS554" s="6">
        <v>2014</v>
      </c>
      <c r="AT554" s="6">
        <v>11</v>
      </c>
      <c r="AU554" s="6">
        <v>6</v>
      </c>
      <c r="AV554" s="6"/>
      <c r="AW554" s="6"/>
      <c r="AX554" s="6"/>
      <c r="AY554" s="6"/>
      <c r="AZ554" s="6">
        <v>5640</v>
      </c>
      <c r="BA554" s="6">
        <v>5650</v>
      </c>
      <c r="BB554" s="6"/>
      <c r="BC554" s="6" t="s">
        <v>1611</v>
      </c>
      <c r="BD554" s="9" t="str">
        <f>HYPERLINK("http://dx.doi.org/10.3390/ijerph110605640","http://dx.doi.org/10.3390/ijerph110605640")</f>
        <v>http://dx.doi.org/10.3390/ijerph110605640</v>
      </c>
      <c r="BE554" s="6"/>
      <c r="BF554" s="6"/>
      <c r="BG554" s="6"/>
      <c r="BH554" s="6"/>
      <c r="BI554" s="6">
        <v>24865399</v>
      </c>
      <c r="BJ554" s="6" t="s">
        <v>1612</v>
      </c>
      <c r="BK554" s="6"/>
      <c r="BL554" s="6"/>
      <c r="BM554" s="6"/>
      <c r="BN554" s="6"/>
      <c r="BO554" s="6"/>
      <c r="BP554" s="6"/>
      <c r="BQ554" s="6"/>
      <c r="BR554" s="6"/>
      <c r="BS554" s="6"/>
      <c r="BT554" s="6"/>
      <c r="BU554" s="8" t="s">
        <v>7210</v>
      </c>
      <c r="BV554" s="8" t="s">
        <v>7188</v>
      </c>
      <c r="BW554" s="8" t="s">
        <v>7189</v>
      </c>
    </row>
    <row r="555" spans="1:75" ht="12.75" customHeight="1">
      <c r="A555" s="3" t="s">
        <v>63</v>
      </c>
      <c r="B555" s="3" t="s">
        <v>3493</v>
      </c>
      <c r="C555" s="3"/>
      <c r="D555" s="3"/>
      <c r="E555" s="3"/>
      <c r="F555" s="3" t="s">
        <v>3494</v>
      </c>
      <c r="G555" s="3"/>
      <c r="H555" s="3"/>
      <c r="I555" s="3" t="s">
        <v>3495</v>
      </c>
      <c r="J555" s="3" t="s">
        <v>3496</v>
      </c>
      <c r="K555" s="3"/>
      <c r="L555" s="3"/>
      <c r="M555" s="3"/>
      <c r="N555" s="3"/>
      <c r="O555" s="3"/>
      <c r="P555" s="3"/>
      <c r="Q555" s="3"/>
      <c r="R555" s="3"/>
      <c r="S555" s="3"/>
      <c r="T555" s="3" t="s">
        <v>3497</v>
      </c>
      <c r="U555" s="3"/>
      <c r="V555" s="3"/>
      <c r="W555" s="3"/>
      <c r="X555" s="3"/>
      <c r="Y555" s="3"/>
      <c r="Z555" s="3" t="s">
        <v>3498</v>
      </c>
      <c r="AA555" s="3"/>
      <c r="AB555" s="3"/>
      <c r="AC555" s="3"/>
      <c r="AD555" s="3"/>
      <c r="AE555" s="3"/>
      <c r="AF555" s="3"/>
      <c r="AG555" s="3"/>
      <c r="AH555" s="3"/>
      <c r="AI555" s="3"/>
      <c r="AJ555" s="3"/>
      <c r="AK555" s="3"/>
      <c r="AL555" s="3"/>
      <c r="AM555" s="3" t="s">
        <v>3499</v>
      </c>
      <c r="AN555" s="3" t="s">
        <v>3500</v>
      </c>
      <c r="AO555" s="3"/>
      <c r="AP555" s="3"/>
      <c r="AQ555" s="3"/>
      <c r="AR555" s="3" t="s">
        <v>254</v>
      </c>
      <c r="AS555" s="3">
        <v>2018</v>
      </c>
      <c r="AT555" s="3">
        <v>12</v>
      </c>
      <c r="AU555" s="3">
        <v>1</v>
      </c>
      <c r="AV555" s="3"/>
      <c r="AW555" s="3"/>
      <c r="AX555" s="3"/>
      <c r="AY555" s="3"/>
      <c r="AZ555" s="3">
        <v>65</v>
      </c>
      <c r="BA555" s="3">
        <v>72</v>
      </c>
      <c r="BB555" s="3"/>
      <c r="BC555" s="3" t="s">
        <v>3501</v>
      </c>
      <c r="BD555" s="15" t="str">
        <f>HYPERLINK("http://dx.doi.org/10.1353/cpr.2018.0007","http://dx.doi.org/10.1353/cpr.2018.0007")</f>
        <v>http://dx.doi.org/10.1353/cpr.2018.0007</v>
      </c>
      <c r="BE555" s="3"/>
      <c r="BF555" s="3"/>
      <c r="BG555" s="3"/>
      <c r="BH555" s="3"/>
      <c r="BI555" s="3">
        <v>29606694</v>
      </c>
      <c r="BJ555" s="3" t="s">
        <v>3502</v>
      </c>
      <c r="BK555" s="3"/>
      <c r="BL555" s="3"/>
      <c r="BM555" s="3"/>
      <c r="BN555" s="3"/>
      <c r="BO555" s="3"/>
      <c r="BP555" s="3"/>
      <c r="BQ555" s="3"/>
      <c r="BR555" s="3"/>
      <c r="BS555" s="3"/>
      <c r="BT555" s="3"/>
      <c r="BU555" s="1" t="s">
        <v>7354</v>
      </c>
      <c r="BV555" s="2" t="s">
        <v>7188</v>
      </c>
      <c r="BW555" s="10" t="s">
        <v>7189</v>
      </c>
    </row>
    <row r="556" spans="1:75" ht="12.75" customHeight="1">
      <c r="A556" s="4" t="s">
        <v>63</v>
      </c>
      <c r="B556" s="4" t="s">
        <v>6954</v>
      </c>
      <c r="C556" s="4"/>
      <c r="D556" s="4"/>
      <c r="E556" s="4"/>
      <c r="F556" s="4" t="s">
        <v>6955</v>
      </c>
      <c r="G556" s="4"/>
      <c r="H556" s="4"/>
      <c r="I556" s="4" t="s">
        <v>6956</v>
      </c>
      <c r="J556" s="4" t="s">
        <v>6957</v>
      </c>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t="s">
        <v>6958</v>
      </c>
      <c r="AN556" s="4" t="s">
        <v>6959</v>
      </c>
      <c r="AO556" s="4"/>
      <c r="AP556" s="4"/>
      <c r="AQ556" s="4"/>
      <c r="AR556" s="4" t="s">
        <v>67</v>
      </c>
      <c r="AS556" s="4">
        <v>2024</v>
      </c>
      <c r="AT556" s="4">
        <v>367</v>
      </c>
      <c r="AU556" s="4"/>
      <c r="AV556" s="4"/>
      <c r="AW556" s="4">
        <v>1</v>
      </c>
      <c r="AX556" s="4"/>
      <c r="AY556" s="4">
        <v>704</v>
      </c>
      <c r="AZ556" s="4" t="s">
        <v>6960</v>
      </c>
      <c r="BA556" s="4" t="s">
        <v>6960</v>
      </c>
      <c r="BB556" s="4"/>
      <c r="BC556" s="4"/>
      <c r="BD556" s="4"/>
      <c r="BE556" s="4"/>
      <c r="BF556" s="4"/>
      <c r="BG556" s="4"/>
      <c r="BH556" s="4"/>
      <c r="BI556" s="4"/>
      <c r="BJ556" s="4" t="s">
        <v>6961</v>
      </c>
      <c r="BK556" s="4"/>
      <c r="BL556" s="4"/>
      <c r="BM556" s="4"/>
      <c r="BN556" s="4"/>
      <c r="BO556" s="4"/>
      <c r="BP556" s="4"/>
      <c r="BQ556" s="4"/>
      <c r="BR556" s="4"/>
      <c r="BS556" s="4"/>
      <c r="BT556" s="4"/>
      <c r="BU556" s="12" t="s">
        <v>7434</v>
      </c>
      <c r="BV556" s="12" t="s">
        <v>7188</v>
      </c>
      <c r="BW556" s="12" t="s">
        <v>7189</v>
      </c>
    </row>
    <row r="557" spans="1:75" ht="12.75" customHeight="1">
      <c r="A557" s="6" t="s">
        <v>63</v>
      </c>
      <c r="B557" s="6" t="s">
        <v>1970</v>
      </c>
      <c r="C557" s="6"/>
      <c r="D557" s="6"/>
      <c r="E557" s="6"/>
      <c r="F557" s="6" t="s">
        <v>1971</v>
      </c>
      <c r="G557" s="6"/>
      <c r="H557" s="6"/>
      <c r="I557" s="6" t="s">
        <v>1972</v>
      </c>
      <c r="J557" s="6" t="s">
        <v>434</v>
      </c>
      <c r="K557" s="6"/>
      <c r="L557" s="6"/>
      <c r="M557" s="6"/>
      <c r="N557" s="6"/>
      <c r="O557" s="6"/>
      <c r="P557" s="6"/>
      <c r="Q557" s="6"/>
      <c r="R557" s="6"/>
      <c r="S557" s="6"/>
      <c r="T557" s="6" t="s">
        <v>1973</v>
      </c>
      <c r="U557" s="6"/>
      <c r="V557" s="6"/>
      <c r="W557" s="6"/>
      <c r="X557" s="6"/>
      <c r="Y557" s="6"/>
      <c r="Z557" s="6" t="s">
        <v>1380</v>
      </c>
      <c r="AA557" s="6"/>
      <c r="AB557" s="6"/>
      <c r="AC557" s="6"/>
      <c r="AD557" s="6"/>
      <c r="AE557" s="6"/>
      <c r="AF557" s="6"/>
      <c r="AG557" s="6"/>
      <c r="AH557" s="6"/>
      <c r="AI557" s="6"/>
      <c r="AJ557" s="6"/>
      <c r="AK557" s="6"/>
      <c r="AL557" s="6"/>
      <c r="AM557" s="6" t="s">
        <v>436</v>
      </c>
      <c r="AN557" s="6" t="s">
        <v>568</v>
      </c>
      <c r="AO557" s="6"/>
      <c r="AP557" s="6"/>
      <c r="AQ557" s="6"/>
      <c r="AR557" s="6" t="s">
        <v>66</v>
      </c>
      <c r="AS557" s="6">
        <v>2015</v>
      </c>
      <c r="AT557" s="6">
        <v>60</v>
      </c>
      <c r="AU557" s="6"/>
      <c r="AV557" s="6"/>
      <c r="AW557" s="6"/>
      <c r="AX557" s="6" t="s">
        <v>569</v>
      </c>
      <c r="AY557" s="6"/>
      <c r="AZ557" s="6">
        <v>224</v>
      </c>
      <c r="BA557" s="6">
        <v>229</v>
      </c>
      <c r="BB557" s="6"/>
      <c r="BC557" s="6" t="s">
        <v>1974</v>
      </c>
      <c r="BD557" s="9" t="str">
        <f>HYPERLINK("http://dx.doi.org/10.1016/j.apgeog.2014.10.013","http://dx.doi.org/10.1016/j.apgeog.2014.10.013")</f>
        <v>http://dx.doi.org/10.1016/j.apgeog.2014.10.013</v>
      </c>
      <c r="BE557" s="6"/>
      <c r="BF557" s="6"/>
      <c r="BG557" s="6"/>
      <c r="BH557" s="6"/>
      <c r="BI557" s="6"/>
      <c r="BJ557" s="6" t="s">
        <v>1975</v>
      </c>
      <c r="BK557" s="6"/>
      <c r="BL557" s="6"/>
      <c r="BM557" s="6"/>
      <c r="BN557" s="6"/>
      <c r="BO557" s="6"/>
      <c r="BP557" s="6"/>
      <c r="BQ557" s="6"/>
      <c r="BR557" s="6"/>
      <c r="BS557" s="6"/>
      <c r="BT557" s="6"/>
      <c r="BU557" s="8" t="s">
        <v>7436</v>
      </c>
      <c r="BV557" s="8" t="s">
        <v>7188</v>
      </c>
      <c r="BW557" s="8" t="s">
        <v>7189</v>
      </c>
    </row>
    <row r="558" spans="1:75" ht="12.75" customHeight="1">
      <c r="A558" s="4" t="s">
        <v>63</v>
      </c>
      <c r="B558" s="4" t="s">
        <v>3932</v>
      </c>
      <c r="C558" s="4"/>
      <c r="D558" s="4"/>
      <c r="E558" s="4"/>
      <c r="F558" s="4" t="s">
        <v>3933</v>
      </c>
      <c r="G558" s="4"/>
      <c r="H558" s="4"/>
      <c r="I558" s="4" t="s">
        <v>3934</v>
      </c>
      <c r="J558" s="4" t="s">
        <v>3711</v>
      </c>
      <c r="K558" s="4"/>
      <c r="L558" s="4"/>
      <c r="M558" s="4"/>
      <c r="N558" s="4"/>
      <c r="O558" s="4"/>
      <c r="P558" s="4"/>
      <c r="Q558" s="4"/>
      <c r="R558" s="4"/>
      <c r="S558" s="4"/>
      <c r="T558" s="4" t="s">
        <v>3935</v>
      </c>
      <c r="U558" s="4"/>
      <c r="V558" s="4"/>
      <c r="W558" s="4"/>
      <c r="X558" s="4"/>
      <c r="Y558" s="4"/>
      <c r="Z558" s="4"/>
      <c r="AA558" s="4"/>
      <c r="AB558" s="4"/>
      <c r="AC558" s="4"/>
      <c r="AD558" s="4"/>
      <c r="AE558" s="4"/>
      <c r="AF558" s="4"/>
      <c r="AG558" s="4"/>
      <c r="AH558" s="4"/>
      <c r="AI558" s="4"/>
      <c r="AJ558" s="4"/>
      <c r="AK558" s="4"/>
      <c r="AL558" s="4"/>
      <c r="AM558" s="4" t="s">
        <v>3714</v>
      </c>
      <c r="AN558" s="4" t="s">
        <v>3715</v>
      </c>
      <c r="AO558" s="4"/>
      <c r="AP558" s="4"/>
      <c r="AQ558" s="4"/>
      <c r="AR558" s="4" t="s">
        <v>92</v>
      </c>
      <c r="AS558" s="4">
        <v>2019</v>
      </c>
      <c r="AT558" s="4">
        <v>9</v>
      </c>
      <c r="AU558" s="4">
        <v>5</v>
      </c>
      <c r="AV558" s="4"/>
      <c r="AW558" s="4"/>
      <c r="AX558" s="4" t="s">
        <v>569</v>
      </c>
      <c r="AY558" s="4"/>
      <c r="AZ558" s="4">
        <v>884</v>
      </c>
      <c r="BA558" s="4">
        <v>887</v>
      </c>
      <c r="BB558" s="4"/>
      <c r="BC558" s="4" t="s">
        <v>3936</v>
      </c>
      <c r="BD558" s="5" t="str">
        <f>HYPERLINK("http://dx.doi.org/10.1093/tbm/ibz089","http://dx.doi.org/10.1093/tbm/ibz089")</f>
        <v>http://dx.doi.org/10.1093/tbm/ibz089</v>
      </c>
      <c r="BE558" s="4"/>
      <c r="BF558" s="4"/>
      <c r="BG558" s="4"/>
      <c r="BH558" s="4"/>
      <c r="BI558" s="4">
        <v>31570917</v>
      </c>
      <c r="BJ558" s="4" t="s">
        <v>3937</v>
      </c>
      <c r="BK558" s="4"/>
      <c r="BL558" s="4"/>
      <c r="BM558" s="4"/>
      <c r="BN558" s="4"/>
      <c r="BO558" s="4"/>
      <c r="BP558" s="4"/>
      <c r="BQ558" s="4"/>
      <c r="BR558" s="4"/>
      <c r="BS558" s="4"/>
      <c r="BT558" s="4"/>
      <c r="BU558" s="12" t="s">
        <v>7193</v>
      </c>
      <c r="BV558" s="12" t="s">
        <v>7188</v>
      </c>
      <c r="BW558" s="12" t="s">
        <v>7189</v>
      </c>
    </row>
    <row r="559" spans="1:75" ht="12.75" customHeight="1">
      <c r="A559" s="3" t="s">
        <v>63</v>
      </c>
      <c r="B559" s="3" t="s">
        <v>2508</v>
      </c>
      <c r="C559" s="3"/>
      <c r="D559" s="3"/>
      <c r="E559" s="3"/>
      <c r="F559" s="3" t="s">
        <v>2509</v>
      </c>
      <c r="G559" s="3"/>
      <c r="H559" s="3"/>
      <c r="I559" s="3" t="s">
        <v>2510</v>
      </c>
      <c r="J559" s="3" t="s">
        <v>2511</v>
      </c>
      <c r="K559" s="3"/>
      <c r="L559" s="3"/>
      <c r="M559" s="3"/>
      <c r="N559" s="3"/>
      <c r="O559" s="3"/>
      <c r="P559" s="3"/>
      <c r="Q559" s="3"/>
      <c r="R559" s="3"/>
      <c r="S559" s="3"/>
      <c r="T559" s="3" t="s">
        <v>2512</v>
      </c>
      <c r="U559" s="3"/>
      <c r="V559" s="3"/>
      <c r="W559" s="3"/>
      <c r="X559" s="3"/>
      <c r="Y559" s="3"/>
      <c r="Z559" s="3"/>
      <c r="AA559" s="3"/>
      <c r="AB559" s="3"/>
      <c r="AC559" s="3"/>
      <c r="AD559" s="3"/>
      <c r="AE559" s="3"/>
      <c r="AF559" s="3"/>
      <c r="AG559" s="3"/>
      <c r="AH559" s="3"/>
      <c r="AI559" s="3"/>
      <c r="AJ559" s="3"/>
      <c r="AK559" s="3"/>
      <c r="AL559" s="3"/>
      <c r="AM559" s="3" t="s">
        <v>2513</v>
      </c>
      <c r="AN559" s="3" t="s">
        <v>2514</v>
      </c>
      <c r="AO559" s="3"/>
      <c r="AP559" s="3"/>
      <c r="AQ559" s="3"/>
      <c r="AR559" s="3" t="s">
        <v>67</v>
      </c>
      <c r="AS559" s="3">
        <v>2016</v>
      </c>
      <c r="AT559" s="3">
        <v>20</v>
      </c>
      <c r="AU559" s="3">
        <v>1</v>
      </c>
      <c r="AV559" s="3"/>
      <c r="AW559" s="3"/>
      <c r="AX559" s="3"/>
      <c r="AY559" s="3"/>
      <c r="AZ559" s="3">
        <v>79</v>
      </c>
      <c r="BA559" s="3">
        <v>100</v>
      </c>
      <c r="BB559" s="3"/>
      <c r="BC559" s="3" t="s">
        <v>2515</v>
      </c>
      <c r="BD559" s="15" t="str">
        <f>HYPERLINK("http://dx.doi.org/10.1111/tgis.12142","http://dx.doi.org/10.1111/tgis.12142")</f>
        <v>http://dx.doi.org/10.1111/tgis.12142</v>
      </c>
      <c r="BE559" s="3"/>
      <c r="BF559" s="3"/>
      <c r="BG559" s="3"/>
      <c r="BH559" s="3"/>
      <c r="BI559" s="3">
        <v>27034615</v>
      </c>
      <c r="BJ559" s="3" t="s">
        <v>2516</v>
      </c>
      <c r="BK559" s="3"/>
      <c r="BL559" s="3"/>
      <c r="BM559" s="3"/>
      <c r="BN559" s="3"/>
      <c r="BO559" s="3"/>
      <c r="BP559" s="3"/>
      <c r="BQ559" s="3"/>
      <c r="BR559" s="3"/>
      <c r="BS559" s="3"/>
      <c r="BT559" s="3"/>
      <c r="BU559" s="13" t="s">
        <v>7292</v>
      </c>
      <c r="BV559" s="2" t="s">
        <v>7188</v>
      </c>
      <c r="BW559" s="10" t="s">
        <v>7189</v>
      </c>
    </row>
    <row r="560" spans="1:75" ht="12.75" customHeight="1">
      <c r="A560" s="7" t="s">
        <v>63</v>
      </c>
      <c r="B560" s="7" t="s">
        <v>3938</v>
      </c>
      <c r="C560" s="7"/>
      <c r="D560" s="7"/>
      <c r="E560" s="7"/>
      <c r="F560" s="7" t="s">
        <v>3939</v>
      </c>
      <c r="G560" s="7"/>
      <c r="H560" s="7"/>
      <c r="I560" s="7" t="s">
        <v>3940</v>
      </c>
      <c r="J560" s="7" t="s">
        <v>3941</v>
      </c>
      <c r="K560" s="7"/>
      <c r="L560" s="7"/>
      <c r="M560" s="7"/>
      <c r="N560" s="7"/>
      <c r="O560" s="7"/>
      <c r="P560" s="7"/>
      <c r="Q560" s="7"/>
      <c r="R560" s="7"/>
      <c r="S560" s="7"/>
      <c r="T560" s="7" t="s">
        <v>3942</v>
      </c>
      <c r="U560" s="7"/>
      <c r="V560" s="7"/>
      <c r="W560" s="7"/>
      <c r="X560" s="7"/>
      <c r="Y560" s="7"/>
      <c r="Z560" s="7"/>
      <c r="AA560" s="7"/>
      <c r="AB560" s="7"/>
      <c r="AC560" s="7"/>
      <c r="AD560" s="7"/>
      <c r="AE560" s="7"/>
      <c r="AF560" s="7"/>
      <c r="AG560" s="7"/>
      <c r="AH560" s="7"/>
      <c r="AI560" s="7"/>
      <c r="AJ560" s="7"/>
      <c r="AK560" s="7"/>
      <c r="AL560" s="7"/>
      <c r="AM560" s="7" t="s">
        <v>3943</v>
      </c>
      <c r="AN560" s="7" t="s">
        <v>3944</v>
      </c>
      <c r="AO560" s="7"/>
      <c r="AP560" s="7"/>
      <c r="AQ560" s="7"/>
      <c r="AR560" s="7" t="s">
        <v>64</v>
      </c>
      <c r="AS560" s="7">
        <v>2019</v>
      </c>
      <c r="AT560" s="7">
        <v>134</v>
      </c>
      <c r="AU560" s="7">
        <v>4</v>
      </c>
      <c r="AV560" s="7"/>
      <c r="AW560" s="7"/>
      <c r="AX560" s="7"/>
      <c r="AY560" s="7"/>
      <c r="AZ560" s="7">
        <v>1793</v>
      </c>
      <c r="BA560" s="7">
        <v>1844</v>
      </c>
      <c r="BB560" s="7"/>
      <c r="BC560" s="7" t="s">
        <v>3945</v>
      </c>
      <c r="BD560" s="11" t="str">
        <f>HYPERLINK("http://dx.doi.org/10.1093/qje/qjz015","http://dx.doi.org/10.1093/qje/qjz015")</f>
        <v>http://dx.doi.org/10.1093/qje/qjz015</v>
      </c>
      <c r="BE560" s="7"/>
      <c r="BF560" s="7"/>
      <c r="BG560" s="7"/>
      <c r="BH560" s="7"/>
      <c r="BI560" s="7"/>
      <c r="BJ560" s="7" t="s">
        <v>3946</v>
      </c>
      <c r="BK560" s="7"/>
      <c r="BL560" s="7"/>
      <c r="BM560" s="7"/>
      <c r="BN560" s="7"/>
      <c r="BO560" s="7"/>
      <c r="BP560" s="7"/>
      <c r="BQ560" s="7"/>
      <c r="BR560" s="7"/>
      <c r="BS560" s="7"/>
      <c r="BT560" s="7"/>
      <c r="BU560" s="10" t="s">
        <v>7193</v>
      </c>
      <c r="BV560" s="10" t="s">
        <v>7188</v>
      </c>
      <c r="BW560" s="10" t="s">
        <v>7189</v>
      </c>
    </row>
    <row r="561" spans="1:75" ht="12.75" customHeight="1">
      <c r="A561" s="3" t="s">
        <v>63</v>
      </c>
      <c r="B561" s="3" t="s">
        <v>1236</v>
      </c>
      <c r="C561" s="3"/>
      <c r="D561" s="3"/>
      <c r="E561" s="3"/>
      <c r="F561" s="3" t="s">
        <v>1237</v>
      </c>
      <c r="G561" s="3"/>
      <c r="H561" s="3"/>
      <c r="I561" s="3" t="s">
        <v>1238</v>
      </c>
      <c r="J561" s="3" t="s">
        <v>396</v>
      </c>
      <c r="K561" s="3"/>
      <c r="L561" s="3"/>
      <c r="M561" s="3"/>
      <c r="N561" s="3"/>
      <c r="O561" s="3"/>
      <c r="P561" s="3"/>
      <c r="Q561" s="3"/>
      <c r="R561" s="3"/>
      <c r="S561" s="3"/>
      <c r="T561" s="3" t="s">
        <v>1239</v>
      </c>
      <c r="U561" s="3"/>
      <c r="V561" s="3"/>
      <c r="W561" s="3"/>
      <c r="X561" s="3"/>
      <c r="Y561" s="3" t="s">
        <v>1240</v>
      </c>
      <c r="Z561" s="3" t="s">
        <v>1241</v>
      </c>
      <c r="AA561" s="3"/>
      <c r="AB561" s="3"/>
      <c r="AC561" s="3"/>
      <c r="AD561" s="3"/>
      <c r="AE561" s="3"/>
      <c r="AF561" s="3"/>
      <c r="AG561" s="3"/>
      <c r="AH561" s="3"/>
      <c r="AI561" s="3"/>
      <c r="AJ561" s="3"/>
      <c r="AK561" s="3"/>
      <c r="AL561" s="3"/>
      <c r="AM561" s="3" t="s">
        <v>398</v>
      </c>
      <c r="AN561" s="3" t="s">
        <v>399</v>
      </c>
      <c r="AO561" s="3"/>
      <c r="AP561" s="3"/>
      <c r="AQ561" s="3"/>
      <c r="AR561" s="3" t="s">
        <v>1242</v>
      </c>
      <c r="AS561" s="3">
        <v>2013</v>
      </c>
      <c r="AT561" s="3">
        <v>45</v>
      </c>
      <c r="AU561" s="3">
        <v>5</v>
      </c>
      <c r="AV561" s="3"/>
      <c r="AW561" s="3"/>
      <c r="AX561" s="3"/>
      <c r="AY561" s="3"/>
      <c r="AZ561" s="3">
        <v>435</v>
      </c>
      <c r="BA561" s="3">
        <v>442</v>
      </c>
      <c r="BB561" s="3"/>
      <c r="BC561" s="3" t="s">
        <v>1243</v>
      </c>
      <c r="BD561" s="15" t="str">
        <f>HYPERLINK("http://dx.doi.org/10.1016/j.jneb.2013.01.021","http://dx.doi.org/10.1016/j.jneb.2013.01.021")</f>
        <v>http://dx.doi.org/10.1016/j.jneb.2013.01.021</v>
      </c>
      <c r="BE561" s="3"/>
      <c r="BF561" s="3"/>
      <c r="BG561" s="3"/>
      <c r="BH561" s="3"/>
      <c r="BI561" s="3">
        <v>23582231</v>
      </c>
      <c r="BJ561" s="3" t="s">
        <v>1244</v>
      </c>
      <c r="BK561" s="3"/>
      <c r="BL561" s="3"/>
      <c r="BM561" s="3"/>
      <c r="BN561" s="3"/>
      <c r="BO561" s="3"/>
      <c r="BP561" s="3"/>
      <c r="BQ561" s="3"/>
      <c r="BR561" s="3"/>
      <c r="BS561" s="3"/>
      <c r="BT561" s="3"/>
      <c r="BU561" s="1" t="s">
        <v>7437</v>
      </c>
      <c r="BV561" s="10" t="s">
        <v>7188</v>
      </c>
      <c r="BW561" s="10" t="s">
        <v>7189</v>
      </c>
    </row>
    <row r="562" spans="1:75" ht="12.75" customHeight="1">
      <c r="A562" s="3" t="s">
        <v>63</v>
      </c>
      <c r="B562" s="3" t="s">
        <v>5780</v>
      </c>
      <c r="C562" s="3"/>
      <c r="D562" s="3"/>
      <c r="E562" s="3"/>
      <c r="F562" s="3" t="s">
        <v>5781</v>
      </c>
      <c r="G562" s="3"/>
      <c r="H562" s="3"/>
      <c r="I562" s="3" t="s">
        <v>5782</v>
      </c>
      <c r="J562" s="3" t="s">
        <v>5783</v>
      </c>
      <c r="K562" s="3"/>
      <c r="L562" s="3"/>
      <c r="M562" s="3"/>
      <c r="N562" s="3"/>
      <c r="O562" s="3"/>
      <c r="P562" s="3"/>
      <c r="Q562" s="3"/>
      <c r="R562" s="3"/>
      <c r="S562" s="3"/>
      <c r="T562" s="3" t="s">
        <v>5784</v>
      </c>
      <c r="U562" s="3"/>
      <c r="V562" s="3"/>
      <c r="W562" s="3"/>
      <c r="X562" s="3"/>
      <c r="Y562" s="3" t="s">
        <v>5785</v>
      </c>
      <c r="Z562" s="3" t="s">
        <v>5786</v>
      </c>
      <c r="AA562" s="3"/>
      <c r="AB562" s="3"/>
      <c r="AC562" s="3"/>
      <c r="AD562" s="3"/>
      <c r="AE562" s="3"/>
      <c r="AF562" s="3"/>
      <c r="AG562" s="3"/>
      <c r="AH562" s="3"/>
      <c r="AI562" s="3"/>
      <c r="AJ562" s="3"/>
      <c r="AK562" s="3"/>
      <c r="AL562" s="3"/>
      <c r="AM562" s="3" t="s">
        <v>5787</v>
      </c>
      <c r="AN562" s="3"/>
      <c r="AO562" s="3"/>
      <c r="AP562" s="3"/>
      <c r="AQ562" s="3"/>
      <c r="AR562" s="3" t="s">
        <v>5788</v>
      </c>
      <c r="AS562" s="3">
        <v>2022</v>
      </c>
      <c r="AT562" s="3">
        <v>9</v>
      </c>
      <c r="AU562" s="3"/>
      <c r="AV562" s="3"/>
      <c r="AW562" s="3"/>
      <c r="AX562" s="3"/>
      <c r="AY562" s="3"/>
      <c r="AZ562" s="3"/>
      <c r="BA562" s="3"/>
      <c r="BB562" s="3">
        <v>904119</v>
      </c>
      <c r="BC562" s="3" t="s">
        <v>5789</v>
      </c>
      <c r="BD562" s="15" t="str">
        <f>HYPERLINK("http://dx.doi.org/10.3389/fnut.2022.904119","http://dx.doi.org/10.3389/fnut.2022.904119")</f>
        <v>http://dx.doi.org/10.3389/fnut.2022.904119</v>
      </c>
      <c r="BE562" s="3"/>
      <c r="BF562" s="3"/>
      <c r="BG562" s="3"/>
      <c r="BH562" s="3"/>
      <c r="BI562" s="3">
        <v>35873433</v>
      </c>
      <c r="BJ562" s="3" t="s">
        <v>5790</v>
      </c>
      <c r="BK562" s="3"/>
      <c r="BL562" s="3"/>
      <c r="BM562" s="3"/>
      <c r="BN562" s="3"/>
      <c r="BO562" s="3"/>
      <c r="BP562" s="3"/>
      <c r="BQ562" s="3"/>
      <c r="BR562" s="3"/>
      <c r="BS562" s="3"/>
      <c r="BT562" s="3"/>
      <c r="BU562" s="1" t="s">
        <v>7438</v>
      </c>
      <c r="BV562" s="10" t="s">
        <v>7188</v>
      </c>
      <c r="BW562" s="10" t="s">
        <v>7189</v>
      </c>
    </row>
    <row r="563" spans="1:75" ht="12.75" customHeight="1">
      <c r="A563" s="4" t="s">
        <v>63</v>
      </c>
      <c r="B563" s="4" t="s">
        <v>6360</v>
      </c>
      <c r="C563" s="4"/>
      <c r="D563" s="4"/>
      <c r="E563" s="4"/>
      <c r="F563" s="4" t="s">
        <v>6361</v>
      </c>
      <c r="G563" s="4"/>
      <c r="H563" s="4"/>
      <c r="I563" s="4" t="s">
        <v>6362</v>
      </c>
      <c r="J563" s="4" t="s">
        <v>6363</v>
      </c>
      <c r="K563" s="4"/>
      <c r="L563" s="4"/>
      <c r="M563" s="4"/>
      <c r="N563" s="4"/>
      <c r="O563" s="4"/>
      <c r="P563" s="4"/>
      <c r="Q563" s="4"/>
      <c r="R563" s="4"/>
      <c r="S563" s="4"/>
      <c r="T563" s="4" t="s">
        <v>6364</v>
      </c>
      <c r="U563" s="4"/>
      <c r="V563" s="4"/>
      <c r="W563" s="4"/>
      <c r="X563" s="4"/>
      <c r="Y563" s="4" t="s">
        <v>6365</v>
      </c>
      <c r="Z563" s="4" t="s">
        <v>6366</v>
      </c>
      <c r="AA563" s="4"/>
      <c r="AB563" s="4"/>
      <c r="AC563" s="4"/>
      <c r="AD563" s="4"/>
      <c r="AE563" s="4"/>
      <c r="AF563" s="4"/>
      <c r="AG563" s="4"/>
      <c r="AH563" s="4"/>
      <c r="AI563" s="4"/>
      <c r="AJ563" s="4"/>
      <c r="AK563" s="4"/>
      <c r="AL563" s="4"/>
      <c r="AM563" s="4" t="s">
        <v>6367</v>
      </c>
      <c r="AN563" s="4" t="s">
        <v>6368</v>
      </c>
      <c r="AO563" s="4"/>
      <c r="AP563" s="4"/>
      <c r="AQ563" s="4"/>
      <c r="AR563" s="4" t="s">
        <v>64</v>
      </c>
      <c r="AS563" s="4">
        <v>2023</v>
      </c>
      <c r="AT563" s="4">
        <v>124</v>
      </c>
      <c r="AU563" s="4"/>
      <c r="AV563" s="4"/>
      <c r="AW563" s="4"/>
      <c r="AX563" s="4"/>
      <c r="AY563" s="4"/>
      <c r="AZ563" s="4"/>
      <c r="BA563" s="4"/>
      <c r="BB563" s="4">
        <v>103525</v>
      </c>
      <c r="BC563" s="4" t="s">
        <v>6369</v>
      </c>
      <c r="BD563" s="5" t="str">
        <f>HYPERLINK("http://dx.doi.org/10.1016/j.jag.2023.103525","http://dx.doi.org/10.1016/j.jag.2023.103525")</f>
        <v>http://dx.doi.org/10.1016/j.jag.2023.103525</v>
      </c>
      <c r="BE563" s="4"/>
      <c r="BF563" s="4" t="s">
        <v>6252</v>
      </c>
      <c r="BG563" s="4"/>
      <c r="BH563" s="4"/>
      <c r="BI563" s="4"/>
      <c r="BJ563" s="4" t="s">
        <v>6370</v>
      </c>
      <c r="BK563" s="4"/>
      <c r="BL563" s="4"/>
      <c r="BM563" s="4"/>
      <c r="BN563" s="4"/>
      <c r="BO563" s="4"/>
      <c r="BP563" s="4"/>
      <c r="BQ563" s="4"/>
      <c r="BR563" s="4"/>
      <c r="BS563" s="4"/>
      <c r="BT563" s="4"/>
      <c r="BU563" s="12" t="s">
        <v>7439</v>
      </c>
      <c r="BV563" s="12" t="s">
        <v>7214</v>
      </c>
      <c r="BW563" s="12" t="s">
        <v>7205</v>
      </c>
    </row>
    <row r="564" spans="1:75" ht="12.75" customHeight="1">
      <c r="A564" s="4" t="s">
        <v>63</v>
      </c>
      <c r="B564" s="4" t="s">
        <v>685</v>
      </c>
      <c r="C564" s="4"/>
      <c r="D564" s="4"/>
      <c r="E564" s="4"/>
      <c r="F564" s="4" t="s">
        <v>686</v>
      </c>
      <c r="G564" s="4"/>
      <c r="H564" s="4"/>
      <c r="I564" s="4" t="s">
        <v>687</v>
      </c>
      <c r="J564" s="4" t="s">
        <v>688</v>
      </c>
      <c r="K564" s="4"/>
      <c r="L564" s="4"/>
      <c r="M564" s="4"/>
      <c r="N564" s="4"/>
      <c r="O564" s="4"/>
      <c r="P564" s="4"/>
      <c r="Q564" s="4"/>
      <c r="R564" s="4"/>
      <c r="S564" s="4"/>
      <c r="T564" s="4" t="s">
        <v>689</v>
      </c>
      <c r="U564" s="4"/>
      <c r="V564" s="4"/>
      <c r="W564" s="4"/>
      <c r="X564" s="4"/>
      <c r="Y564" s="4"/>
      <c r="Z564" s="4"/>
      <c r="AA564" s="4"/>
      <c r="AB564" s="4"/>
      <c r="AC564" s="4"/>
      <c r="AD564" s="4"/>
      <c r="AE564" s="4"/>
      <c r="AF564" s="4"/>
      <c r="AG564" s="4"/>
      <c r="AH564" s="4"/>
      <c r="AI564" s="4"/>
      <c r="AJ564" s="4"/>
      <c r="AK564" s="4"/>
      <c r="AL564" s="4"/>
      <c r="AM564" s="4" t="s">
        <v>690</v>
      </c>
      <c r="AN564" s="4"/>
      <c r="AO564" s="4"/>
      <c r="AP564" s="4"/>
      <c r="AQ564" s="4"/>
      <c r="AR564" s="4"/>
      <c r="AS564" s="4">
        <v>2011</v>
      </c>
      <c r="AT564" s="4">
        <v>2</v>
      </c>
      <c r="AU564" s="4">
        <v>1</v>
      </c>
      <c r="AV564" s="4"/>
      <c r="AW564" s="4"/>
      <c r="AX564" s="4"/>
      <c r="AY564" s="4"/>
      <c r="AZ564" s="4">
        <v>5</v>
      </c>
      <c r="BA564" s="4">
        <v>22</v>
      </c>
      <c r="BB564" s="4"/>
      <c r="BC564" s="4" t="s">
        <v>691</v>
      </c>
      <c r="BD564" s="5" t="str">
        <f>HYPERLINK("http://dx.doi.org/10.36251/josi.21","http://dx.doi.org/10.36251/josi.21")</f>
        <v>http://dx.doi.org/10.36251/josi.21</v>
      </c>
      <c r="BE564" s="4"/>
      <c r="BF564" s="4"/>
      <c r="BG564" s="4"/>
      <c r="BH564" s="4"/>
      <c r="BI564" s="4"/>
      <c r="BJ564" s="4" t="s">
        <v>692</v>
      </c>
      <c r="BK564" s="4"/>
      <c r="BL564" s="4"/>
      <c r="BM564" s="4"/>
      <c r="BN564" s="4"/>
      <c r="BO564" s="4"/>
      <c r="BP564" s="4"/>
      <c r="BQ564" s="4"/>
      <c r="BR564" s="4"/>
      <c r="BS564" s="4"/>
      <c r="BT564" s="4"/>
      <c r="BU564" s="12" t="s">
        <v>7191</v>
      </c>
      <c r="BV564" s="12" t="s">
        <v>7188</v>
      </c>
      <c r="BW564" s="12" t="s">
        <v>7189</v>
      </c>
    </row>
    <row r="565" spans="1:75" ht="12.75" customHeight="1">
      <c r="A565" s="3" t="s">
        <v>63</v>
      </c>
      <c r="B565" s="3" t="s">
        <v>6371</v>
      </c>
      <c r="C565" s="3"/>
      <c r="D565" s="3"/>
      <c r="E565" s="3"/>
      <c r="F565" s="3" t="s">
        <v>6372</v>
      </c>
      <c r="G565" s="3"/>
      <c r="H565" s="3"/>
      <c r="I565" s="3" t="s">
        <v>6373</v>
      </c>
      <c r="J565" s="3" t="s">
        <v>3528</v>
      </c>
      <c r="K565" s="3"/>
      <c r="L565" s="3"/>
      <c r="M565" s="3"/>
      <c r="N565" s="3"/>
      <c r="O565" s="3"/>
      <c r="P565" s="3"/>
      <c r="Q565" s="3"/>
      <c r="R565" s="3"/>
      <c r="S565" s="3"/>
      <c r="T565" s="3"/>
      <c r="U565" s="3"/>
      <c r="V565" s="3"/>
      <c r="W565" s="3"/>
      <c r="X565" s="3"/>
      <c r="Y565" s="3" t="s">
        <v>6374</v>
      </c>
      <c r="Z565" s="3"/>
      <c r="AA565" s="3"/>
      <c r="AB565" s="3"/>
      <c r="AC565" s="3"/>
      <c r="AD565" s="3"/>
      <c r="AE565" s="3"/>
      <c r="AF565" s="3"/>
      <c r="AG565" s="3"/>
      <c r="AH565" s="3"/>
      <c r="AI565" s="3"/>
      <c r="AJ565" s="3"/>
      <c r="AK565" s="3"/>
      <c r="AL565" s="3"/>
      <c r="AM565" s="3" t="s">
        <v>3530</v>
      </c>
      <c r="AN565" s="3" t="s">
        <v>3531</v>
      </c>
      <c r="AO565" s="3"/>
      <c r="AP565" s="3"/>
      <c r="AQ565" s="3"/>
      <c r="AR565" s="3" t="s">
        <v>445</v>
      </c>
      <c r="AS565" s="3">
        <v>2023</v>
      </c>
      <c r="AT565" s="3">
        <v>176</v>
      </c>
      <c r="AU565" s="3"/>
      <c r="AV565" s="3"/>
      <c r="AW565" s="3">
        <v>1</v>
      </c>
      <c r="AX565" s="3"/>
      <c r="AY565" s="3">
        <v>37</v>
      </c>
      <c r="AZ565" s="3" t="s">
        <v>1173</v>
      </c>
      <c r="BA565" s="3" t="s">
        <v>1173</v>
      </c>
      <c r="BB565" s="3"/>
      <c r="BC565" s="3" t="s">
        <v>6375</v>
      </c>
      <c r="BD565" s="15" t="str">
        <f>HYPERLINK("http://dx.doi.org/10.1016/j.ygyno.2023.06.502","http://dx.doi.org/10.1016/j.ygyno.2023.06.502")</f>
        <v>http://dx.doi.org/10.1016/j.ygyno.2023.06.502</v>
      </c>
      <c r="BE565" s="3"/>
      <c r="BF565" s="3" t="s">
        <v>6376</v>
      </c>
      <c r="BG565" s="3"/>
      <c r="BH565" s="3"/>
      <c r="BI565" s="3"/>
      <c r="BJ565" s="3" t="s">
        <v>6377</v>
      </c>
      <c r="BK565" s="3"/>
      <c r="BL565" s="3"/>
      <c r="BM565" s="3"/>
      <c r="BN565" s="3"/>
      <c r="BO565" s="3"/>
      <c r="BP565" s="3"/>
      <c r="BQ565" s="3"/>
      <c r="BR565" s="3"/>
      <c r="BS565" s="3"/>
      <c r="BT565" s="3"/>
      <c r="BU565" s="1" t="s">
        <v>7203</v>
      </c>
      <c r="BV565" s="10" t="s">
        <v>7188</v>
      </c>
      <c r="BW565" s="10" t="s">
        <v>7189</v>
      </c>
    </row>
    <row r="566" spans="1:75" ht="12.75" customHeight="1">
      <c r="A566" s="4" t="s">
        <v>63</v>
      </c>
      <c r="B566" s="4" t="s">
        <v>6962</v>
      </c>
      <c r="C566" s="4"/>
      <c r="D566" s="4"/>
      <c r="E566" s="4"/>
      <c r="F566" s="4" t="s">
        <v>6963</v>
      </c>
      <c r="G566" s="4"/>
      <c r="H566" s="4"/>
      <c r="I566" s="4" t="s">
        <v>6964</v>
      </c>
      <c r="J566" s="4" t="s">
        <v>6965</v>
      </c>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t="s">
        <v>6966</v>
      </c>
      <c r="AN566" s="4" t="s">
        <v>6967</v>
      </c>
      <c r="AO566" s="4"/>
      <c r="AP566" s="4"/>
      <c r="AQ566" s="4"/>
      <c r="AR566" s="4" t="s">
        <v>6968</v>
      </c>
      <c r="AS566" s="4">
        <v>2024</v>
      </c>
      <c r="AT566" s="4">
        <v>403</v>
      </c>
      <c r="AU566" s="4">
        <v>10445</v>
      </c>
      <c r="AV566" s="4"/>
      <c r="AW566" s="4"/>
      <c r="AX566" s="4"/>
      <c r="AY566" s="4"/>
      <c r="AZ566" s="4">
        <v>2683</v>
      </c>
      <c r="BA566" s="4">
        <v>2683</v>
      </c>
      <c r="BB566" s="4"/>
      <c r="BC566" s="4"/>
      <c r="BD566" s="4"/>
      <c r="BE566" s="4"/>
      <c r="BF566" s="4"/>
      <c r="BG566" s="4"/>
      <c r="BH566" s="4"/>
      <c r="BI566" s="4">
        <v>38909613</v>
      </c>
      <c r="BJ566" s="4" t="s">
        <v>6969</v>
      </c>
      <c r="BK566" s="4"/>
      <c r="BL566" s="4"/>
      <c r="BM566" s="4"/>
      <c r="BN566" s="4"/>
      <c r="BO566" s="4"/>
      <c r="BP566" s="4"/>
      <c r="BQ566" s="4"/>
      <c r="BR566" s="4"/>
      <c r="BS566" s="4"/>
      <c r="BT566" s="4"/>
      <c r="BU566" s="12" t="s">
        <v>7193</v>
      </c>
      <c r="BV566" s="12" t="s">
        <v>7193</v>
      </c>
      <c r="BW566" s="12" t="s">
        <v>7193</v>
      </c>
    </row>
    <row r="567" spans="1:75" ht="12.75" customHeight="1">
      <c r="A567" s="4" t="s">
        <v>63</v>
      </c>
      <c r="B567" s="4" t="s">
        <v>4381</v>
      </c>
      <c r="C567" s="4"/>
      <c r="D567" s="4"/>
      <c r="E567" s="4"/>
      <c r="F567" s="4" t="s">
        <v>4382</v>
      </c>
      <c r="G567" s="4"/>
      <c r="H567" s="4"/>
      <c r="I567" s="4" t="s">
        <v>4383</v>
      </c>
      <c r="J567" s="4" t="s">
        <v>4384</v>
      </c>
      <c r="K567" s="4"/>
      <c r="L567" s="4"/>
      <c r="M567" s="4"/>
      <c r="N567" s="4"/>
      <c r="O567" s="4"/>
      <c r="P567" s="4"/>
      <c r="Q567" s="4"/>
      <c r="R567" s="4"/>
      <c r="S567" s="4"/>
      <c r="T567" s="4" t="s">
        <v>4385</v>
      </c>
      <c r="U567" s="4"/>
      <c r="V567" s="4"/>
      <c r="W567" s="4"/>
      <c r="X567" s="4"/>
      <c r="Y567" s="4" t="s">
        <v>4386</v>
      </c>
      <c r="Z567" s="4" t="s">
        <v>4387</v>
      </c>
      <c r="AA567" s="4"/>
      <c r="AB567" s="4"/>
      <c r="AC567" s="4"/>
      <c r="AD567" s="4"/>
      <c r="AE567" s="4"/>
      <c r="AF567" s="4"/>
      <c r="AG567" s="4"/>
      <c r="AH567" s="4"/>
      <c r="AI567" s="4"/>
      <c r="AJ567" s="4"/>
      <c r="AK567" s="4"/>
      <c r="AL567" s="4"/>
      <c r="AM567" s="4"/>
      <c r="AN567" s="4" t="s">
        <v>4388</v>
      </c>
      <c r="AO567" s="4"/>
      <c r="AP567" s="4"/>
      <c r="AQ567" s="4"/>
      <c r="AR567" s="4"/>
      <c r="AS567" s="4">
        <v>2020</v>
      </c>
      <c r="AT567" s="4">
        <v>6</v>
      </c>
      <c r="AU567" s="4">
        <v>1</v>
      </c>
      <c r="AV567" s="4"/>
      <c r="AW567" s="4"/>
      <c r="AX567" s="4"/>
      <c r="AY567" s="4"/>
      <c r="AZ567" s="4"/>
      <c r="BA567" s="4"/>
      <c r="BB567" s="4">
        <v>158</v>
      </c>
      <c r="BC567" s="4" t="s">
        <v>4389</v>
      </c>
      <c r="BD567" s="5" t="str">
        <f>HYPERLINK("http://dx.doi.org/10.1186/s40814-020-00697-9","http://dx.doi.org/10.1186/s40814-020-00697-9")</f>
        <v>http://dx.doi.org/10.1186/s40814-020-00697-9</v>
      </c>
      <c r="BE567" s="4"/>
      <c r="BF567" s="4"/>
      <c r="BG567" s="4"/>
      <c r="BH567" s="4"/>
      <c r="BI567" s="4">
        <v>33088581</v>
      </c>
      <c r="BJ567" s="4" t="s">
        <v>4390</v>
      </c>
      <c r="BK567" s="4"/>
      <c r="BL567" s="4"/>
      <c r="BM567" s="4"/>
      <c r="BN567" s="4"/>
      <c r="BO567" s="4"/>
      <c r="BP567" s="4"/>
      <c r="BQ567" s="4"/>
      <c r="BR567" s="4"/>
      <c r="BS567" s="4"/>
      <c r="BT567" s="4"/>
      <c r="BU567" s="12" t="s">
        <v>7440</v>
      </c>
      <c r="BV567" s="12" t="s">
        <v>7188</v>
      </c>
      <c r="BW567" s="12" t="s">
        <v>7189</v>
      </c>
    </row>
    <row r="568" spans="1:75" ht="12.75" customHeight="1">
      <c r="A568" s="4" t="s">
        <v>63</v>
      </c>
      <c r="B568" s="4" t="s">
        <v>4391</v>
      </c>
      <c r="C568" s="4"/>
      <c r="D568" s="4"/>
      <c r="E568" s="4"/>
      <c r="F568" s="4" t="s">
        <v>4392</v>
      </c>
      <c r="G568" s="4"/>
      <c r="H568" s="4"/>
      <c r="I568" s="4" t="s">
        <v>4393</v>
      </c>
      <c r="J568" s="4" t="s">
        <v>3591</v>
      </c>
      <c r="K568" s="4"/>
      <c r="L568" s="4"/>
      <c r="M568" s="4"/>
      <c r="N568" s="4"/>
      <c r="O568" s="4"/>
      <c r="P568" s="4"/>
      <c r="Q568" s="4"/>
      <c r="R568" s="4"/>
      <c r="S568" s="4"/>
      <c r="T568" s="4" t="s">
        <v>4394</v>
      </c>
      <c r="U568" s="4"/>
      <c r="V568" s="4"/>
      <c r="W568" s="4"/>
      <c r="X568" s="4"/>
      <c r="Y568" s="4"/>
      <c r="Z568" s="4" t="s">
        <v>4395</v>
      </c>
      <c r="AA568" s="4"/>
      <c r="AB568" s="4"/>
      <c r="AC568" s="4"/>
      <c r="AD568" s="4"/>
      <c r="AE568" s="4"/>
      <c r="AF568" s="4"/>
      <c r="AG568" s="4"/>
      <c r="AH568" s="4"/>
      <c r="AI568" s="4"/>
      <c r="AJ568" s="4"/>
      <c r="AK568" s="4"/>
      <c r="AL568" s="4"/>
      <c r="AM568" s="4"/>
      <c r="AN568" s="4" t="s">
        <v>3592</v>
      </c>
      <c r="AO568" s="4"/>
      <c r="AP568" s="4"/>
      <c r="AQ568" s="4"/>
      <c r="AR568" s="4" t="s">
        <v>68</v>
      </c>
      <c r="AS568" s="4">
        <v>2020</v>
      </c>
      <c r="AT568" s="4">
        <v>12</v>
      </c>
      <c r="AU568" s="4">
        <v>4</v>
      </c>
      <c r="AV568" s="4"/>
      <c r="AW568" s="4"/>
      <c r="AX568" s="4"/>
      <c r="AY568" s="4"/>
      <c r="AZ568" s="4"/>
      <c r="BA568" s="4"/>
      <c r="BB568" s="4">
        <v>1053</v>
      </c>
      <c r="BC568" s="4" t="s">
        <v>4396</v>
      </c>
      <c r="BD568" s="5" t="str">
        <f>HYPERLINK("http://dx.doi.org/10.3390/w12041053","http://dx.doi.org/10.3390/w12041053")</f>
        <v>http://dx.doi.org/10.3390/w12041053</v>
      </c>
      <c r="BE568" s="4"/>
      <c r="BF568" s="4"/>
      <c r="BG568" s="4"/>
      <c r="BH568" s="4"/>
      <c r="BI568" s="4"/>
      <c r="BJ568" s="4" t="s">
        <v>4397</v>
      </c>
      <c r="BK568" s="4"/>
      <c r="BL568" s="4"/>
      <c r="BM568" s="4"/>
      <c r="BN568" s="4"/>
      <c r="BO568" s="4"/>
      <c r="BP568" s="4"/>
      <c r="BQ568" s="4"/>
      <c r="BR568" s="4"/>
      <c r="BS568" s="4"/>
      <c r="BT568" s="4"/>
      <c r="BU568" s="12" t="s">
        <v>7321</v>
      </c>
      <c r="BV568" s="12" t="s">
        <v>7188</v>
      </c>
      <c r="BW568" s="12" t="s">
        <v>7189</v>
      </c>
    </row>
    <row r="569" spans="1:75" ht="12.75" customHeight="1">
      <c r="A569" s="4" t="s">
        <v>63</v>
      </c>
      <c r="B569" s="4" t="s">
        <v>3948</v>
      </c>
      <c r="C569" s="4"/>
      <c r="D569" s="4"/>
      <c r="E569" s="4"/>
      <c r="F569" s="4" t="s">
        <v>3949</v>
      </c>
      <c r="G569" s="4"/>
      <c r="H569" s="4"/>
      <c r="I569" s="4" t="s">
        <v>3950</v>
      </c>
      <c r="J569" s="4" t="s">
        <v>3282</v>
      </c>
      <c r="K569" s="4"/>
      <c r="L569" s="4"/>
      <c r="M569" s="4"/>
      <c r="N569" s="4"/>
      <c r="O569" s="4"/>
      <c r="P569" s="4"/>
      <c r="Q569" s="4"/>
      <c r="R569" s="4"/>
      <c r="S569" s="4"/>
      <c r="T569" s="4" t="s">
        <v>3951</v>
      </c>
      <c r="U569" s="4"/>
      <c r="V569" s="4"/>
      <c r="W569" s="4"/>
      <c r="X569" s="4"/>
      <c r="Y569" s="4"/>
      <c r="Z569" s="4"/>
      <c r="AA569" s="4"/>
      <c r="AB569" s="4"/>
      <c r="AC569" s="4"/>
      <c r="AD569" s="4"/>
      <c r="AE569" s="4"/>
      <c r="AF569" s="4"/>
      <c r="AG569" s="4"/>
      <c r="AH569" s="4"/>
      <c r="AI569" s="4"/>
      <c r="AJ569" s="4"/>
      <c r="AK569" s="4"/>
      <c r="AL569" s="4"/>
      <c r="AM569" s="4"/>
      <c r="AN569" s="4" t="s">
        <v>3285</v>
      </c>
      <c r="AO569" s="4"/>
      <c r="AP569" s="4"/>
      <c r="AQ569" s="4"/>
      <c r="AR569" s="4" t="s">
        <v>66</v>
      </c>
      <c r="AS569" s="4">
        <v>2019</v>
      </c>
      <c r="AT569" s="4">
        <v>3</v>
      </c>
      <c r="AU569" s="4">
        <v>2</v>
      </c>
      <c r="AV569" s="4"/>
      <c r="AW569" s="4"/>
      <c r="AX569" s="4"/>
      <c r="AY569" s="4"/>
      <c r="AZ569" s="4"/>
      <c r="BA569" s="4"/>
      <c r="BB569" s="4">
        <v>53</v>
      </c>
      <c r="BC569" s="4" t="s">
        <v>3952</v>
      </c>
      <c r="BD569" s="5" t="str">
        <f>HYPERLINK("http://dx.doi.org/10.3390/urbansci3020053","http://dx.doi.org/10.3390/urbansci3020053")</f>
        <v>http://dx.doi.org/10.3390/urbansci3020053</v>
      </c>
      <c r="BE569" s="4"/>
      <c r="BF569" s="4"/>
      <c r="BG569" s="4"/>
      <c r="BH569" s="4"/>
      <c r="BI569" s="4"/>
      <c r="BJ569" s="4" t="s">
        <v>3953</v>
      </c>
      <c r="BK569" s="4"/>
      <c r="BL569" s="4"/>
      <c r="BM569" s="4"/>
      <c r="BN569" s="4"/>
      <c r="BO569" s="4"/>
      <c r="BP569" s="4"/>
      <c r="BQ569" s="4"/>
      <c r="BR569" s="4"/>
      <c r="BS569" s="4"/>
      <c r="BT569" s="4"/>
      <c r="BU569" s="12" t="s">
        <v>7193</v>
      </c>
      <c r="BV569" s="12" t="s">
        <v>7188</v>
      </c>
      <c r="BW569" s="12" t="s">
        <v>7189</v>
      </c>
    </row>
    <row r="570" spans="1:75" ht="12.75" customHeight="1">
      <c r="A570" s="4" t="s">
        <v>63</v>
      </c>
      <c r="B570" s="4" t="s">
        <v>1613</v>
      </c>
      <c r="C570" s="4"/>
      <c r="D570" s="4"/>
      <c r="E570" s="4"/>
      <c r="F570" s="4" t="s">
        <v>1614</v>
      </c>
      <c r="G570" s="4"/>
      <c r="H570" s="4"/>
      <c r="I570" s="4" t="s">
        <v>1615</v>
      </c>
      <c r="J570" s="4" t="s">
        <v>712</v>
      </c>
      <c r="K570" s="4"/>
      <c r="L570" s="4"/>
      <c r="M570" s="4"/>
      <c r="N570" s="4"/>
      <c r="O570" s="4"/>
      <c r="P570" s="4"/>
      <c r="Q570" s="4"/>
      <c r="R570" s="4"/>
      <c r="S570" s="4"/>
      <c r="T570" s="4" t="s">
        <v>1616</v>
      </c>
      <c r="U570" s="4"/>
      <c r="V570" s="4"/>
      <c r="W570" s="4"/>
      <c r="X570" s="4"/>
      <c r="Y570" s="4"/>
      <c r="Z570" s="4"/>
      <c r="AA570" s="4"/>
      <c r="AB570" s="4"/>
      <c r="AC570" s="4"/>
      <c r="AD570" s="4"/>
      <c r="AE570" s="4"/>
      <c r="AF570" s="4"/>
      <c r="AG570" s="4"/>
      <c r="AH570" s="4"/>
      <c r="AI570" s="4"/>
      <c r="AJ570" s="4"/>
      <c r="AK570" s="4"/>
      <c r="AL570" s="4"/>
      <c r="AM570" s="4" t="s">
        <v>714</v>
      </c>
      <c r="AN570" s="4" t="s">
        <v>715</v>
      </c>
      <c r="AO570" s="4"/>
      <c r="AP570" s="4"/>
      <c r="AQ570" s="4"/>
      <c r="AR570" s="4" t="s">
        <v>65</v>
      </c>
      <c r="AS570" s="4">
        <v>2014</v>
      </c>
      <c r="AT570" s="4">
        <v>39</v>
      </c>
      <c r="AU570" s="4">
        <v>6</v>
      </c>
      <c r="AV570" s="4"/>
      <c r="AW570" s="4"/>
      <c r="AX570" s="4"/>
      <c r="AY570" s="4"/>
      <c r="AZ570" s="4">
        <v>1133</v>
      </c>
      <c r="BA570" s="4">
        <v>1139</v>
      </c>
      <c r="BB570" s="4"/>
      <c r="BC570" s="4" t="s">
        <v>1617</v>
      </c>
      <c r="BD570" s="5" t="str">
        <f>HYPERLINK("http://dx.doi.org/10.1007/s10900-014-9868-0","http://dx.doi.org/10.1007/s10900-014-9868-0")</f>
        <v>http://dx.doi.org/10.1007/s10900-014-9868-0</v>
      </c>
      <c r="BE570" s="4"/>
      <c r="BF570" s="4"/>
      <c r="BG570" s="4"/>
      <c r="BH570" s="4"/>
      <c r="BI570" s="4">
        <v>24705680</v>
      </c>
      <c r="BJ570" s="4" t="s">
        <v>1618</v>
      </c>
      <c r="BK570" s="4"/>
      <c r="BL570" s="4"/>
      <c r="BM570" s="4"/>
      <c r="BN570" s="4"/>
      <c r="BO570" s="4"/>
      <c r="BP570" s="4"/>
      <c r="BQ570" s="4"/>
      <c r="BR570" s="4"/>
      <c r="BS570" s="4"/>
      <c r="BT570" s="4"/>
      <c r="BU570" s="12" t="s">
        <v>7193</v>
      </c>
      <c r="BV570" s="12" t="s">
        <v>7188</v>
      </c>
      <c r="BW570" s="12" t="s">
        <v>7189</v>
      </c>
    </row>
    <row r="571" spans="1:75" ht="12.75" customHeight="1">
      <c r="A571" s="4" t="s">
        <v>63</v>
      </c>
      <c r="B571" s="4" t="s">
        <v>4398</v>
      </c>
      <c r="C571" s="4"/>
      <c r="D571" s="4"/>
      <c r="E571" s="4"/>
      <c r="F571" s="4" t="s">
        <v>4399</v>
      </c>
      <c r="G571" s="4"/>
      <c r="H571" s="4"/>
      <c r="I571" s="4" t="s">
        <v>4400</v>
      </c>
      <c r="J571" s="4" t="s">
        <v>1672</v>
      </c>
      <c r="K571" s="4"/>
      <c r="L571" s="4"/>
      <c r="M571" s="4"/>
      <c r="N571" s="4"/>
      <c r="O571" s="4"/>
      <c r="P571" s="4"/>
      <c r="Q571" s="4"/>
      <c r="R571" s="4"/>
      <c r="S571" s="4"/>
      <c r="T571" s="4" t="s">
        <v>4401</v>
      </c>
      <c r="U571" s="4"/>
      <c r="V571" s="4"/>
      <c r="W571" s="4"/>
      <c r="X571" s="4"/>
      <c r="Y571" s="4"/>
      <c r="Z571" s="4"/>
      <c r="AA571" s="4"/>
      <c r="AB571" s="4"/>
      <c r="AC571" s="4"/>
      <c r="AD571" s="4"/>
      <c r="AE571" s="4"/>
      <c r="AF571" s="4"/>
      <c r="AG571" s="4"/>
      <c r="AH571" s="4"/>
      <c r="AI571" s="4"/>
      <c r="AJ571" s="4"/>
      <c r="AK571" s="4"/>
      <c r="AL571" s="4"/>
      <c r="AM571" s="4" t="s">
        <v>1676</v>
      </c>
      <c r="AN571" s="4" t="s">
        <v>1677</v>
      </c>
      <c r="AO571" s="4"/>
      <c r="AP571" s="4"/>
      <c r="AQ571" s="4"/>
      <c r="AR571" s="4" t="s">
        <v>68</v>
      </c>
      <c r="AS571" s="4">
        <v>2020</v>
      </c>
      <c r="AT571" s="4">
        <v>33</v>
      </c>
      <c r="AU571" s="4">
        <v>2</v>
      </c>
      <c r="AV571" s="4"/>
      <c r="AW571" s="4"/>
      <c r="AX571" s="4"/>
      <c r="AY571" s="4"/>
      <c r="AZ571" s="4">
        <v>355</v>
      </c>
      <c r="BA571" s="4">
        <v>367</v>
      </c>
      <c r="BB571" s="4"/>
      <c r="BC571" s="4" t="s">
        <v>4402</v>
      </c>
      <c r="BD571" s="5" t="str">
        <f>HYPERLINK("http://dx.doi.org/10.1007/s10806-020-09820-5","http://dx.doi.org/10.1007/s10806-020-09820-5")</f>
        <v>http://dx.doi.org/10.1007/s10806-020-09820-5</v>
      </c>
      <c r="BE571" s="4"/>
      <c r="BF571" s="4" t="s">
        <v>4403</v>
      </c>
      <c r="BG571" s="4"/>
      <c r="BH571" s="4"/>
      <c r="BI571" s="4"/>
      <c r="BJ571" s="4" t="s">
        <v>4404</v>
      </c>
      <c r="BK571" s="4"/>
      <c r="BL571" s="4"/>
      <c r="BM571" s="4"/>
      <c r="BN571" s="4"/>
      <c r="BO571" s="4"/>
      <c r="BP571" s="4"/>
      <c r="BQ571" s="4"/>
      <c r="BR571" s="4"/>
      <c r="BS571" s="4"/>
      <c r="BT571" s="4"/>
      <c r="BU571" s="12" t="s">
        <v>7201</v>
      </c>
      <c r="BV571" s="12" t="s">
        <v>7188</v>
      </c>
      <c r="BW571" s="12" t="s">
        <v>7189</v>
      </c>
    </row>
    <row r="572" spans="1:75" ht="12.75" customHeight="1">
      <c r="A572" s="7" t="s">
        <v>63</v>
      </c>
      <c r="B572" s="7" t="s">
        <v>1976</v>
      </c>
      <c r="C572" s="7"/>
      <c r="D572" s="7"/>
      <c r="E572" s="7"/>
      <c r="F572" s="7" t="s">
        <v>1977</v>
      </c>
      <c r="G572" s="7"/>
      <c r="H572" s="7"/>
      <c r="I572" s="7" t="s">
        <v>1978</v>
      </c>
      <c r="J572" s="7" t="s">
        <v>1979</v>
      </c>
      <c r="K572" s="7"/>
      <c r="L572" s="7"/>
      <c r="M572" s="7"/>
      <c r="N572" s="7"/>
      <c r="O572" s="7"/>
      <c r="P572" s="7"/>
      <c r="Q572" s="7"/>
      <c r="R572" s="7"/>
      <c r="S572" s="7"/>
      <c r="T572" s="7"/>
      <c r="U572" s="7"/>
      <c r="V572" s="7"/>
      <c r="W572" s="7"/>
      <c r="X572" s="7"/>
      <c r="Y572" s="7" t="s">
        <v>1980</v>
      </c>
      <c r="Z572" s="7"/>
      <c r="AA572" s="7"/>
      <c r="AB572" s="7"/>
      <c r="AC572" s="7"/>
      <c r="AD572" s="7"/>
      <c r="AE572" s="7"/>
      <c r="AF572" s="7"/>
      <c r="AG572" s="7"/>
      <c r="AH572" s="7"/>
      <c r="AI572" s="7"/>
      <c r="AJ572" s="7"/>
      <c r="AK572" s="7"/>
      <c r="AL572" s="7"/>
      <c r="AM572" s="7" t="s">
        <v>1981</v>
      </c>
      <c r="AN572" s="7" t="s">
        <v>1982</v>
      </c>
      <c r="AO572" s="7"/>
      <c r="AP572" s="7"/>
      <c r="AQ572" s="7"/>
      <c r="AR572" s="7" t="s">
        <v>65</v>
      </c>
      <c r="AS572" s="7">
        <v>2015</v>
      </c>
      <c r="AT572" s="7">
        <v>12</v>
      </c>
      <c r="AU572" s="7">
        <v>12</v>
      </c>
      <c r="AV572" s="7"/>
      <c r="AW572" s="7"/>
      <c r="AX572" s="7"/>
      <c r="AY572" s="7"/>
      <c r="AZ572" s="7"/>
      <c r="BA572" s="7"/>
      <c r="BB572" s="7" t="s">
        <v>1983</v>
      </c>
      <c r="BC572" s="7" t="s">
        <v>1984</v>
      </c>
      <c r="BD572" s="11" t="str">
        <f>HYPERLINK("http://dx.doi.org/10.1371/journal.pmed.1001914","http://dx.doi.org/10.1371/journal.pmed.1001914")</f>
        <v>http://dx.doi.org/10.1371/journal.pmed.1001914</v>
      </c>
      <c r="BE572" s="7"/>
      <c r="BF572" s="7"/>
      <c r="BG572" s="7"/>
      <c r="BH572" s="7"/>
      <c r="BI572" s="7">
        <v>26645285</v>
      </c>
      <c r="BJ572" s="7" t="s">
        <v>1985</v>
      </c>
      <c r="BK572" s="7"/>
      <c r="BL572" s="7"/>
      <c r="BM572" s="7"/>
      <c r="BN572" s="7"/>
      <c r="BO572" s="7"/>
      <c r="BP572" s="7"/>
      <c r="BQ572" s="7"/>
      <c r="BR572" s="7"/>
      <c r="BS572" s="7"/>
      <c r="BT572" s="7"/>
      <c r="BU572" s="1" t="s">
        <v>7441</v>
      </c>
      <c r="BV572" s="10" t="s">
        <v>7188</v>
      </c>
      <c r="BW572" s="10" t="s">
        <v>7189</v>
      </c>
    </row>
    <row r="573" spans="1:75" ht="12.75" customHeight="1">
      <c r="A573" s="3" t="s">
        <v>63</v>
      </c>
      <c r="B573" s="3" t="s">
        <v>5084</v>
      </c>
      <c r="C573" s="3"/>
      <c r="D573" s="3"/>
      <c r="E573" s="3"/>
      <c r="F573" s="3" t="s">
        <v>5085</v>
      </c>
      <c r="G573" s="3"/>
      <c r="H573" s="3"/>
      <c r="I573" s="3" t="s">
        <v>5086</v>
      </c>
      <c r="J573" s="3" t="s">
        <v>1558</v>
      </c>
      <c r="K573" s="3"/>
      <c r="L573" s="3"/>
      <c r="M573" s="3"/>
      <c r="N573" s="3"/>
      <c r="O573" s="3"/>
      <c r="P573" s="3"/>
      <c r="Q573" s="3"/>
      <c r="R573" s="3"/>
      <c r="S573" s="3"/>
      <c r="T573" s="3" t="s">
        <v>5087</v>
      </c>
      <c r="U573" s="3"/>
      <c r="V573" s="3"/>
      <c r="W573" s="3"/>
      <c r="X573" s="3"/>
      <c r="Y573" s="3" t="s">
        <v>5088</v>
      </c>
      <c r="Z573" s="3" t="s">
        <v>5089</v>
      </c>
      <c r="AA573" s="3"/>
      <c r="AB573" s="3"/>
      <c r="AC573" s="3"/>
      <c r="AD573" s="3"/>
      <c r="AE573" s="3"/>
      <c r="AF573" s="3"/>
      <c r="AG573" s="3"/>
      <c r="AH573" s="3"/>
      <c r="AI573" s="3"/>
      <c r="AJ573" s="3"/>
      <c r="AK573" s="3"/>
      <c r="AL573" s="3"/>
      <c r="AM573" s="3" t="s">
        <v>1559</v>
      </c>
      <c r="AN573" s="3" t="s">
        <v>1560</v>
      </c>
      <c r="AO573" s="3"/>
      <c r="AP573" s="3"/>
      <c r="AQ573" s="3"/>
      <c r="AR573" s="3" t="s">
        <v>5090</v>
      </c>
      <c r="AS573" s="3">
        <v>2021</v>
      </c>
      <c r="AT573" s="3">
        <v>60</v>
      </c>
      <c r="AU573" s="3">
        <v>5</v>
      </c>
      <c r="AV573" s="3"/>
      <c r="AW573" s="3"/>
      <c r="AX573" s="3" t="s">
        <v>569</v>
      </c>
      <c r="AY573" s="3"/>
      <c r="AZ573" s="3">
        <v>596</v>
      </c>
      <c r="BA573" s="3">
        <v>611</v>
      </c>
      <c r="BB573" s="3"/>
      <c r="BC573" s="3" t="s">
        <v>5091</v>
      </c>
      <c r="BD573" s="15" t="str">
        <f>HYPERLINK("http://dx.doi.org/10.1080/03670244.2021.1956485","http://dx.doi.org/10.1080/03670244.2021.1956485")</f>
        <v>http://dx.doi.org/10.1080/03670244.2021.1956485</v>
      </c>
      <c r="BE573" s="3"/>
      <c r="BF573" s="3"/>
      <c r="BG573" s="3"/>
      <c r="BH573" s="3"/>
      <c r="BI573" s="3">
        <v>34617867</v>
      </c>
      <c r="BJ573" s="3" t="s">
        <v>5092</v>
      </c>
      <c r="BK573" s="3"/>
      <c r="BL573" s="3"/>
      <c r="BM573" s="3"/>
      <c r="BN573" s="3"/>
      <c r="BO573" s="3"/>
      <c r="BP573" s="3"/>
      <c r="BQ573" s="3"/>
      <c r="BR573" s="3"/>
      <c r="BS573" s="3"/>
      <c r="BT573" s="3"/>
      <c r="BU573" s="1" t="s">
        <v>7388</v>
      </c>
      <c r="BV573" s="10" t="s">
        <v>7188</v>
      </c>
      <c r="BW573" s="10" t="s">
        <v>7189</v>
      </c>
    </row>
    <row r="574" spans="1:75" ht="12.75" customHeight="1">
      <c r="A574" s="6" t="s">
        <v>63</v>
      </c>
      <c r="B574" s="6" t="s">
        <v>6717</v>
      </c>
      <c r="C574" s="6"/>
      <c r="D574" s="6"/>
      <c r="E574" s="6"/>
      <c r="F574" s="6" t="s">
        <v>6718</v>
      </c>
      <c r="G574" s="6"/>
      <c r="H574" s="6"/>
      <c r="I574" s="6" t="s">
        <v>6970</v>
      </c>
      <c r="J574" s="6" t="s">
        <v>6720</v>
      </c>
      <c r="K574" s="6"/>
      <c r="L574" s="6"/>
      <c r="M574" s="6"/>
      <c r="N574" s="6"/>
      <c r="O574" s="6"/>
      <c r="P574" s="6"/>
      <c r="Q574" s="6"/>
      <c r="R574" s="6"/>
      <c r="S574" s="6"/>
      <c r="T574" s="6" t="s">
        <v>6971</v>
      </c>
      <c r="U574" s="6"/>
      <c r="V574" s="6"/>
      <c r="W574" s="6"/>
      <c r="X574" s="6"/>
      <c r="Y574" s="6"/>
      <c r="Z574" s="6"/>
      <c r="AA574" s="6"/>
      <c r="AB574" s="6"/>
      <c r="AC574" s="6"/>
      <c r="AD574" s="6"/>
      <c r="AE574" s="6"/>
      <c r="AF574" s="6"/>
      <c r="AG574" s="6"/>
      <c r="AH574" s="6"/>
      <c r="AI574" s="6"/>
      <c r="AJ574" s="6"/>
      <c r="AK574" s="6"/>
      <c r="AL574" s="6"/>
      <c r="AM574" s="6" t="s">
        <v>6722</v>
      </c>
      <c r="AN574" s="6"/>
      <c r="AO574" s="6"/>
      <c r="AP574" s="6"/>
      <c r="AQ574" s="6"/>
      <c r="AR574" s="6" t="s">
        <v>133</v>
      </c>
      <c r="AS574" s="6">
        <v>2024</v>
      </c>
      <c r="AT574" s="6">
        <v>7</v>
      </c>
      <c r="AU574" s="6">
        <v>1</v>
      </c>
      <c r="AV574" s="6"/>
      <c r="AW574" s="6"/>
      <c r="AX574" s="6"/>
      <c r="AY574" s="6"/>
      <c r="AZ574" s="6"/>
      <c r="BA574" s="6"/>
      <c r="BB574" s="6" t="s">
        <v>6972</v>
      </c>
      <c r="BC574" s="6" t="s">
        <v>6973</v>
      </c>
      <c r="BD574" s="9" t="str">
        <f>HYPERLINK("http://dx.doi.org/10.1002/2475-8876.12440","http://dx.doi.org/10.1002/2475-8876.12440")</f>
        <v>http://dx.doi.org/10.1002/2475-8876.12440</v>
      </c>
      <c r="BE574" s="6"/>
      <c r="BF574" s="6"/>
      <c r="BG574" s="6"/>
      <c r="BH574" s="6"/>
      <c r="BI574" s="6"/>
      <c r="BJ574" s="6" t="s">
        <v>6974</v>
      </c>
      <c r="BK574" s="6"/>
      <c r="BL574" s="6"/>
      <c r="BM574" s="6"/>
      <c r="BN574" s="6"/>
      <c r="BO574" s="6"/>
      <c r="BP574" s="6"/>
      <c r="BQ574" s="6"/>
      <c r="BR574" s="6"/>
      <c r="BS574" s="6"/>
      <c r="BT574" s="6"/>
      <c r="BU574" s="8" t="s">
        <v>5313</v>
      </c>
      <c r="BV574" s="8" t="s">
        <v>5215</v>
      </c>
      <c r="BW574" s="8" t="s">
        <v>7245</v>
      </c>
    </row>
    <row r="575" spans="1:75" ht="12.75" customHeight="1">
      <c r="A575" s="3" t="s">
        <v>63</v>
      </c>
      <c r="B575" s="3" t="s">
        <v>5093</v>
      </c>
      <c r="C575" s="3"/>
      <c r="D575" s="3"/>
      <c r="E575" s="3"/>
      <c r="F575" s="3" t="s">
        <v>5094</v>
      </c>
      <c r="G575" s="3"/>
      <c r="H575" s="3"/>
      <c r="I575" s="3" t="s">
        <v>5095</v>
      </c>
      <c r="J575" s="3" t="s">
        <v>5096</v>
      </c>
      <c r="K575" s="3"/>
      <c r="L575" s="3"/>
      <c r="M575" s="3"/>
      <c r="N575" s="3"/>
      <c r="O575" s="3"/>
      <c r="P575" s="3"/>
      <c r="Q575" s="3"/>
      <c r="R575" s="3"/>
      <c r="S575" s="3"/>
      <c r="T575" s="3" t="s">
        <v>5097</v>
      </c>
      <c r="U575" s="3"/>
      <c r="V575" s="3"/>
      <c r="W575" s="3"/>
      <c r="X575" s="3"/>
      <c r="Y575" s="3"/>
      <c r="Z575" s="3" t="s">
        <v>5098</v>
      </c>
      <c r="AA575" s="3"/>
      <c r="AB575" s="3"/>
      <c r="AC575" s="3"/>
      <c r="AD575" s="3"/>
      <c r="AE575" s="3"/>
      <c r="AF575" s="3"/>
      <c r="AG575" s="3"/>
      <c r="AH575" s="3"/>
      <c r="AI575" s="3"/>
      <c r="AJ575" s="3"/>
      <c r="AK575" s="3"/>
      <c r="AL575" s="3"/>
      <c r="AM575" s="3" t="s">
        <v>5099</v>
      </c>
      <c r="AN575" s="3"/>
      <c r="AO575" s="3"/>
      <c r="AP575" s="3"/>
      <c r="AQ575" s="3"/>
      <c r="AR575" s="3" t="s">
        <v>67</v>
      </c>
      <c r="AS575" s="3">
        <v>2021</v>
      </c>
      <c r="AT575" s="3">
        <v>71</v>
      </c>
      <c r="AU575" s="3">
        <v>1</v>
      </c>
      <c r="AV575" s="3" t="s">
        <v>3310</v>
      </c>
      <c r="AW575" s="3"/>
      <c r="AX575" s="3"/>
      <c r="AY575" s="3"/>
      <c r="AZ575" s="3">
        <v>219</v>
      </c>
      <c r="BA575" s="3">
        <v>227</v>
      </c>
      <c r="BB575" s="3"/>
      <c r="BC575" s="3" t="s">
        <v>5100</v>
      </c>
      <c r="BD575" s="15" t="str">
        <f>HYPERLINK("http://dx.doi.org/10.47391/JPMA.219","http://dx.doi.org/10.47391/JPMA.219")</f>
        <v>http://dx.doi.org/10.47391/JPMA.219</v>
      </c>
      <c r="BE575" s="3"/>
      <c r="BF575" s="3"/>
      <c r="BG575" s="3"/>
      <c r="BH575" s="3"/>
      <c r="BI575" s="3">
        <v>35157653</v>
      </c>
      <c r="BJ575" s="3" t="s">
        <v>5101</v>
      </c>
      <c r="BK575" s="3"/>
      <c r="BL575" s="3"/>
      <c r="BM575" s="3"/>
      <c r="BN575" s="3"/>
      <c r="BO575" s="3"/>
      <c r="BP575" s="3"/>
      <c r="BQ575" s="3"/>
      <c r="BR575" s="3"/>
      <c r="BS575" s="3"/>
      <c r="BT575" s="3"/>
      <c r="BU575" s="1" t="s">
        <v>7348</v>
      </c>
      <c r="BV575" s="1" t="s">
        <v>7349</v>
      </c>
      <c r="BW575" s="1" t="s">
        <v>7205</v>
      </c>
    </row>
    <row r="576" spans="1:75" ht="12.75" customHeight="1">
      <c r="A576" s="4" t="s">
        <v>63</v>
      </c>
      <c r="B576" s="4" t="s">
        <v>309</v>
      </c>
      <c r="C576" s="4"/>
      <c r="D576" s="4"/>
      <c r="E576" s="4"/>
      <c r="F576" s="4" t="s">
        <v>310</v>
      </c>
      <c r="G576" s="4"/>
      <c r="H576" s="4"/>
      <c r="I576" s="4" t="s">
        <v>311</v>
      </c>
      <c r="J576" s="4" t="s">
        <v>312</v>
      </c>
      <c r="K576" s="4"/>
      <c r="L576" s="4"/>
      <c r="M576" s="4"/>
      <c r="N576" s="4"/>
      <c r="O576" s="4"/>
      <c r="P576" s="4"/>
      <c r="Q576" s="4"/>
      <c r="R576" s="4"/>
      <c r="S576" s="4"/>
      <c r="T576" s="4" t="s">
        <v>313</v>
      </c>
      <c r="U576" s="4"/>
      <c r="V576" s="4"/>
      <c r="W576" s="4"/>
      <c r="X576" s="4"/>
      <c r="Y576" s="4" t="s">
        <v>314</v>
      </c>
      <c r="Z576" s="4" t="s">
        <v>315</v>
      </c>
      <c r="AA576" s="4"/>
      <c r="AB576" s="4"/>
      <c r="AC576" s="4"/>
      <c r="AD576" s="4"/>
      <c r="AE576" s="4"/>
      <c r="AF576" s="4"/>
      <c r="AG576" s="4"/>
      <c r="AH576" s="4"/>
      <c r="AI576" s="4"/>
      <c r="AJ576" s="4"/>
      <c r="AK576" s="4"/>
      <c r="AL576" s="4"/>
      <c r="AM576" s="4" t="s">
        <v>316</v>
      </c>
      <c r="AN576" s="4" t="s">
        <v>317</v>
      </c>
      <c r="AO576" s="4"/>
      <c r="AP576" s="4"/>
      <c r="AQ576" s="4"/>
      <c r="AR576" s="4" t="s">
        <v>173</v>
      </c>
      <c r="AS576" s="4">
        <v>2008</v>
      </c>
      <c r="AT576" s="4">
        <v>15</v>
      </c>
      <c r="AU576" s="4">
        <v>4</v>
      </c>
      <c r="AV576" s="4"/>
      <c r="AW576" s="4"/>
      <c r="AX576" s="4"/>
      <c r="AY576" s="4"/>
      <c r="AZ576" s="4">
        <v>288</v>
      </c>
      <c r="BA576" s="4">
        <v>295</v>
      </c>
      <c r="BB576" s="4"/>
      <c r="BC576" s="4" t="s">
        <v>318</v>
      </c>
      <c r="BD576" s="5" t="str">
        <f>HYPERLINK("http://dx.doi.org/10.1016/j.jretconser.2007.06.002","http://dx.doi.org/10.1016/j.jretconser.2007.06.002")</f>
        <v>http://dx.doi.org/10.1016/j.jretconser.2007.06.002</v>
      </c>
      <c r="BE576" s="4"/>
      <c r="BF576" s="4"/>
      <c r="BG576" s="4"/>
      <c r="BH576" s="4"/>
      <c r="BI576" s="4"/>
      <c r="BJ576" s="4" t="s">
        <v>319</v>
      </c>
      <c r="BK576" s="4"/>
      <c r="BL576" s="4"/>
      <c r="BM576" s="4"/>
      <c r="BN576" s="4"/>
      <c r="BO576" s="4"/>
      <c r="BP576" s="4"/>
      <c r="BQ576" s="4"/>
      <c r="BR576" s="4"/>
      <c r="BS576" s="4"/>
      <c r="BT576" s="4"/>
      <c r="BU576" s="12" t="s">
        <v>7439</v>
      </c>
      <c r="BV576" s="12" t="s">
        <v>7214</v>
      </c>
      <c r="BW576" s="12" t="s">
        <v>7205</v>
      </c>
    </row>
    <row r="577" spans="1:75" ht="12.75" customHeight="1">
      <c r="A577" s="3" t="s">
        <v>63</v>
      </c>
      <c r="B577" s="3" t="s">
        <v>4405</v>
      </c>
      <c r="C577" s="3"/>
      <c r="D577" s="3"/>
      <c r="E577" s="3"/>
      <c r="F577" s="3" t="s">
        <v>4406</v>
      </c>
      <c r="G577" s="3"/>
      <c r="H577" s="3"/>
      <c r="I577" s="3" t="s">
        <v>4407</v>
      </c>
      <c r="J577" s="3" t="s">
        <v>502</v>
      </c>
      <c r="K577" s="3"/>
      <c r="L577" s="3"/>
      <c r="M577" s="3"/>
      <c r="N577" s="3"/>
      <c r="O577" s="3"/>
      <c r="P577" s="3"/>
      <c r="Q577" s="3"/>
      <c r="R577" s="3"/>
      <c r="S577" s="3"/>
      <c r="T577" s="3" t="s">
        <v>4408</v>
      </c>
      <c r="U577" s="3"/>
      <c r="V577" s="3"/>
      <c r="W577" s="3"/>
      <c r="X577" s="3"/>
      <c r="Y577" s="3"/>
      <c r="Z577" s="3" t="s">
        <v>4409</v>
      </c>
      <c r="AA577" s="3"/>
      <c r="AB577" s="3"/>
      <c r="AC577" s="3"/>
      <c r="AD577" s="3"/>
      <c r="AE577" s="3"/>
      <c r="AF577" s="3"/>
      <c r="AG577" s="3"/>
      <c r="AH577" s="3"/>
      <c r="AI577" s="3"/>
      <c r="AJ577" s="3"/>
      <c r="AK577" s="3"/>
      <c r="AL577" s="3"/>
      <c r="AM577" s="3" t="s">
        <v>506</v>
      </c>
      <c r="AN577" s="3" t="s">
        <v>507</v>
      </c>
      <c r="AO577" s="3"/>
      <c r="AP577" s="3"/>
      <c r="AQ577" s="3"/>
      <c r="AR577" s="3" t="s">
        <v>65</v>
      </c>
      <c r="AS577" s="3">
        <v>2020</v>
      </c>
      <c r="AT577" s="3">
        <v>97</v>
      </c>
      <c r="AU577" s="3">
        <v>6</v>
      </c>
      <c r="AV577" s="3"/>
      <c r="AW577" s="3"/>
      <c r="AX577" s="3"/>
      <c r="AY577" s="3"/>
      <c r="AZ577" s="3">
        <v>759</v>
      </c>
      <c r="BA577" s="3">
        <v>775</v>
      </c>
      <c r="BB577" s="3"/>
      <c r="BC577" s="3" t="s">
        <v>4410</v>
      </c>
      <c r="BD577" s="15" t="str">
        <f>HYPERLINK("http://dx.doi.org/10.1007/s11524-020-00476-0","http://dx.doi.org/10.1007/s11524-020-00476-0")</f>
        <v>http://dx.doi.org/10.1007/s11524-020-00476-0</v>
      </c>
      <c r="BE577" s="3"/>
      <c r="BF577" s="3" t="s">
        <v>4372</v>
      </c>
      <c r="BG577" s="3"/>
      <c r="BH577" s="3"/>
      <c r="BI577" s="3">
        <v>32959216</v>
      </c>
      <c r="BJ577" s="3" t="s">
        <v>4411</v>
      </c>
      <c r="BK577" s="3"/>
      <c r="BL577" s="3"/>
      <c r="BM577" s="3"/>
      <c r="BN577" s="3"/>
      <c r="BO577" s="3"/>
      <c r="BP577" s="3"/>
      <c r="BQ577" s="3"/>
      <c r="BR577" s="3"/>
      <c r="BS577" s="3"/>
      <c r="BT577" s="3"/>
      <c r="BU577" s="1" t="s">
        <v>7442</v>
      </c>
      <c r="BV577" s="10" t="s">
        <v>7188</v>
      </c>
      <c r="BW577" s="10" t="s">
        <v>7189</v>
      </c>
    </row>
    <row r="578" spans="1:75" ht="12.75" customHeight="1">
      <c r="A578" s="4" t="s">
        <v>63</v>
      </c>
      <c r="B578" s="4" t="s">
        <v>4412</v>
      </c>
      <c r="C578" s="4"/>
      <c r="D578" s="4"/>
      <c r="E578" s="4"/>
      <c r="F578" s="4" t="s">
        <v>4413</v>
      </c>
      <c r="G578" s="4"/>
      <c r="H578" s="4"/>
      <c r="I578" s="4" t="s">
        <v>4414</v>
      </c>
      <c r="J578" s="4" t="s">
        <v>4415</v>
      </c>
      <c r="K578" s="4"/>
      <c r="L578" s="4"/>
      <c r="M578" s="4"/>
      <c r="N578" s="4"/>
      <c r="O578" s="4"/>
      <c r="P578" s="4"/>
      <c r="Q578" s="4"/>
      <c r="R578" s="4"/>
      <c r="S578" s="4"/>
      <c r="T578" s="4" t="s">
        <v>4416</v>
      </c>
      <c r="U578" s="4"/>
      <c r="V578" s="4"/>
      <c r="W578" s="4"/>
      <c r="X578" s="4"/>
      <c r="Y578" s="4" t="s">
        <v>4417</v>
      </c>
      <c r="Z578" s="4" t="s">
        <v>4418</v>
      </c>
      <c r="AA578" s="4"/>
      <c r="AB578" s="4"/>
      <c r="AC578" s="4"/>
      <c r="AD578" s="4"/>
      <c r="AE578" s="4"/>
      <c r="AF578" s="4"/>
      <c r="AG578" s="4"/>
      <c r="AH578" s="4"/>
      <c r="AI578" s="4"/>
      <c r="AJ578" s="4"/>
      <c r="AK578" s="4"/>
      <c r="AL578" s="4"/>
      <c r="AM578" s="4"/>
      <c r="AN578" s="4" t="s">
        <v>4419</v>
      </c>
      <c r="AO578" s="4"/>
      <c r="AP578" s="4"/>
      <c r="AQ578" s="4"/>
      <c r="AR578" s="4" t="s">
        <v>65</v>
      </c>
      <c r="AS578" s="4">
        <v>2020</v>
      </c>
      <c r="AT578" s="4">
        <v>9</v>
      </c>
      <c r="AU578" s="4">
        <v>4</v>
      </c>
      <c r="AV578" s="4"/>
      <c r="AW578" s="4"/>
      <c r="AX578" s="4"/>
      <c r="AY578" s="4"/>
      <c r="AZ578" s="4">
        <v>356</v>
      </c>
      <c r="BA578" s="4">
        <v>360</v>
      </c>
      <c r="BB578" s="4"/>
      <c r="BC578" s="4" t="s">
        <v>4420</v>
      </c>
      <c r="BD578" s="5" t="str">
        <f>HYPERLINK("http://dx.doi.org/10.1007/s13668-020-00342-0","http://dx.doi.org/10.1007/s13668-020-00342-0")</f>
        <v>http://dx.doi.org/10.1007/s13668-020-00342-0</v>
      </c>
      <c r="BE578" s="4"/>
      <c r="BF578" s="4"/>
      <c r="BG578" s="4"/>
      <c r="BH578" s="4"/>
      <c r="BI578" s="4">
        <v>33170435</v>
      </c>
      <c r="BJ578" s="4" t="s">
        <v>4421</v>
      </c>
      <c r="BK578" s="4"/>
      <c r="BL578" s="4"/>
      <c r="BM578" s="4"/>
      <c r="BN578" s="4"/>
      <c r="BO578" s="4"/>
      <c r="BP578" s="4"/>
      <c r="BQ578" s="4"/>
      <c r="BR578" s="4"/>
      <c r="BS578" s="4"/>
      <c r="BT578" s="4"/>
      <c r="BU578" s="12" t="s">
        <v>7201</v>
      </c>
      <c r="BV578" s="12" t="s">
        <v>7188</v>
      </c>
      <c r="BW578" s="12" t="s">
        <v>7189</v>
      </c>
    </row>
    <row r="579" spans="1:75" ht="12.75" customHeight="1">
      <c r="A579" s="4" t="s">
        <v>63</v>
      </c>
      <c r="B579" s="4" t="s">
        <v>874</v>
      </c>
      <c r="C579" s="4"/>
      <c r="D579" s="4"/>
      <c r="E579" s="4"/>
      <c r="F579" s="4" t="s">
        <v>875</v>
      </c>
      <c r="G579" s="4"/>
      <c r="H579" s="4"/>
      <c r="I579" s="4" t="s">
        <v>876</v>
      </c>
      <c r="J579" s="4" t="s">
        <v>423</v>
      </c>
      <c r="K579" s="4"/>
      <c r="L579" s="4"/>
      <c r="M579" s="4"/>
      <c r="N579" s="4"/>
      <c r="O579" s="4"/>
      <c r="P579" s="4"/>
      <c r="Q579" s="4"/>
      <c r="R579" s="4"/>
      <c r="S579" s="4"/>
      <c r="T579" s="4" t="s">
        <v>877</v>
      </c>
      <c r="U579" s="4"/>
      <c r="V579" s="4"/>
      <c r="W579" s="4"/>
      <c r="X579" s="4"/>
      <c r="Y579" s="4"/>
      <c r="Z579" s="4"/>
      <c r="AA579" s="4"/>
      <c r="AB579" s="4"/>
      <c r="AC579" s="4"/>
      <c r="AD579" s="4"/>
      <c r="AE579" s="4"/>
      <c r="AF579" s="4"/>
      <c r="AG579" s="4"/>
      <c r="AH579" s="4"/>
      <c r="AI579" s="4"/>
      <c r="AJ579" s="4"/>
      <c r="AK579" s="4"/>
      <c r="AL579" s="4"/>
      <c r="AM579" s="4" t="s">
        <v>427</v>
      </c>
      <c r="AN579" s="4" t="s">
        <v>428</v>
      </c>
      <c r="AO579" s="4"/>
      <c r="AP579" s="4"/>
      <c r="AQ579" s="4"/>
      <c r="AR579" s="4"/>
      <c r="AS579" s="4">
        <v>2012</v>
      </c>
      <c r="AT579" s="4">
        <v>7</v>
      </c>
      <c r="AU579" s="4">
        <v>4</v>
      </c>
      <c r="AV579" s="4"/>
      <c r="AW579" s="4"/>
      <c r="AX579" s="4"/>
      <c r="AY579" s="4"/>
      <c r="AZ579" s="4">
        <v>459</v>
      </c>
      <c r="BA579" s="4">
        <v>467</v>
      </c>
      <c r="BB579" s="4"/>
      <c r="BC579" s="4" t="s">
        <v>878</v>
      </c>
      <c r="BD579" s="5" t="str">
        <f>HYPERLINK("http://dx.doi.org/10.1080/19320248.2012.735220","http://dx.doi.org/10.1080/19320248.2012.735220")</f>
        <v>http://dx.doi.org/10.1080/19320248.2012.735220</v>
      </c>
      <c r="BE579" s="4"/>
      <c r="BF579" s="4"/>
      <c r="BG579" s="4"/>
      <c r="BH579" s="4"/>
      <c r="BI579" s="4"/>
      <c r="BJ579" s="4" t="s">
        <v>879</v>
      </c>
      <c r="BK579" s="4"/>
      <c r="BL579" s="4"/>
      <c r="BM579" s="4"/>
      <c r="BN579" s="4"/>
      <c r="BO579" s="4"/>
      <c r="BP579" s="4"/>
      <c r="BQ579" s="4"/>
      <c r="BR579" s="4"/>
      <c r="BS579" s="4"/>
      <c r="BT579" s="4"/>
      <c r="BU579" s="12" t="s">
        <v>7354</v>
      </c>
      <c r="BV579" s="12" t="s">
        <v>7188</v>
      </c>
      <c r="BW579" s="12" t="s">
        <v>7189</v>
      </c>
    </row>
    <row r="580" spans="1:75" ht="12.75" customHeight="1">
      <c r="A580" s="4" t="s">
        <v>63</v>
      </c>
      <c r="B580" s="4" t="s">
        <v>5102</v>
      </c>
      <c r="C580" s="4"/>
      <c r="D580" s="4"/>
      <c r="E580" s="4"/>
      <c r="F580" s="4" t="s">
        <v>5103</v>
      </c>
      <c r="G580" s="4"/>
      <c r="H580" s="4"/>
      <c r="I580" s="4" t="s">
        <v>5104</v>
      </c>
      <c r="J580" s="4" t="s">
        <v>5105</v>
      </c>
      <c r="K580" s="4"/>
      <c r="L580" s="4"/>
      <c r="M580" s="4"/>
      <c r="N580" s="4"/>
      <c r="O580" s="4"/>
      <c r="P580" s="4"/>
      <c r="Q580" s="4"/>
      <c r="R580" s="4"/>
      <c r="S580" s="4"/>
      <c r="T580" s="4" t="s">
        <v>5106</v>
      </c>
      <c r="U580" s="4"/>
      <c r="V580" s="4"/>
      <c r="W580" s="4"/>
      <c r="X580" s="4"/>
      <c r="Y580" s="4"/>
      <c r="Z580" s="4"/>
      <c r="AA580" s="4"/>
      <c r="AB580" s="4"/>
      <c r="AC580" s="4"/>
      <c r="AD580" s="4"/>
      <c r="AE580" s="4"/>
      <c r="AF580" s="4"/>
      <c r="AG580" s="4"/>
      <c r="AH580" s="4"/>
      <c r="AI580" s="4"/>
      <c r="AJ580" s="4"/>
      <c r="AK580" s="4"/>
      <c r="AL580" s="4"/>
      <c r="AM580" s="4" t="s">
        <v>5107</v>
      </c>
      <c r="AN580" s="4" t="s">
        <v>5108</v>
      </c>
      <c r="AO580" s="4"/>
      <c r="AP580" s="4"/>
      <c r="AQ580" s="4"/>
      <c r="AR580" s="4" t="s">
        <v>65</v>
      </c>
      <c r="AS580" s="4">
        <v>2021</v>
      </c>
      <c r="AT580" s="4">
        <v>8</v>
      </c>
      <c r="AU580" s="4">
        <v>6</v>
      </c>
      <c r="AV580" s="4"/>
      <c r="AW580" s="4"/>
      <c r="AX580" s="4"/>
      <c r="AY580" s="4"/>
      <c r="AZ580" s="4">
        <v>1424</v>
      </c>
      <c r="BA580" s="4">
        <v>1434</v>
      </c>
      <c r="BB580" s="4"/>
      <c r="BC580" s="4" t="s">
        <v>5109</v>
      </c>
      <c r="BD580" s="5" t="str">
        <f>HYPERLINK("http://dx.doi.org/10.1007/s40615-020-00904-6","http://dx.doi.org/10.1007/s40615-020-00904-6")</f>
        <v>http://dx.doi.org/10.1007/s40615-020-00904-6</v>
      </c>
      <c r="BE580" s="4"/>
      <c r="BF580" s="4" t="s">
        <v>4889</v>
      </c>
      <c r="BG580" s="4"/>
      <c r="BH580" s="4"/>
      <c r="BI580" s="4">
        <v>33111234</v>
      </c>
      <c r="BJ580" s="4" t="s">
        <v>5110</v>
      </c>
      <c r="BK580" s="4"/>
      <c r="BL580" s="4"/>
      <c r="BM580" s="4"/>
      <c r="BN580" s="4"/>
      <c r="BO580" s="4"/>
      <c r="BP580" s="4"/>
      <c r="BQ580" s="4"/>
      <c r="BR580" s="4"/>
      <c r="BS580" s="4"/>
      <c r="BT580" s="4"/>
      <c r="BU580" s="12" t="s">
        <v>7187</v>
      </c>
      <c r="BV580" s="12" t="s">
        <v>7188</v>
      </c>
      <c r="BW580" s="12" t="s">
        <v>7189</v>
      </c>
    </row>
    <row r="581" spans="1:75" ht="12.75" customHeight="1">
      <c r="A581" s="4" t="s">
        <v>63</v>
      </c>
      <c r="B581" s="4" t="s">
        <v>1986</v>
      </c>
      <c r="C581" s="4"/>
      <c r="D581" s="4"/>
      <c r="E581" s="4"/>
      <c r="F581" s="4" t="s">
        <v>1987</v>
      </c>
      <c r="G581" s="4"/>
      <c r="H581" s="4"/>
      <c r="I581" s="4" t="s">
        <v>1988</v>
      </c>
      <c r="J581" s="4" t="s">
        <v>1558</v>
      </c>
      <c r="K581" s="4"/>
      <c r="L581" s="4"/>
      <c r="M581" s="4"/>
      <c r="N581" s="4"/>
      <c r="O581" s="4"/>
      <c r="P581" s="4"/>
      <c r="Q581" s="4"/>
      <c r="R581" s="4"/>
      <c r="S581" s="4"/>
      <c r="T581" s="4" t="s">
        <v>1989</v>
      </c>
      <c r="U581" s="4"/>
      <c r="V581" s="4"/>
      <c r="W581" s="4"/>
      <c r="X581" s="4"/>
      <c r="Y581" s="4"/>
      <c r="Z581" s="4" t="s">
        <v>1990</v>
      </c>
      <c r="AA581" s="4"/>
      <c r="AB581" s="4"/>
      <c r="AC581" s="4"/>
      <c r="AD581" s="4"/>
      <c r="AE581" s="4"/>
      <c r="AF581" s="4"/>
      <c r="AG581" s="4"/>
      <c r="AH581" s="4"/>
      <c r="AI581" s="4"/>
      <c r="AJ581" s="4"/>
      <c r="AK581" s="4"/>
      <c r="AL581" s="4"/>
      <c r="AM581" s="4" t="s">
        <v>1559</v>
      </c>
      <c r="AN581" s="4" t="s">
        <v>1560</v>
      </c>
      <c r="AO581" s="4"/>
      <c r="AP581" s="4"/>
      <c r="AQ581" s="4"/>
      <c r="AR581" s="4" t="s">
        <v>1991</v>
      </c>
      <c r="AS581" s="4">
        <v>2015</v>
      </c>
      <c r="AT581" s="4">
        <v>54</v>
      </c>
      <c r="AU581" s="4">
        <v>6</v>
      </c>
      <c r="AV581" s="4"/>
      <c r="AW581" s="4"/>
      <c r="AX581" s="4"/>
      <c r="AY581" s="4"/>
      <c r="AZ581" s="4">
        <v>583</v>
      </c>
      <c r="BA581" s="4">
        <v>602</v>
      </c>
      <c r="BB581" s="4"/>
      <c r="BC581" s="4" t="s">
        <v>1992</v>
      </c>
      <c r="BD581" s="5" t="str">
        <f>HYPERLINK("http://dx.doi.org/10.1080/03670244.2014.947402","http://dx.doi.org/10.1080/03670244.2014.947402")</f>
        <v>http://dx.doi.org/10.1080/03670244.2014.947402</v>
      </c>
      <c r="BE581" s="4"/>
      <c r="BF581" s="4"/>
      <c r="BG581" s="4"/>
      <c r="BH581" s="4"/>
      <c r="BI581" s="4">
        <v>25402721</v>
      </c>
      <c r="BJ581" s="4" t="s">
        <v>1993</v>
      </c>
      <c r="BK581" s="4"/>
      <c r="BL581" s="4"/>
      <c r="BM581" s="4"/>
      <c r="BN581" s="4"/>
      <c r="BO581" s="4"/>
      <c r="BP581" s="4"/>
      <c r="BQ581" s="4"/>
      <c r="BR581" s="4"/>
      <c r="BS581" s="4"/>
      <c r="BT581" s="4"/>
      <c r="BU581" s="12" t="s">
        <v>7193</v>
      </c>
      <c r="BV581" s="12" t="s">
        <v>7188</v>
      </c>
      <c r="BW581" s="12" t="s">
        <v>7189</v>
      </c>
    </row>
    <row r="582" spans="1:75" ht="12.75" customHeight="1">
      <c r="A582" s="4" t="s">
        <v>63</v>
      </c>
      <c r="B582" s="4" t="s">
        <v>4422</v>
      </c>
      <c r="C582" s="4"/>
      <c r="D582" s="4"/>
      <c r="E582" s="4"/>
      <c r="F582" s="4" t="s">
        <v>4423</v>
      </c>
      <c r="G582" s="4"/>
      <c r="H582" s="4"/>
      <c r="I582" s="4" t="s">
        <v>4424</v>
      </c>
      <c r="J582" s="4" t="s">
        <v>3721</v>
      </c>
      <c r="K582" s="4"/>
      <c r="L582" s="4"/>
      <c r="M582" s="4"/>
      <c r="N582" s="4"/>
      <c r="O582" s="4"/>
      <c r="P582" s="4"/>
      <c r="Q582" s="4"/>
      <c r="R582" s="4"/>
      <c r="S582" s="4"/>
      <c r="T582" s="4" t="s">
        <v>4425</v>
      </c>
      <c r="U582" s="4"/>
      <c r="V582" s="4"/>
      <c r="W582" s="4"/>
      <c r="X582" s="4"/>
      <c r="Y582" s="4" t="s">
        <v>4426</v>
      </c>
      <c r="Z582" s="4" t="s">
        <v>4427</v>
      </c>
      <c r="AA582" s="4"/>
      <c r="AB582" s="4"/>
      <c r="AC582" s="4"/>
      <c r="AD582" s="4"/>
      <c r="AE582" s="4"/>
      <c r="AF582" s="4"/>
      <c r="AG582" s="4"/>
      <c r="AH582" s="4"/>
      <c r="AI582" s="4"/>
      <c r="AJ582" s="4"/>
      <c r="AK582" s="4"/>
      <c r="AL582" s="4"/>
      <c r="AM582" s="4"/>
      <c r="AN582" s="4" t="s">
        <v>3723</v>
      </c>
      <c r="AO582" s="4"/>
      <c r="AP582" s="4"/>
      <c r="AQ582" s="4"/>
      <c r="AR582" s="4" t="s">
        <v>133</v>
      </c>
      <c r="AS582" s="4">
        <v>2020</v>
      </c>
      <c r="AT582" s="4">
        <v>12</v>
      </c>
      <c r="AU582" s="4">
        <v>1</v>
      </c>
      <c r="AV582" s="4"/>
      <c r="AW582" s="4"/>
      <c r="AX582" s="4"/>
      <c r="AY582" s="4"/>
      <c r="AZ582" s="4"/>
      <c r="BA582" s="4"/>
      <c r="BB582" s="4">
        <v>25</v>
      </c>
      <c r="BC582" s="4" t="s">
        <v>4428</v>
      </c>
      <c r="BD582" s="5" t="str">
        <f>HYPERLINK("http://dx.doi.org/10.3390/nu12010025","http://dx.doi.org/10.3390/nu12010025")</f>
        <v>http://dx.doi.org/10.3390/nu12010025</v>
      </c>
      <c r="BE582" s="4"/>
      <c r="BF582" s="4"/>
      <c r="BG582" s="4"/>
      <c r="BH582" s="4"/>
      <c r="BI582" s="4">
        <v>31877635</v>
      </c>
      <c r="BJ582" s="4" t="s">
        <v>4429</v>
      </c>
      <c r="BK582" s="4"/>
      <c r="BL582" s="4"/>
      <c r="BM582" s="4"/>
      <c r="BN582" s="4"/>
      <c r="BO582" s="4"/>
      <c r="BP582" s="4"/>
      <c r="BQ582" s="4"/>
      <c r="BR582" s="4"/>
      <c r="BS582" s="4"/>
      <c r="BT582" s="4"/>
      <c r="BU582" s="12" t="s">
        <v>7401</v>
      </c>
      <c r="BV582" s="12" t="s">
        <v>7188</v>
      </c>
      <c r="BW582" s="12" t="s">
        <v>7189</v>
      </c>
    </row>
    <row r="583" spans="1:75" ht="12.75" customHeight="1">
      <c r="A583" s="4" t="s">
        <v>63</v>
      </c>
      <c r="B583" s="4" t="s">
        <v>4430</v>
      </c>
      <c r="C583" s="4"/>
      <c r="D583" s="4"/>
      <c r="E583" s="4"/>
      <c r="F583" s="4" t="s">
        <v>4431</v>
      </c>
      <c r="G583" s="4"/>
      <c r="H583" s="4"/>
      <c r="I583" s="4" t="s">
        <v>4432</v>
      </c>
      <c r="J583" s="4" t="s">
        <v>4433</v>
      </c>
      <c r="K583" s="4"/>
      <c r="L583" s="4"/>
      <c r="M583" s="4"/>
      <c r="N583" s="4"/>
      <c r="O583" s="4"/>
      <c r="P583" s="4"/>
      <c r="Q583" s="4"/>
      <c r="R583" s="4"/>
      <c r="S583" s="4"/>
      <c r="T583" s="4" t="s">
        <v>4434</v>
      </c>
      <c r="U583" s="4"/>
      <c r="V583" s="4"/>
      <c r="W583" s="4"/>
      <c r="X583" s="4"/>
      <c r="Y583" s="4" t="s">
        <v>4435</v>
      </c>
      <c r="Z583" s="4" t="s">
        <v>4436</v>
      </c>
      <c r="AA583" s="4"/>
      <c r="AB583" s="4"/>
      <c r="AC583" s="4"/>
      <c r="AD583" s="4"/>
      <c r="AE583" s="4"/>
      <c r="AF583" s="4"/>
      <c r="AG583" s="4"/>
      <c r="AH583" s="4"/>
      <c r="AI583" s="4"/>
      <c r="AJ583" s="4"/>
      <c r="AK583" s="4"/>
      <c r="AL583" s="4"/>
      <c r="AM583" s="4" t="s">
        <v>4437</v>
      </c>
      <c r="AN583" s="4" t="s">
        <v>4438</v>
      </c>
      <c r="AO583" s="4"/>
      <c r="AP583" s="4"/>
      <c r="AQ583" s="4"/>
      <c r="AR583" s="4" t="s">
        <v>4439</v>
      </c>
      <c r="AS583" s="4">
        <v>2020</v>
      </c>
      <c r="AT583" s="4">
        <v>29</v>
      </c>
      <c r="AU583" s="4">
        <v>7</v>
      </c>
      <c r="AV583" s="4"/>
      <c r="AW583" s="4"/>
      <c r="AX583" s="4"/>
      <c r="AY583" s="4"/>
      <c r="AZ583" s="4">
        <v>629</v>
      </c>
      <c r="BA583" s="4">
        <v>640</v>
      </c>
      <c r="BB583" s="4"/>
      <c r="BC583" s="4" t="s">
        <v>4440</v>
      </c>
      <c r="BD583" s="5" t="str">
        <f>HYPERLINK("http://dx.doi.org/10.1080/10498850.2020.1785602","http://dx.doi.org/10.1080/10498850.2020.1785602")</f>
        <v>http://dx.doi.org/10.1080/10498850.2020.1785602</v>
      </c>
      <c r="BE583" s="4"/>
      <c r="BF583" s="4" t="s">
        <v>4441</v>
      </c>
      <c r="BG583" s="4"/>
      <c r="BH583" s="4"/>
      <c r="BI583" s="4"/>
      <c r="BJ583" s="4" t="s">
        <v>4442</v>
      </c>
      <c r="BK583" s="4"/>
      <c r="BL583" s="4"/>
      <c r="BM583" s="4"/>
      <c r="BN583" s="4"/>
      <c r="BO583" s="4"/>
      <c r="BP583" s="4"/>
      <c r="BQ583" s="4"/>
      <c r="BR583" s="4"/>
      <c r="BS583" s="4"/>
      <c r="BT583" s="4"/>
      <c r="BU583" s="12" t="s">
        <v>7201</v>
      </c>
      <c r="BV583" s="12" t="s">
        <v>7188</v>
      </c>
      <c r="BW583" s="12" t="s">
        <v>7189</v>
      </c>
    </row>
    <row r="584" spans="1:75" ht="12.75" customHeight="1">
      <c r="A584" s="6" t="s">
        <v>63</v>
      </c>
      <c r="B584" s="6" t="s">
        <v>3077</v>
      </c>
      <c r="C584" s="6"/>
      <c r="D584" s="6"/>
      <c r="E584" s="6"/>
      <c r="F584" s="6" t="s">
        <v>3078</v>
      </c>
      <c r="G584" s="6"/>
      <c r="H584" s="6"/>
      <c r="I584" s="6" t="s">
        <v>3079</v>
      </c>
      <c r="J584" s="6" t="s">
        <v>3080</v>
      </c>
      <c r="K584" s="6"/>
      <c r="L584" s="6"/>
      <c r="M584" s="6"/>
      <c r="N584" s="6"/>
      <c r="O584" s="6"/>
      <c r="P584" s="6"/>
      <c r="Q584" s="6"/>
      <c r="R584" s="6"/>
      <c r="S584" s="6"/>
      <c r="T584" s="6" t="s">
        <v>3081</v>
      </c>
      <c r="U584" s="6"/>
      <c r="V584" s="6"/>
      <c r="W584" s="6"/>
      <c r="X584" s="6"/>
      <c r="Y584" s="6"/>
      <c r="Z584" s="6" t="s">
        <v>3082</v>
      </c>
      <c r="AA584" s="6"/>
      <c r="AB584" s="6"/>
      <c r="AC584" s="6"/>
      <c r="AD584" s="6"/>
      <c r="AE584" s="6"/>
      <c r="AF584" s="6"/>
      <c r="AG584" s="6"/>
      <c r="AH584" s="6"/>
      <c r="AI584" s="6"/>
      <c r="AJ584" s="6"/>
      <c r="AK584" s="6"/>
      <c r="AL584" s="6"/>
      <c r="AM584" s="6" t="s">
        <v>3083</v>
      </c>
      <c r="AN584" s="6" t="s">
        <v>3084</v>
      </c>
      <c r="AO584" s="6"/>
      <c r="AP584" s="6"/>
      <c r="AQ584" s="6"/>
      <c r="AR584" s="6" t="s">
        <v>67</v>
      </c>
      <c r="AS584" s="6">
        <v>2017</v>
      </c>
      <c r="AT584" s="6">
        <v>65</v>
      </c>
      <c r="AU584" s="6">
        <v>2</v>
      </c>
      <c r="AV584" s="6"/>
      <c r="AW584" s="6"/>
      <c r="AX584" s="6"/>
      <c r="AY584" s="6"/>
      <c r="AZ584" s="6">
        <v>92</v>
      </c>
      <c r="BA584" s="6">
        <v>92</v>
      </c>
      <c r="BB584" s="6"/>
      <c r="BC584" s="6" t="s">
        <v>3085</v>
      </c>
      <c r="BD584" s="9" t="str">
        <f>HYPERLINK("http://dx.doi.org/10.1177/2165079917690174","http://dx.doi.org/10.1177/2165079917690174")</f>
        <v>http://dx.doi.org/10.1177/2165079917690174</v>
      </c>
      <c r="BE584" s="6"/>
      <c r="BF584" s="6"/>
      <c r="BG584" s="6"/>
      <c r="BH584" s="6"/>
      <c r="BI584" s="6">
        <v>28195830</v>
      </c>
      <c r="BJ584" s="6" t="s">
        <v>3086</v>
      </c>
      <c r="BK584" s="6"/>
      <c r="BL584" s="6"/>
      <c r="BM584" s="6"/>
      <c r="BN584" s="6"/>
      <c r="BO584" s="6"/>
      <c r="BP584" s="6"/>
      <c r="BQ584" s="6"/>
      <c r="BR584" s="6"/>
      <c r="BS584" s="6"/>
      <c r="BT584" s="6"/>
      <c r="BU584" s="8" t="s">
        <v>7354</v>
      </c>
      <c r="BV584" s="8" t="s">
        <v>7188</v>
      </c>
      <c r="BW584" s="8" t="s">
        <v>7189</v>
      </c>
    </row>
    <row r="585" spans="1:75" ht="12.75" customHeight="1">
      <c r="A585" s="3" t="s">
        <v>63</v>
      </c>
      <c r="B585" s="3" t="s">
        <v>5111</v>
      </c>
      <c r="C585" s="3"/>
      <c r="D585" s="3"/>
      <c r="E585" s="3"/>
      <c r="F585" s="3" t="s">
        <v>5112</v>
      </c>
      <c r="G585" s="3"/>
      <c r="H585" s="3"/>
      <c r="I585" s="3" t="s">
        <v>5113</v>
      </c>
      <c r="J585" s="3" t="s">
        <v>3965</v>
      </c>
      <c r="K585" s="3"/>
      <c r="L585" s="3"/>
      <c r="M585" s="3"/>
      <c r="N585" s="3"/>
      <c r="O585" s="3"/>
      <c r="P585" s="3"/>
      <c r="Q585" s="3"/>
      <c r="R585" s="3"/>
      <c r="S585" s="3"/>
      <c r="T585" s="3" t="s">
        <v>5114</v>
      </c>
      <c r="U585" s="3"/>
      <c r="V585" s="3"/>
      <c r="W585" s="3"/>
      <c r="X585" s="3"/>
      <c r="Y585" s="3" t="s">
        <v>5115</v>
      </c>
      <c r="Z585" s="3"/>
      <c r="AA585" s="3"/>
      <c r="AB585" s="3"/>
      <c r="AC585" s="3"/>
      <c r="AD585" s="3"/>
      <c r="AE585" s="3"/>
      <c r="AF585" s="3"/>
      <c r="AG585" s="3"/>
      <c r="AH585" s="3"/>
      <c r="AI585" s="3"/>
      <c r="AJ585" s="3"/>
      <c r="AK585" s="3"/>
      <c r="AL585" s="3"/>
      <c r="AM585" s="3" t="s">
        <v>3968</v>
      </c>
      <c r="AN585" s="3" t="s">
        <v>3969</v>
      </c>
      <c r="AO585" s="3"/>
      <c r="AP585" s="3"/>
      <c r="AQ585" s="3"/>
      <c r="AR585" s="3" t="s">
        <v>445</v>
      </c>
      <c r="AS585" s="3">
        <v>2021</v>
      </c>
      <c r="AT585" s="3">
        <v>35</v>
      </c>
      <c r="AU585" s="3">
        <v>7</v>
      </c>
      <c r="AV585" s="3"/>
      <c r="AW585" s="3"/>
      <c r="AX585" s="3"/>
      <c r="AY585" s="3"/>
      <c r="AZ585" s="3">
        <v>948</v>
      </c>
      <c r="BA585" s="3">
        <v>956</v>
      </c>
      <c r="BB585" s="3"/>
      <c r="BC585" s="3" t="s">
        <v>5116</v>
      </c>
      <c r="BD585" s="15" t="str">
        <f>HYPERLINK("http://dx.doi.org/10.1177/08901171211012522","http://dx.doi.org/10.1177/08901171211012522")</f>
        <v>http://dx.doi.org/10.1177/08901171211012522</v>
      </c>
      <c r="BE585" s="3"/>
      <c r="BF585" s="3" t="s">
        <v>5117</v>
      </c>
      <c r="BG585" s="3"/>
      <c r="BH585" s="3"/>
      <c r="BI585" s="3">
        <v>33906427</v>
      </c>
      <c r="BJ585" s="3" t="s">
        <v>5118</v>
      </c>
      <c r="BK585" s="3"/>
      <c r="BL585" s="3"/>
      <c r="BM585" s="3"/>
      <c r="BN585" s="3"/>
      <c r="BO585" s="3"/>
      <c r="BP585" s="3"/>
      <c r="BQ585" s="3"/>
      <c r="BR585" s="3"/>
      <c r="BS585" s="3"/>
      <c r="BT585" s="3"/>
      <c r="BU585" s="2" t="s">
        <v>7193</v>
      </c>
      <c r="BV585" s="10" t="s">
        <v>7188</v>
      </c>
      <c r="BW585" s="10" t="s">
        <v>7189</v>
      </c>
    </row>
    <row r="586" spans="1:75" ht="12.75" customHeight="1">
      <c r="A586" s="4" t="s">
        <v>63</v>
      </c>
      <c r="B586" s="4" t="s">
        <v>5791</v>
      </c>
      <c r="C586" s="4"/>
      <c r="D586" s="4"/>
      <c r="E586" s="4"/>
      <c r="F586" s="4" t="s">
        <v>5792</v>
      </c>
      <c r="G586" s="4"/>
      <c r="H586" s="4"/>
      <c r="I586" s="4" t="s">
        <v>5744</v>
      </c>
      <c r="J586" s="4" t="s">
        <v>1438</v>
      </c>
      <c r="K586" s="4"/>
      <c r="L586" s="4"/>
      <c r="M586" s="4"/>
      <c r="N586" s="4"/>
      <c r="O586" s="4"/>
      <c r="P586" s="4"/>
      <c r="Q586" s="4"/>
      <c r="R586" s="4"/>
      <c r="S586" s="4"/>
      <c r="T586" s="4" t="s">
        <v>5745</v>
      </c>
      <c r="U586" s="4"/>
      <c r="V586" s="4"/>
      <c r="W586" s="4"/>
      <c r="X586" s="4"/>
      <c r="Y586" s="4" t="s">
        <v>5793</v>
      </c>
      <c r="Z586" s="4"/>
      <c r="AA586" s="4"/>
      <c r="AB586" s="4"/>
      <c r="AC586" s="4"/>
      <c r="AD586" s="4"/>
      <c r="AE586" s="4"/>
      <c r="AF586" s="4"/>
      <c r="AG586" s="4"/>
      <c r="AH586" s="4"/>
      <c r="AI586" s="4"/>
      <c r="AJ586" s="4"/>
      <c r="AK586" s="4"/>
      <c r="AL586" s="4"/>
      <c r="AM586" s="4" t="s">
        <v>1440</v>
      </c>
      <c r="AN586" s="4"/>
      <c r="AO586" s="4"/>
      <c r="AP586" s="4"/>
      <c r="AQ586" s="4"/>
      <c r="AR586" s="4"/>
      <c r="AS586" s="4">
        <v>2022</v>
      </c>
      <c r="AT586" s="4">
        <v>16</v>
      </c>
      <c r="AU586" s="4">
        <v>3</v>
      </c>
      <c r="AV586" s="4"/>
      <c r="AW586" s="4"/>
      <c r="AX586" s="4"/>
      <c r="AY586" s="4"/>
      <c r="AZ586" s="4">
        <v>38</v>
      </c>
      <c r="BA586" s="4">
        <v>57</v>
      </c>
      <c r="BB586" s="4"/>
      <c r="BC586" s="4"/>
      <c r="BD586" s="4"/>
      <c r="BE586" s="4"/>
      <c r="BF586" s="4"/>
      <c r="BG586" s="4"/>
      <c r="BH586" s="4"/>
      <c r="BI586" s="4"/>
      <c r="BJ586" s="4" t="s">
        <v>5794</v>
      </c>
      <c r="BK586" s="4"/>
      <c r="BL586" s="4"/>
      <c r="BM586" s="4"/>
      <c r="BN586" s="4"/>
      <c r="BO586" s="4"/>
      <c r="BP586" s="4"/>
      <c r="BQ586" s="4"/>
      <c r="BR586" s="4"/>
      <c r="BS586" s="4"/>
      <c r="BT586" s="4"/>
      <c r="BU586" s="12" t="s">
        <v>7443</v>
      </c>
      <c r="BV586" s="12" t="s">
        <v>7188</v>
      </c>
      <c r="BW586" s="12" t="s">
        <v>7189</v>
      </c>
    </row>
    <row r="587" spans="1:75" ht="12.75" customHeight="1">
      <c r="A587" s="7" t="s">
        <v>63</v>
      </c>
      <c r="B587" s="7" t="s">
        <v>4443</v>
      </c>
      <c r="C587" s="7"/>
      <c r="D587" s="7"/>
      <c r="E587" s="7"/>
      <c r="F587" s="7" t="s">
        <v>4444</v>
      </c>
      <c r="G587" s="7"/>
      <c r="H587" s="7"/>
      <c r="I587" s="7" t="s">
        <v>4445</v>
      </c>
      <c r="J587" s="7" t="s">
        <v>3374</v>
      </c>
      <c r="K587" s="7"/>
      <c r="L587" s="7"/>
      <c r="M587" s="7"/>
      <c r="N587" s="7"/>
      <c r="O587" s="7"/>
      <c r="P587" s="7"/>
      <c r="Q587" s="7"/>
      <c r="R587" s="7"/>
      <c r="S587" s="7"/>
      <c r="T587" s="7" t="s">
        <v>4446</v>
      </c>
      <c r="U587" s="7"/>
      <c r="V587" s="7"/>
      <c r="W587" s="7"/>
      <c r="X587" s="7"/>
      <c r="Y587" s="7" t="s">
        <v>4447</v>
      </c>
      <c r="Z587" s="7" t="s">
        <v>4448</v>
      </c>
      <c r="AA587" s="7"/>
      <c r="AB587" s="7"/>
      <c r="AC587" s="7"/>
      <c r="AD587" s="7"/>
      <c r="AE587" s="7"/>
      <c r="AF587" s="7"/>
      <c r="AG587" s="7"/>
      <c r="AH587" s="7"/>
      <c r="AI587" s="7"/>
      <c r="AJ587" s="7"/>
      <c r="AK587" s="7"/>
      <c r="AL587" s="7"/>
      <c r="AM587" s="7"/>
      <c r="AN587" s="7" t="s">
        <v>3377</v>
      </c>
      <c r="AO587" s="7"/>
      <c r="AP587" s="7"/>
      <c r="AQ587" s="7"/>
      <c r="AR587" s="7" t="s">
        <v>92</v>
      </c>
      <c r="AS587" s="7">
        <v>2020</v>
      </c>
      <c r="AT587" s="7">
        <v>12</v>
      </c>
      <c r="AU587" s="7">
        <v>20</v>
      </c>
      <c r="AV587" s="7"/>
      <c r="AW587" s="7"/>
      <c r="AX587" s="7"/>
      <c r="AY587" s="7"/>
      <c r="AZ587" s="7"/>
      <c r="BA587" s="7"/>
      <c r="BB587" s="7">
        <v>8537</v>
      </c>
      <c r="BC587" s="7" t="s">
        <v>4449</v>
      </c>
      <c r="BD587" s="11" t="str">
        <f>HYPERLINK("http://dx.doi.org/10.3390/su12208537","http://dx.doi.org/10.3390/su12208537")</f>
        <v>http://dx.doi.org/10.3390/su12208537</v>
      </c>
      <c r="BE587" s="7"/>
      <c r="BF587" s="7"/>
      <c r="BG587" s="7"/>
      <c r="BH587" s="7"/>
      <c r="BI587" s="7"/>
      <c r="BJ587" s="7" t="s">
        <v>4450</v>
      </c>
      <c r="BK587" s="7"/>
      <c r="BL587" s="7"/>
      <c r="BM587" s="7"/>
      <c r="BN587" s="7"/>
      <c r="BO587" s="7"/>
      <c r="BP587" s="7"/>
      <c r="BQ587" s="7"/>
      <c r="BR587" s="7"/>
      <c r="BS587" s="7"/>
      <c r="BT587" s="7"/>
      <c r="BU587" s="10" t="s">
        <v>7269</v>
      </c>
      <c r="BV587" s="10" t="s">
        <v>7270</v>
      </c>
      <c r="BW587" s="10" t="s">
        <v>7245</v>
      </c>
    </row>
    <row r="588" spans="1:75" ht="12.75" customHeight="1">
      <c r="A588" s="7" t="s">
        <v>63</v>
      </c>
      <c r="B588" s="7" t="s">
        <v>1994</v>
      </c>
      <c r="C588" s="7"/>
      <c r="D588" s="7"/>
      <c r="E588" s="7"/>
      <c r="F588" s="7" t="s">
        <v>1995</v>
      </c>
      <c r="G588" s="7"/>
      <c r="H588" s="7"/>
      <c r="I588" s="7" t="s">
        <v>1996</v>
      </c>
      <c r="J588" s="7" t="s">
        <v>1997</v>
      </c>
      <c r="K588" s="7"/>
      <c r="L588" s="7"/>
      <c r="M588" s="7"/>
      <c r="N588" s="7"/>
      <c r="O588" s="7"/>
      <c r="P588" s="7"/>
      <c r="Q588" s="7"/>
      <c r="R588" s="7"/>
      <c r="S588" s="7"/>
      <c r="T588" s="7" t="s">
        <v>1998</v>
      </c>
      <c r="U588" s="7"/>
      <c r="V588" s="7"/>
      <c r="W588" s="7"/>
      <c r="X588" s="7"/>
      <c r="Y588" s="7" t="s">
        <v>1059</v>
      </c>
      <c r="Z588" s="7" t="s">
        <v>1060</v>
      </c>
      <c r="AA588" s="7"/>
      <c r="AB588" s="7"/>
      <c r="AC588" s="7"/>
      <c r="AD588" s="7"/>
      <c r="AE588" s="7"/>
      <c r="AF588" s="7"/>
      <c r="AG588" s="7"/>
      <c r="AH588" s="7"/>
      <c r="AI588" s="7"/>
      <c r="AJ588" s="7"/>
      <c r="AK588" s="7"/>
      <c r="AL588" s="7"/>
      <c r="AM588" s="7" t="s">
        <v>1999</v>
      </c>
      <c r="AN588" s="7" t="s">
        <v>2000</v>
      </c>
      <c r="AO588" s="7"/>
      <c r="AP588" s="7"/>
      <c r="AQ588" s="7"/>
      <c r="AR588" s="7" t="s">
        <v>78</v>
      </c>
      <c r="AS588" s="7">
        <v>2015</v>
      </c>
      <c r="AT588" s="7">
        <v>16</v>
      </c>
      <c r="AU588" s="7">
        <v>3</v>
      </c>
      <c r="AV588" s="7"/>
      <c r="AW588" s="7"/>
      <c r="AX588" s="7"/>
      <c r="AY588" s="7"/>
      <c r="AZ588" s="7">
        <v>383</v>
      </c>
      <c r="BA588" s="7">
        <v>391</v>
      </c>
      <c r="BB588" s="7"/>
      <c r="BC588" s="7" t="s">
        <v>2001</v>
      </c>
      <c r="BD588" s="11" t="str">
        <f>HYPERLINK("http://dx.doi.org/10.1177/1524839914554454","http://dx.doi.org/10.1177/1524839914554454")</f>
        <v>http://dx.doi.org/10.1177/1524839914554454</v>
      </c>
      <c r="BE588" s="7"/>
      <c r="BF588" s="7"/>
      <c r="BG588" s="7"/>
      <c r="BH588" s="7"/>
      <c r="BI588" s="7">
        <v>25305093</v>
      </c>
      <c r="BJ588" s="7" t="s">
        <v>2002</v>
      </c>
      <c r="BK588" s="7"/>
      <c r="BL588" s="7"/>
      <c r="BM588" s="7"/>
      <c r="BN588" s="7"/>
      <c r="BO588" s="7"/>
      <c r="BP588" s="7"/>
      <c r="BQ588" s="7"/>
      <c r="BR588" s="7"/>
      <c r="BS588" s="7"/>
      <c r="BT588" s="7"/>
      <c r="BU588" s="1" t="s">
        <v>7329</v>
      </c>
      <c r="BV588" s="10" t="s">
        <v>7188</v>
      </c>
      <c r="BW588" s="10" t="s">
        <v>7189</v>
      </c>
    </row>
    <row r="589" spans="1:75" ht="12.75" customHeight="1">
      <c r="A589" s="17" t="s">
        <v>63</v>
      </c>
      <c r="B589" s="17" t="s">
        <v>3503</v>
      </c>
      <c r="C589" s="17"/>
      <c r="D589" s="17"/>
      <c r="E589" s="17"/>
      <c r="F589" s="17" t="s">
        <v>3504</v>
      </c>
      <c r="G589" s="17"/>
      <c r="H589" s="17"/>
      <c r="I589" s="17" t="s">
        <v>3505</v>
      </c>
      <c r="J589" s="17" t="s">
        <v>3506</v>
      </c>
      <c r="K589" s="17"/>
      <c r="L589" s="17"/>
      <c r="M589" s="17"/>
      <c r="N589" s="17" t="s">
        <v>3507</v>
      </c>
      <c r="O589" s="17" t="s">
        <v>3508</v>
      </c>
      <c r="P589" s="17" t="s">
        <v>3509</v>
      </c>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t="s">
        <v>3510</v>
      </c>
      <c r="AN589" s="17" t="s">
        <v>3511</v>
      </c>
      <c r="AO589" s="17"/>
      <c r="AP589" s="17"/>
      <c r="AQ589" s="17"/>
      <c r="AR589" s="17" t="s">
        <v>445</v>
      </c>
      <c r="AS589" s="17">
        <v>2018</v>
      </c>
      <c r="AT589" s="17">
        <v>110</v>
      </c>
      <c r="AU589" s="17">
        <v>4</v>
      </c>
      <c r="AV589" s="17"/>
      <c r="AW589" s="17" t="s">
        <v>151</v>
      </c>
      <c r="AX589" s="17"/>
      <c r="AY589" s="17" t="s">
        <v>3512</v>
      </c>
      <c r="AZ589" s="17" t="s">
        <v>3513</v>
      </c>
      <c r="BA589" s="17" t="s">
        <v>3514</v>
      </c>
      <c r="BB589" s="17"/>
      <c r="BC589" s="17"/>
      <c r="BD589" s="17"/>
      <c r="BE589" s="17"/>
      <c r="BF589" s="17"/>
      <c r="BG589" s="17"/>
      <c r="BH589" s="17"/>
      <c r="BI589" s="17"/>
      <c r="BJ589" s="17" t="s">
        <v>3515</v>
      </c>
      <c r="BK589" s="17"/>
      <c r="BL589" s="17"/>
      <c r="BM589" s="17"/>
      <c r="BN589" s="17"/>
      <c r="BO589" s="17"/>
      <c r="BP589" s="17"/>
      <c r="BQ589" s="17"/>
      <c r="BR589" s="17"/>
      <c r="BS589" s="17"/>
      <c r="BT589" s="17"/>
      <c r="BU589" s="1" t="s">
        <v>7388</v>
      </c>
      <c r="BV589" s="16" t="s">
        <v>7188</v>
      </c>
      <c r="BW589" s="10" t="s">
        <v>7189</v>
      </c>
    </row>
    <row r="590" spans="1:75" ht="12.75" customHeight="1">
      <c r="A590" s="3" t="s">
        <v>63</v>
      </c>
      <c r="B590" s="3" t="s">
        <v>5119</v>
      </c>
      <c r="C590" s="3"/>
      <c r="D590" s="3"/>
      <c r="E590" s="3"/>
      <c r="F590" s="3" t="s">
        <v>5120</v>
      </c>
      <c r="G590" s="3"/>
      <c r="H590" s="3"/>
      <c r="I590" s="3" t="s">
        <v>5121</v>
      </c>
      <c r="J590" s="3" t="s">
        <v>1184</v>
      </c>
      <c r="K590" s="3"/>
      <c r="L590" s="3"/>
      <c r="M590" s="3"/>
      <c r="N590" s="3"/>
      <c r="O590" s="3"/>
      <c r="P590" s="3"/>
      <c r="Q590" s="3"/>
      <c r="R590" s="3"/>
      <c r="S590" s="3"/>
      <c r="T590" s="3" t="s">
        <v>5122</v>
      </c>
      <c r="U590" s="3"/>
      <c r="V590" s="3"/>
      <c r="W590" s="3"/>
      <c r="X590" s="3"/>
      <c r="Y590" s="3" t="s">
        <v>5123</v>
      </c>
      <c r="Z590" s="3" t="s">
        <v>5124</v>
      </c>
      <c r="AA590" s="3"/>
      <c r="AB590" s="3"/>
      <c r="AC590" s="3"/>
      <c r="AD590" s="3"/>
      <c r="AE590" s="3"/>
      <c r="AF590" s="3"/>
      <c r="AG590" s="3"/>
      <c r="AH590" s="3"/>
      <c r="AI590" s="3"/>
      <c r="AJ590" s="3"/>
      <c r="AK590" s="3"/>
      <c r="AL590" s="3"/>
      <c r="AM590" s="3" t="s">
        <v>1186</v>
      </c>
      <c r="AN590" s="3" t="s">
        <v>1187</v>
      </c>
      <c r="AO590" s="3"/>
      <c r="AP590" s="3"/>
      <c r="AQ590" s="3"/>
      <c r="AR590" s="3" t="s">
        <v>65</v>
      </c>
      <c r="AS590" s="3">
        <v>2021</v>
      </c>
      <c r="AT590" s="3">
        <v>84</v>
      </c>
      <c r="AU590" s="3">
        <v>12</v>
      </c>
      <c r="AV590" s="3"/>
      <c r="AW590" s="3"/>
      <c r="AX590" s="3"/>
      <c r="AY590" s="3"/>
      <c r="AZ590" s="3">
        <v>2123</v>
      </c>
      <c r="BA590" s="3">
        <v>2127</v>
      </c>
      <c r="BB590" s="3"/>
      <c r="BC590" s="3" t="s">
        <v>5125</v>
      </c>
      <c r="BD590" s="15" t="str">
        <f>HYPERLINK("http://dx.doi.org/10.4315/JFP-21-250","http://dx.doi.org/10.4315/JFP-21-250")</f>
        <v>http://dx.doi.org/10.4315/JFP-21-250</v>
      </c>
      <c r="BE590" s="3"/>
      <c r="BF590" s="3"/>
      <c r="BG590" s="3"/>
      <c r="BH590" s="3"/>
      <c r="BI590" s="3">
        <v>34383915</v>
      </c>
      <c r="BJ590" s="3" t="s">
        <v>5126</v>
      </c>
      <c r="BK590" s="3"/>
      <c r="BL590" s="3"/>
      <c r="BM590" s="3"/>
      <c r="BN590" s="3"/>
      <c r="BO590" s="3"/>
      <c r="BP590" s="3"/>
      <c r="BQ590" s="3"/>
      <c r="BR590" s="3"/>
      <c r="BS590" s="3"/>
      <c r="BT590" s="3"/>
      <c r="BU590" s="16" t="s">
        <v>7428</v>
      </c>
      <c r="BV590" s="16" t="s">
        <v>7188</v>
      </c>
      <c r="BW590" s="10" t="s">
        <v>7189</v>
      </c>
    </row>
    <row r="591" spans="1:75" ht="12.75" customHeight="1">
      <c r="A591" s="3" t="s">
        <v>63</v>
      </c>
      <c r="B591" s="3" t="s">
        <v>5795</v>
      </c>
      <c r="C591" s="3"/>
      <c r="D591" s="3"/>
      <c r="E591" s="3"/>
      <c r="F591" s="3" t="s">
        <v>5796</v>
      </c>
      <c r="G591" s="3"/>
      <c r="H591" s="3"/>
      <c r="I591" s="3" t="s">
        <v>5797</v>
      </c>
      <c r="J591" s="3" t="s">
        <v>5798</v>
      </c>
      <c r="K591" s="3"/>
      <c r="L591" s="3"/>
      <c r="M591" s="3"/>
      <c r="N591" s="3"/>
      <c r="O591" s="3"/>
      <c r="P591" s="3"/>
      <c r="Q591" s="3"/>
      <c r="R591" s="3"/>
      <c r="S591" s="3"/>
      <c r="T591" s="3"/>
      <c r="U591" s="3"/>
      <c r="V591" s="3"/>
      <c r="W591" s="3"/>
      <c r="X591" s="3"/>
      <c r="Y591" s="3" t="s">
        <v>5799</v>
      </c>
      <c r="Z591" s="3"/>
      <c r="AA591" s="3"/>
      <c r="AB591" s="3"/>
      <c r="AC591" s="3"/>
      <c r="AD591" s="3"/>
      <c r="AE591" s="3"/>
      <c r="AF591" s="3"/>
      <c r="AG591" s="3"/>
      <c r="AH591" s="3"/>
      <c r="AI591" s="3"/>
      <c r="AJ591" s="3"/>
      <c r="AK591" s="3"/>
      <c r="AL591" s="3"/>
      <c r="AM591" s="3" t="s">
        <v>5800</v>
      </c>
      <c r="AN591" s="3" t="s">
        <v>5801</v>
      </c>
      <c r="AO591" s="3"/>
      <c r="AP591" s="3"/>
      <c r="AQ591" s="3"/>
      <c r="AR591" s="3" t="s">
        <v>65</v>
      </c>
      <c r="AS591" s="3">
        <v>2022</v>
      </c>
      <c r="AT591" s="3">
        <v>27</v>
      </c>
      <c r="AU591" s="3">
        <v>6</v>
      </c>
      <c r="AV591" s="3"/>
      <c r="AW591" s="3"/>
      <c r="AX591" s="3"/>
      <c r="AY591" s="3">
        <v>1278251</v>
      </c>
      <c r="AZ591" s="3">
        <v>636</v>
      </c>
      <c r="BA591" s="3">
        <v>636</v>
      </c>
      <c r="BB591" s="3"/>
      <c r="BC591" s="3"/>
      <c r="BD591" s="3"/>
      <c r="BE591" s="3"/>
      <c r="BF591" s="3"/>
      <c r="BG591" s="3"/>
      <c r="BH591" s="3"/>
      <c r="BI591" s="3"/>
      <c r="BJ591" s="3" t="s">
        <v>5802</v>
      </c>
      <c r="BK591" s="3"/>
      <c r="BL591" s="3"/>
      <c r="BM591" s="3"/>
      <c r="BN591" s="3"/>
      <c r="BO591" s="3"/>
      <c r="BP591" s="3"/>
      <c r="BQ591" s="3"/>
      <c r="BR591" s="3"/>
      <c r="BS591" s="3"/>
      <c r="BT591" s="3"/>
      <c r="BU591" s="1" t="s">
        <v>7364</v>
      </c>
      <c r="BV591" s="16" t="s">
        <v>7188</v>
      </c>
      <c r="BW591" s="10" t="s">
        <v>7189</v>
      </c>
    </row>
    <row r="592" spans="1:75" ht="12.75" customHeight="1">
      <c r="A592" s="3" t="s">
        <v>63</v>
      </c>
      <c r="B592" s="3" t="s">
        <v>4451</v>
      </c>
      <c r="C592" s="3"/>
      <c r="D592" s="3"/>
      <c r="E592" s="3"/>
      <c r="F592" s="3" t="s">
        <v>4452</v>
      </c>
      <c r="G592" s="3"/>
      <c r="H592" s="3"/>
      <c r="I592" s="3" t="s">
        <v>4453</v>
      </c>
      <c r="J592" s="3" t="s">
        <v>3439</v>
      </c>
      <c r="K592" s="3"/>
      <c r="L592" s="3"/>
      <c r="M592" s="3"/>
      <c r="N592" s="3" t="s">
        <v>4308</v>
      </c>
      <c r="O592" s="3" t="s">
        <v>4309</v>
      </c>
      <c r="P592" s="3" t="s">
        <v>3441</v>
      </c>
      <c r="Q592" s="3"/>
      <c r="R592" s="3"/>
      <c r="S592" s="3"/>
      <c r="T592" s="3"/>
      <c r="U592" s="3"/>
      <c r="V592" s="3"/>
      <c r="W592" s="3"/>
      <c r="X592" s="3"/>
      <c r="Y592" s="3"/>
      <c r="Z592" s="3"/>
      <c r="AA592" s="3"/>
      <c r="AB592" s="3"/>
      <c r="AC592" s="3"/>
      <c r="AD592" s="3"/>
      <c r="AE592" s="3"/>
      <c r="AF592" s="3"/>
      <c r="AG592" s="3"/>
      <c r="AH592" s="3"/>
      <c r="AI592" s="3"/>
      <c r="AJ592" s="3"/>
      <c r="AK592" s="3"/>
      <c r="AL592" s="3"/>
      <c r="AM592" s="3" t="s">
        <v>3442</v>
      </c>
      <c r="AN592" s="3" t="s">
        <v>3443</v>
      </c>
      <c r="AO592" s="3"/>
      <c r="AP592" s="3"/>
      <c r="AQ592" s="3"/>
      <c r="AR592" s="3" t="s">
        <v>133</v>
      </c>
      <c r="AS592" s="3">
        <v>2020</v>
      </c>
      <c r="AT592" s="3">
        <v>222</v>
      </c>
      <c r="AU592" s="3">
        <v>1</v>
      </c>
      <c r="AV592" s="3"/>
      <c r="AW592" s="3" t="s">
        <v>151</v>
      </c>
      <c r="AX592" s="3"/>
      <c r="AY592" s="3">
        <v>1207</v>
      </c>
      <c r="AZ592" s="3" t="s">
        <v>4454</v>
      </c>
      <c r="BA592" s="3" t="s">
        <v>4455</v>
      </c>
      <c r="BB592" s="3"/>
      <c r="BC592" s="3" t="s">
        <v>4456</v>
      </c>
      <c r="BD592" s="15" t="str">
        <f>HYPERLINK("http://dx.doi.org/10.1016/j.ajog.2019.11.1219","http://dx.doi.org/10.1016/j.ajog.2019.11.1219")</f>
        <v>http://dx.doi.org/10.1016/j.ajog.2019.11.1219</v>
      </c>
      <c r="BE592" s="3"/>
      <c r="BF592" s="3"/>
      <c r="BG592" s="3"/>
      <c r="BH592" s="3"/>
      <c r="BI592" s="3"/>
      <c r="BJ592" s="3" t="s">
        <v>4457</v>
      </c>
      <c r="BK592" s="3"/>
      <c r="BL592" s="3"/>
      <c r="BM592" s="3"/>
      <c r="BN592" s="3"/>
      <c r="BO592" s="3"/>
      <c r="BP592" s="3"/>
      <c r="BQ592" s="3"/>
      <c r="BR592" s="3"/>
      <c r="BS592" s="3"/>
      <c r="BT592" s="3"/>
      <c r="BU592" s="2" t="s">
        <v>7221</v>
      </c>
      <c r="BV592" s="16" t="s">
        <v>7188</v>
      </c>
      <c r="BW592" s="10" t="s">
        <v>7189</v>
      </c>
    </row>
    <row r="593" spans="1:75" ht="12.75" customHeight="1">
      <c r="A593" s="4" t="s">
        <v>63</v>
      </c>
      <c r="B593" s="4" t="s">
        <v>6378</v>
      </c>
      <c r="C593" s="4"/>
      <c r="D593" s="4"/>
      <c r="E593" s="4"/>
      <c r="F593" s="4" t="s">
        <v>6379</v>
      </c>
      <c r="G593" s="4"/>
      <c r="H593" s="4"/>
      <c r="I593" s="4" t="s">
        <v>6380</v>
      </c>
      <c r="J593" s="4" t="s">
        <v>6381</v>
      </c>
      <c r="K593" s="4"/>
      <c r="L593" s="4"/>
      <c r="M593" s="4"/>
      <c r="N593" s="4"/>
      <c r="O593" s="4"/>
      <c r="P593" s="4"/>
      <c r="Q593" s="4"/>
      <c r="R593" s="4"/>
      <c r="S593" s="4"/>
      <c r="T593" s="4"/>
      <c r="U593" s="4"/>
      <c r="V593" s="4"/>
      <c r="W593" s="4"/>
      <c r="X593" s="4"/>
      <c r="Y593" s="4" t="s">
        <v>6382</v>
      </c>
      <c r="Z593" s="4" t="s">
        <v>6383</v>
      </c>
      <c r="AA593" s="4"/>
      <c r="AB593" s="4"/>
      <c r="AC593" s="4"/>
      <c r="AD593" s="4"/>
      <c r="AE593" s="4"/>
      <c r="AF593" s="4"/>
      <c r="AG593" s="4"/>
      <c r="AH593" s="4"/>
      <c r="AI593" s="4"/>
      <c r="AJ593" s="4"/>
      <c r="AK593" s="4"/>
      <c r="AL593" s="4"/>
      <c r="AM593" s="4" t="s">
        <v>6384</v>
      </c>
      <c r="AN593" s="4" t="s">
        <v>6385</v>
      </c>
      <c r="AO593" s="4"/>
      <c r="AP593" s="4"/>
      <c r="AQ593" s="4"/>
      <c r="AR593" s="4" t="s">
        <v>78</v>
      </c>
      <c r="AS593" s="4">
        <v>2023</v>
      </c>
      <c r="AT593" s="4">
        <v>36</v>
      </c>
      <c r="AU593" s="4">
        <v>4</v>
      </c>
      <c r="AV593" s="4"/>
      <c r="AW593" s="4"/>
      <c r="AX593" s="4"/>
      <c r="AY593" s="4"/>
      <c r="AZ593" s="4">
        <v>943</v>
      </c>
      <c r="BA593" s="4">
        <v>945</v>
      </c>
      <c r="BB593" s="4"/>
      <c r="BC593" s="4" t="s">
        <v>6386</v>
      </c>
      <c r="BD593" s="5" t="str">
        <f>HYPERLINK("http://dx.doi.org/10.1007/s40620-023-01624-w","http://dx.doi.org/10.1007/s40620-023-01624-w")</f>
        <v>http://dx.doi.org/10.1007/s40620-023-01624-w</v>
      </c>
      <c r="BE593" s="4"/>
      <c r="BF593" s="4" t="s">
        <v>6224</v>
      </c>
      <c r="BG593" s="4"/>
      <c r="BH593" s="4"/>
      <c r="BI593" s="4">
        <v>36940000</v>
      </c>
      <c r="BJ593" s="4" t="s">
        <v>6387</v>
      </c>
      <c r="BK593" s="4"/>
      <c r="BL593" s="4"/>
      <c r="BM593" s="4"/>
      <c r="BN593" s="4"/>
      <c r="BO593" s="4"/>
      <c r="BP593" s="4"/>
      <c r="BQ593" s="4"/>
      <c r="BR593" s="4"/>
      <c r="BS593" s="4"/>
      <c r="BT593" s="4"/>
      <c r="BU593" s="12" t="s">
        <v>7209</v>
      </c>
      <c r="BV593" s="12" t="s">
        <v>7209</v>
      </c>
      <c r="BW593" s="12" t="s">
        <v>7209</v>
      </c>
    </row>
    <row r="594" spans="1:75" ht="12.75" customHeight="1">
      <c r="A594" s="7" t="s">
        <v>201</v>
      </c>
      <c r="B594" s="7" t="s">
        <v>2517</v>
      </c>
      <c r="C594" s="7"/>
      <c r="D594" s="7" t="s">
        <v>2518</v>
      </c>
      <c r="E594" s="7"/>
      <c r="F594" s="7" t="s">
        <v>2519</v>
      </c>
      <c r="G594" s="7"/>
      <c r="H594" s="7"/>
      <c r="I594" s="7" t="s">
        <v>2520</v>
      </c>
      <c r="J594" s="7" t="s">
        <v>2521</v>
      </c>
      <c r="K594" s="7" t="s">
        <v>2522</v>
      </c>
      <c r="L594" s="7"/>
      <c r="M594" s="7"/>
      <c r="N594" s="7">
        <v>2015</v>
      </c>
      <c r="O594" s="7" t="s">
        <v>2523</v>
      </c>
      <c r="P594" s="7"/>
      <c r="Q594" s="7"/>
      <c r="R594" s="7"/>
      <c r="S594" s="7"/>
      <c r="T594" s="7" t="s">
        <v>2524</v>
      </c>
      <c r="U594" s="7"/>
      <c r="V594" s="7"/>
      <c r="W594" s="7"/>
      <c r="X594" s="7"/>
      <c r="Y594" s="7"/>
      <c r="Z594" s="7" t="s">
        <v>2525</v>
      </c>
      <c r="AA594" s="7"/>
      <c r="AB594" s="7"/>
      <c r="AC594" s="7"/>
      <c r="AD594" s="7"/>
      <c r="AE594" s="7"/>
      <c r="AF594" s="7"/>
      <c r="AG594" s="7"/>
      <c r="AH594" s="7"/>
      <c r="AI594" s="7"/>
      <c r="AJ594" s="7"/>
      <c r="AK594" s="7"/>
      <c r="AL594" s="7"/>
      <c r="AM594" s="7" t="s">
        <v>2526</v>
      </c>
      <c r="AN594" s="7"/>
      <c r="AO594" s="7"/>
      <c r="AP594" s="7"/>
      <c r="AQ594" s="7"/>
      <c r="AR594" s="7"/>
      <c r="AS594" s="7">
        <v>2016</v>
      </c>
      <c r="AT594" s="7">
        <v>8</v>
      </c>
      <c r="AU594" s="7"/>
      <c r="AV594" s="7"/>
      <c r="AW594" s="7"/>
      <c r="AX594" s="7"/>
      <c r="AY594" s="7"/>
      <c r="AZ594" s="7">
        <v>73</v>
      </c>
      <c r="BA594" s="7">
        <v>80</v>
      </c>
      <c r="BB594" s="7"/>
      <c r="BC594" s="7" t="s">
        <v>2527</v>
      </c>
      <c r="BD594" s="11" t="str">
        <f>HYPERLINK("http://dx.doi.org/10.1016/j.aaspro.2016.02.010","http://dx.doi.org/10.1016/j.aaspro.2016.02.010")</f>
        <v>http://dx.doi.org/10.1016/j.aaspro.2016.02.010</v>
      </c>
      <c r="BE594" s="7"/>
      <c r="BF594" s="7"/>
      <c r="BG594" s="7"/>
      <c r="BH594" s="7"/>
      <c r="BI594" s="7"/>
      <c r="BJ594" s="7" t="s">
        <v>2528</v>
      </c>
      <c r="BK594" s="7"/>
      <c r="BL594" s="7"/>
      <c r="BM594" s="7"/>
      <c r="BN594" s="7"/>
      <c r="BO594" s="7"/>
      <c r="BP594" s="7"/>
      <c r="BQ594" s="7"/>
      <c r="BR594" s="7"/>
      <c r="BS594" s="7"/>
      <c r="BT594" s="7"/>
      <c r="BU594" s="10" t="s">
        <v>7201</v>
      </c>
      <c r="BV594" s="16" t="s">
        <v>7188</v>
      </c>
      <c r="BW594" s="10" t="s">
        <v>7189</v>
      </c>
    </row>
    <row r="595" spans="1:75" ht="12.75" customHeight="1">
      <c r="A595" s="4" t="s">
        <v>63</v>
      </c>
      <c r="B595" s="4" t="s">
        <v>404</v>
      </c>
      <c r="C595" s="4"/>
      <c r="D595" s="4"/>
      <c r="E595" s="4"/>
      <c r="F595" s="4" t="s">
        <v>404</v>
      </c>
      <c r="G595" s="4"/>
      <c r="H595" s="4"/>
      <c r="I595" s="4" t="s">
        <v>880</v>
      </c>
      <c r="J595" s="4" t="s">
        <v>696</v>
      </c>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t="s">
        <v>698</v>
      </c>
      <c r="AN595" s="4"/>
      <c r="AO595" s="4"/>
      <c r="AP595" s="4"/>
      <c r="AQ595" s="4"/>
      <c r="AR595" s="4" t="s">
        <v>78</v>
      </c>
      <c r="AS595" s="4">
        <v>2012</v>
      </c>
      <c r="AT595" s="4">
        <v>31</v>
      </c>
      <c r="AU595" s="4">
        <v>5</v>
      </c>
      <c r="AV595" s="4"/>
      <c r="AW595" s="4"/>
      <c r="AX595" s="4"/>
      <c r="AY595" s="4"/>
      <c r="AZ595" s="4">
        <v>1119</v>
      </c>
      <c r="BA595" s="4">
        <v>1120</v>
      </c>
      <c r="BB595" s="4"/>
      <c r="BC595" s="4" t="s">
        <v>881</v>
      </c>
      <c r="BD595" s="5" t="str">
        <f>HYPERLINK("http://dx.doi.org/10.1377/hlthaff.2012.0367","http://dx.doi.org/10.1377/hlthaff.2012.0367")</f>
        <v>http://dx.doi.org/10.1377/hlthaff.2012.0367</v>
      </c>
      <c r="BE595" s="4"/>
      <c r="BF595" s="4"/>
      <c r="BG595" s="4"/>
      <c r="BH595" s="4"/>
      <c r="BI595" s="4"/>
      <c r="BJ595" s="4" t="s">
        <v>882</v>
      </c>
      <c r="BK595" s="4"/>
      <c r="BL595" s="4"/>
      <c r="BM595" s="4"/>
      <c r="BN595" s="4"/>
      <c r="BO595" s="4"/>
      <c r="BP595" s="4"/>
      <c r="BQ595" s="4"/>
      <c r="BR595" s="4"/>
      <c r="BS595" s="4"/>
      <c r="BT595" s="4"/>
      <c r="BU595" s="12" t="s">
        <v>7209</v>
      </c>
      <c r="BV595" s="12" t="s">
        <v>7209</v>
      </c>
      <c r="BW595" s="12" t="s">
        <v>7209</v>
      </c>
    </row>
    <row r="596" spans="1:75" ht="12.75" customHeight="1">
      <c r="A596" s="3" t="s">
        <v>63</v>
      </c>
      <c r="B596" s="3" t="s">
        <v>4458</v>
      </c>
      <c r="C596" s="3"/>
      <c r="D596" s="3"/>
      <c r="E596" s="3"/>
      <c r="F596" s="3" t="s">
        <v>4459</v>
      </c>
      <c r="G596" s="3"/>
      <c r="H596" s="3"/>
      <c r="I596" s="3" t="s">
        <v>4460</v>
      </c>
      <c r="J596" s="3" t="s">
        <v>4461</v>
      </c>
      <c r="K596" s="3"/>
      <c r="L596" s="3"/>
      <c r="M596" s="3"/>
      <c r="N596" s="3"/>
      <c r="O596" s="3"/>
      <c r="P596" s="3"/>
      <c r="Q596" s="3"/>
      <c r="R596" s="3"/>
      <c r="S596" s="3"/>
      <c r="T596" s="3"/>
      <c r="U596" s="3"/>
      <c r="V596" s="3"/>
      <c r="W596" s="3"/>
      <c r="X596" s="3"/>
      <c r="Y596" s="3" t="s">
        <v>4462</v>
      </c>
      <c r="Z596" s="3"/>
      <c r="AA596" s="3"/>
      <c r="AB596" s="3"/>
      <c r="AC596" s="3"/>
      <c r="AD596" s="3"/>
      <c r="AE596" s="3"/>
      <c r="AF596" s="3"/>
      <c r="AG596" s="3"/>
      <c r="AH596" s="3"/>
      <c r="AI596" s="3"/>
      <c r="AJ596" s="3"/>
      <c r="AK596" s="3"/>
      <c r="AL596" s="3"/>
      <c r="AM596" s="3" t="s">
        <v>4463</v>
      </c>
      <c r="AN596" s="3" t="s">
        <v>4464</v>
      </c>
      <c r="AO596" s="3"/>
      <c r="AP596" s="3"/>
      <c r="AQ596" s="3"/>
      <c r="AR596" s="3" t="s">
        <v>4465</v>
      </c>
      <c r="AS596" s="3">
        <v>2020</v>
      </c>
      <c r="AT596" s="3">
        <v>136</v>
      </c>
      <c r="AU596" s="3"/>
      <c r="AV596" s="3"/>
      <c r="AW596" s="3">
        <v>1</v>
      </c>
      <c r="AX596" s="3"/>
      <c r="AY596" s="3"/>
      <c r="AZ596" s="3"/>
      <c r="BA596" s="3"/>
      <c r="BB596" s="3"/>
      <c r="BC596" s="3" t="s">
        <v>4466</v>
      </c>
      <c r="BD596" s="15" t="str">
        <f>HYPERLINK("http://dx.doi.org/10.1182/blood-2020-138802","http://dx.doi.org/10.1182/blood-2020-138802")</f>
        <v>http://dx.doi.org/10.1182/blood-2020-138802</v>
      </c>
      <c r="BE596" s="3"/>
      <c r="BF596" s="3"/>
      <c r="BG596" s="3"/>
      <c r="BH596" s="3"/>
      <c r="BI596" s="3"/>
      <c r="BJ596" s="3" t="s">
        <v>4467</v>
      </c>
      <c r="BK596" s="3"/>
      <c r="BL596" s="3"/>
      <c r="BM596" s="3"/>
      <c r="BN596" s="3"/>
      <c r="BO596" s="3"/>
      <c r="BP596" s="3"/>
      <c r="BQ596" s="3"/>
      <c r="BR596" s="3"/>
      <c r="BS596" s="3"/>
      <c r="BT596" s="3"/>
      <c r="BU596" s="2" t="s">
        <v>7193</v>
      </c>
      <c r="BV596" s="10" t="s">
        <v>7188</v>
      </c>
      <c r="BW596" s="10" t="s">
        <v>7189</v>
      </c>
    </row>
    <row r="597" spans="1:75" ht="12.75" customHeight="1">
      <c r="A597" s="4" t="s">
        <v>63</v>
      </c>
      <c r="B597" s="4" t="s">
        <v>3954</v>
      </c>
      <c r="C597" s="4"/>
      <c r="D597" s="4"/>
      <c r="E597" s="4"/>
      <c r="F597" s="4" t="s">
        <v>3955</v>
      </c>
      <c r="G597" s="4"/>
      <c r="H597" s="4"/>
      <c r="I597" s="4" t="s">
        <v>3956</v>
      </c>
      <c r="J597" s="4" t="s">
        <v>1142</v>
      </c>
      <c r="K597" s="4"/>
      <c r="L597" s="4"/>
      <c r="M597" s="4"/>
      <c r="N597" s="4"/>
      <c r="O597" s="4"/>
      <c r="P597" s="4"/>
      <c r="Q597" s="4"/>
      <c r="R597" s="4"/>
      <c r="S597" s="4"/>
      <c r="T597" s="4" t="s">
        <v>3957</v>
      </c>
      <c r="U597" s="4"/>
      <c r="V597" s="4"/>
      <c r="W597" s="4"/>
      <c r="X597" s="4"/>
      <c r="Y597" s="4" t="s">
        <v>3958</v>
      </c>
      <c r="Z597" s="4" t="s">
        <v>3959</v>
      </c>
      <c r="AA597" s="4"/>
      <c r="AB597" s="4"/>
      <c r="AC597" s="4"/>
      <c r="AD597" s="4"/>
      <c r="AE597" s="4"/>
      <c r="AF597" s="4"/>
      <c r="AG597" s="4"/>
      <c r="AH597" s="4"/>
      <c r="AI597" s="4"/>
      <c r="AJ597" s="4"/>
      <c r="AK597" s="4"/>
      <c r="AL597" s="4"/>
      <c r="AM597" s="4"/>
      <c r="AN597" s="4" t="s">
        <v>1144</v>
      </c>
      <c r="AO597" s="4"/>
      <c r="AP597" s="4"/>
      <c r="AQ597" s="4"/>
      <c r="AR597" s="4" t="s">
        <v>2293</v>
      </c>
      <c r="AS597" s="4">
        <v>2019</v>
      </c>
      <c r="AT597" s="4">
        <v>16</v>
      </c>
      <c r="AU597" s="4">
        <v>3</v>
      </c>
      <c r="AV597" s="4"/>
      <c r="AW597" s="4"/>
      <c r="AX597" s="4"/>
      <c r="AY597" s="4"/>
      <c r="AZ597" s="4"/>
      <c r="BA597" s="4"/>
      <c r="BB597" s="4">
        <v>464</v>
      </c>
      <c r="BC597" s="4" t="s">
        <v>3960</v>
      </c>
      <c r="BD597" s="5" t="str">
        <f>HYPERLINK("http://dx.doi.org/10.3390/ijerph16030464","http://dx.doi.org/10.3390/ijerph16030464")</f>
        <v>http://dx.doi.org/10.3390/ijerph16030464</v>
      </c>
      <c r="BE597" s="4"/>
      <c r="BF597" s="4"/>
      <c r="BG597" s="4"/>
      <c r="BH597" s="4"/>
      <c r="BI597" s="4">
        <v>30764541</v>
      </c>
      <c r="BJ597" s="4" t="s">
        <v>3961</v>
      </c>
      <c r="BK597" s="4"/>
      <c r="BL597" s="4"/>
      <c r="BM597" s="4"/>
      <c r="BN597" s="4"/>
      <c r="BO597" s="4"/>
      <c r="BP597" s="4"/>
      <c r="BQ597" s="4"/>
      <c r="BR597" s="4"/>
      <c r="BS597" s="4"/>
      <c r="BT597" s="4"/>
      <c r="BU597" s="12" t="s">
        <v>7209</v>
      </c>
      <c r="BV597" s="12" t="s">
        <v>7209</v>
      </c>
      <c r="BW597" s="12" t="s">
        <v>7209</v>
      </c>
    </row>
    <row r="598" spans="1:75" ht="12.75" customHeight="1">
      <c r="A598" s="3" t="s">
        <v>63</v>
      </c>
      <c r="B598" s="3" t="s">
        <v>5127</v>
      </c>
      <c r="C598" s="3"/>
      <c r="D598" s="3"/>
      <c r="E598" s="3"/>
      <c r="F598" s="3" t="s">
        <v>5128</v>
      </c>
      <c r="G598" s="3"/>
      <c r="H598" s="3"/>
      <c r="I598" s="3" t="s">
        <v>5129</v>
      </c>
      <c r="J598" s="3" t="s">
        <v>3439</v>
      </c>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t="s">
        <v>3442</v>
      </c>
      <c r="AN598" s="3" t="s">
        <v>3443</v>
      </c>
      <c r="AO598" s="3"/>
      <c r="AP598" s="3"/>
      <c r="AQ598" s="3"/>
      <c r="AR598" s="3" t="s">
        <v>67</v>
      </c>
      <c r="AS598" s="3">
        <v>2021</v>
      </c>
      <c r="AT598" s="3">
        <v>224</v>
      </c>
      <c r="AU598" s="3">
        <v>2</v>
      </c>
      <c r="AV598" s="3"/>
      <c r="AW598" s="3" t="s">
        <v>151</v>
      </c>
      <c r="AX598" s="3"/>
      <c r="AY598" s="3">
        <v>789</v>
      </c>
      <c r="AZ598" s="3" t="s">
        <v>5130</v>
      </c>
      <c r="BA598" s="3" t="s">
        <v>5130</v>
      </c>
      <c r="BB598" s="3"/>
      <c r="BC598" s="3"/>
      <c r="BD598" s="3"/>
      <c r="BE598" s="3"/>
      <c r="BF598" s="3"/>
      <c r="BG598" s="3"/>
      <c r="BH598" s="3"/>
      <c r="BI598" s="3"/>
      <c r="BJ598" s="3" t="s">
        <v>5131</v>
      </c>
      <c r="BK598" s="3"/>
      <c r="BL598" s="3"/>
      <c r="BM598" s="3"/>
      <c r="BN598" s="3"/>
      <c r="BO598" s="3"/>
      <c r="BP598" s="3"/>
      <c r="BQ598" s="3"/>
      <c r="BR598" s="3"/>
      <c r="BS598" s="3"/>
      <c r="BT598" s="3"/>
      <c r="BU598" s="1" t="s">
        <v>7271</v>
      </c>
      <c r="BV598" s="10" t="s">
        <v>7188</v>
      </c>
      <c r="BW598" s="10" t="s">
        <v>7189</v>
      </c>
    </row>
    <row r="599" spans="1:75" ht="12.75" customHeight="1">
      <c r="A599" s="3" t="s">
        <v>63</v>
      </c>
      <c r="B599" s="3" t="s">
        <v>4468</v>
      </c>
      <c r="C599" s="3"/>
      <c r="D599" s="3"/>
      <c r="E599" s="3"/>
      <c r="F599" s="3" t="s">
        <v>4469</v>
      </c>
      <c r="G599" s="3"/>
      <c r="H599" s="3"/>
      <c r="I599" s="3" t="s">
        <v>4470</v>
      </c>
      <c r="J599" s="3" t="s">
        <v>4471</v>
      </c>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t="s">
        <v>4472</v>
      </c>
      <c r="AN599" s="3" t="s">
        <v>4473</v>
      </c>
      <c r="AO599" s="3"/>
      <c r="AP599" s="3"/>
      <c r="AQ599" s="3"/>
      <c r="AR599" s="3" t="s">
        <v>66</v>
      </c>
      <c r="AS599" s="3">
        <v>2020</v>
      </c>
      <c r="AT599" s="3">
        <v>93</v>
      </c>
      <c r="AU599" s="3"/>
      <c r="AV599" s="3"/>
      <c r="AW599" s="3">
        <v>1</v>
      </c>
      <c r="AX599" s="3"/>
      <c r="AY599" s="3">
        <v>9</v>
      </c>
      <c r="AZ599" s="3">
        <v>8</v>
      </c>
      <c r="BA599" s="3">
        <v>9</v>
      </c>
      <c r="BB599" s="3"/>
      <c r="BC599" s="3"/>
      <c r="BD599" s="3"/>
      <c r="BE599" s="3"/>
      <c r="BF599" s="3"/>
      <c r="BG599" s="3"/>
      <c r="BH599" s="3"/>
      <c r="BI599" s="3"/>
      <c r="BJ599" s="3" t="s">
        <v>4474</v>
      </c>
      <c r="BK599" s="3"/>
      <c r="BL599" s="3"/>
      <c r="BM599" s="3"/>
      <c r="BN599" s="3"/>
      <c r="BO599" s="3"/>
      <c r="BP599" s="3"/>
      <c r="BQ599" s="3"/>
      <c r="BR599" s="3"/>
      <c r="BS599" s="3"/>
      <c r="BT599" s="3"/>
      <c r="BU599" s="1" t="s">
        <v>7327</v>
      </c>
      <c r="BV599" s="10" t="s">
        <v>7188</v>
      </c>
      <c r="BW599" s="10" t="s">
        <v>7189</v>
      </c>
    </row>
    <row r="600" spans="1:75" ht="12.75" customHeight="1">
      <c r="A600" s="4" t="s">
        <v>63</v>
      </c>
      <c r="B600" s="4" t="s">
        <v>2003</v>
      </c>
      <c r="C600" s="4"/>
      <c r="D600" s="4"/>
      <c r="E600" s="4"/>
      <c r="F600" s="4" t="s">
        <v>2004</v>
      </c>
      <c r="G600" s="4"/>
      <c r="H600" s="4"/>
      <c r="I600" s="4" t="s">
        <v>2005</v>
      </c>
      <c r="J600" s="4" t="s">
        <v>2006</v>
      </c>
      <c r="K600" s="4"/>
      <c r="L600" s="4"/>
      <c r="M600" s="4"/>
      <c r="N600" s="4"/>
      <c r="O600" s="4"/>
      <c r="P600" s="4"/>
      <c r="Q600" s="4"/>
      <c r="R600" s="4"/>
      <c r="S600" s="4"/>
      <c r="T600" s="4" t="s">
        <v>2007</v>
      </c>
      <c r="U600" s="4"/>
      <c r="V600" s="4"/>
      <c r="W600" s="4"/>
      <c r="X600" s="4"/>
      <c r="Y600" s="4"/>
      <c r="Z600" s="4"/>
      <c r="AA600" s="4"/>
      <c r="AB600" s="4"/>
      <c r="AC600" s="4"/>
      <c r="AD600" s="4"/>
      <c r="AE600" s="4"/>
      <c r="AF600" s="4"/>
      <c r="AG600" s="4"/>
      <c r="AH600" s="4"/>
      <c r="AI600" s="4"/>
      <c r="AJ600" s="4"/>
      <c r="AK600" s="4"/>
      <c r="AL600" s="4"/>
      <c r="AM600" s="4" t="s">
        <v>2008</v>
      </c>
      <c r="AN600" s="4"/>
      <c r="AO600" s="4"/>
      <c r="AP600" s="4"/>
      <c r="AQ600" s="4"/>
      <c r="AR600" s="4" t="s">
        <v>279</v>
      </c>
      <c r="AS600" s="4">
        <v>2015</v>
      </c>
      <c r="AT600" s="4">
        <v>12</v>
      </c>
      <c r="AU600" s="4">
        <v>2</v>
      </c>
      <c r="AV600" s="4"/>
      <c r="AW600" s="4"/>
      <c r="AX600" s="4"/>
      <c r="AY600" s="4"/>
      <c r="AZ600" s="4">
        <v>21</v>
      </c>
      <c r="BA600" s="4">
        <v>36</v>
      </c>
      <c r="BB600" s="4"/>
      <c r="BC600" s="4"/>
      <c r="BD600" s="4"/>
      <c r="BE600" s="4"/>
      <c r="BF600" s="4"/>
      <c r="BG600" s="4"/>
      <c r="BH600" s="4"/>
      <c r="BI600" s="4"/>
      <c r="BJ600" s="4" t="s">
        <v>2009</v>
      </c>
      <c r="BK600" s="4"/>
      <c r="BL600" s="4"/>
      <c r="BM600" s="4"/>
      <c r="BN600" s="4"/>
      <c r="BO600" s="4"/>
      <c r="BP600" s="4"/>
      <c r="BQ600" s="4"/>
      <c r="BR600" s="4"/>
      <c r="BS600" s="4"/>
      <c r="BT600" s="4"/>
      <c r="BU600" s="12" t="s">
        <v>7347</v>
      </c>
      <c r="BV600" s="12" t="s">
        <v>7188</v>
      </c>
      <c r="BW600" s="12" t="s">
        <v>7189</v>
      </c>
    </row>
    <row r="601" spans="1:75" ht="12.75" customHeight="1">
      <c r="A601" s="3" t="s">
        <v>63</v>
      </c>
      <c r="B601" s="3" t="s">
        <v>6388</v>
      </c>
      <c r="C601" s="3"/>
      <c r="D601" s="3"/>
      <c r="E601" s="3"/>
      <c r="F601" s="3" t="s">
        <v>6389</v>
      </c>
      <c r="G601" s="3"/>
      <c r="H601" s="3"/>
      <c r="I601" s="3" t="s">
        <v>6390</v>
      </c>
      <c r="J601" s="3" t="s">
        <v>6391</v>
      </c>
      <c r="K601" s="3"/>
      <c r="L601" s="3"/>
      <c r="M601" s="3"/>
      <c r="N601" s="3"/>
      <c r="O601" s="3"/>
      <c r="P601" s="3"/>
      <c r="Q601" s="3"/>
      <c r="R601" s="3"/>
      <c r="S601" s="3"/>
      <c r="T601" s="3" t="s">
        <v>6392</v>
      </c>
      <c r="U601" s="3"/>
      <c r="V601" s="3"/>
      <c r="W601" s="3"/>
      <c r="X601" s="3"/>
      <c r="Y601" s="3" t="s">
        <v>6393</v>
      </c>
      <c r="Z601" s="3" t="s">
        <v>6394</v>
      </c>
      <c r="AA601" s="3"/>
      <c r="AB601" s="3"/>
      <c r="AC601" s="3"/>
      <c r="AD601" s="3"/>
      <c r="AE601" s="3"/>
      <c r="AF601" s="3"/>
      <c r="AG601" s="3"/>
      <c r="AH601" s="3"/>
      <c r="AI601" s="3"/>
      <c r="AJ601" s="3"/>
      <c r="AK601" s="3"/>
      <c r="AL601" s="3"/>
      <c r="AM601" s="3"/>
      <c r="AN601" s="3" t="s">
        <v>6395</v>
      </c>
      <c r="AO601" s="3"/>
      <c r="AP601" s="3"/>
      <c r="AQ601" s="3"/>
      <c r="AR601" s="3" t="s">
        <v>92</v>
      </c>
      <c r="AS601" s="3">
        <v>2023</v>
      </c>
      <c r="AT601" s="3">
        <v>11</v>
      </c>
      <c r="AU601" s="3">
        <v>10</v>
      </c>
      <c r="AV601" s="3"/>
      <c r="AW601" s="3"/>
      <c r="AX601" s="3"/>
      <c r="AY601" s="3"/>
      <c r="AZ601" s="3"/>
      <c r="BA601" s="3"/>
      <c r="BB601" s="3">
        <v>2503</v>
      </c>
      <c r="BC601" s="3" t="s">
        <v>6396</v>
      </c>
      <c r="BD601" s="15" t="str">
        <f>HYPERLINK("http://dx.doi.org/10.3390/microorganisms11102503","http://dx.doi.org/10.3390/microorganisms11102503")</f>
        <v>http://dx.doi.org/10.3390/microorganisms11102503</v>
      </c>
      <c r="BE601" s="3"/>
      <c r="BF601" s="3"/>
      <c r="BG601" s="3"/>
      <c r="BH601" s="3"/>
      <c r="BI601" s="3">
        <v>37894161</v>
      </c>
      <c r="BJ601" s="3" t="s">
        <v>6397</v>
      </c>
      <c r="BK601" s="3"/>
      <c r="BL601" s="3"/>
      <c r="BM601" s="3"/>
      <c r="BN601" s="3"/>
      <c r="BO601" s="3"/>
      <c r="BP601" s="3"/>
      <c r="BQ601" s="3"/>
      <c r="BR601" s="3"/>
      <c r="BS601" s="3"/>
      <c r="BT601" s="3"/>
      <c r="BU601" s="1" t="s">
        <v>7306</v>
      </c>
      <c r="BV601" s="10" t="s">
        <v>7188</v>
      </c>
      <c r="BW601" s="10" t="s">
        <v>7189</v>
      </c>
    </row>
    <row r="602" spans="1:75" ht="12.75" customHeight="1">
      <c r="A602" s="4" t="s">
        <v>201</v>
      </c>
      <c r="B602" s="4" t="s">
        <v>1245</v>
      </c>
      <c r="C602" s="4"/>
      <c r="D602" s="4" t="s">
        <v>1246</v>
      </c>
      <c r="E602" s="4"/>
      <c r="F602" s="4" t="s">
        <v>1247</v>
      </c>
      <c r="G602" s="4"/>
      <c r="H602" s="4"/>
      <c r="I602" s="4" t="s">
        <v>1248</v>
      </c>
      <c r="J602" s="4" t="s">
        <v>1249</v>
      </c>
      <c r="K602" s="4" t="s">
        <v>923</v>
      </c>
      <c r="L602" s="4"/>
      <c r="M602" s="4"/>
      <c r="N602" s="4" t="s">
        <v>1250</v>
      </c>
      <c r="O602" s="4" t="s">
        <v>1251</v>
      </c>
      <c r="P602" s="4" t="s">
        <v>926</v>
      </c>
      <c r="Q602" s="4"/>
      <c r="R602" s="4"/>
      <c r="S602" s="4"/>
      <c r="T602" s="4" t="s">
        <v>1252</v>
      </c>
      <c r="U602" s="4"/>
      <c r="V602" s="4"/>
      <c r="W602" s="4"/>
      <c r="X602" s="4"/>
      <c r="Y602" s="4"/>
      <c r="Z602" s="4"/>
      <c r="AA602" s="4"/>
      <c r="AB602" s="4"/>
      <c r="AC602" s="4"/>
      <c r="AD602" s="4"/>
      <c r="AE602" s="4"/>
      <c r="AF602" s="4"/>
      <c r="AG602" s="4"/>
      <c r="AH602" s="4"/>
      <c r="AI602" s="4"/>
      <c r="AJ602" s="4"/>
      <c r="AK602" s="4"/>
      <c r="AL602" s="4"/>
      <c r="AM602" s="4" t="s">
        <v>928</v>
      </c>
      <c r="AN602" s="4"/>
      <c r="AO602" s="4" t="s">
        <v>1253</v>
      </c>
      <c r="AP602" s="4"/>
      <c r="AQ602" s="4"/>
      <c r="AR602" s="4"/>
      <c r="AS602" s="4">
        <v>2013</v>
      </c>
      <c r="AT602" s="4">
        <v>987</v>
      </c>
      <c r="AU602" s="4"/>
      <c r="AV602" s="4"/>
      <c r="AW602" s="4"/>
      <c r="AX602" s="4"/>
      <c r="AY602" s="4"/>
      <c r="AZ602" s="4">
        <v>45</v>
      </c>
      <c r="BA602" s="4">
        <v>47</v>
      </c>
      <c r="BB602" s="4"/>
      <c r="BC602" s="4"/>
      <c r="BD602" s="4"/>
      <c r="BE602" s="4"/>
      <c r="BF602" s="4"/>
      <c r="BG602" s="4"/>
      <c r="BH602" s="4"/>
      <c r="BI602" s="4"/>
      <c r="BJ602" s="4" t="s">
        <v>1254</v>
      </c>
      <c r="BK602" s="4"/>
      <c r="BL602" s="4"/>
      <c r="BM602" s="4"/>
      <c r="BN602" s="4"/>
      <c r="BO602" s="4"/>
      <c r="BP602" s="4"/>
      <c r="BQ602" s="4"/>
      <c r="BR602" s="4"/>
      <c r="BS602" s="4"/>
      <c r="BT602" s="4"/>
      <c r="BU602" s="12" t="s">
        <v>7347</v>
      </c>
      <c r="BV602" s="12" t="s">
        <v>7188</v>
      </c>
      <c r="BW602" s="12" t="s">
        <v>7189</v>
      </c>
    </row>
    <row r="603" spans="1:75" ht="12.75" customHeight="1">
      <c r="A603" s="4" t="s">
        <v>63</v>
      </c>
      <c r="B603" s="4" t="s">
        <v>693</v>
      </c>
      <c r="C603" s="4"/>
      <c r="D603" s="4"/>
      <c r="E603" s="4"/>
      <c r="F603" s="4" t="s">
        <v>694</v>
      </c>
      <c r="G603" s="4"/>
      <c r="H603" s="4"/>
      <c r="I603" s="4" t="s">
        <v>695</v>
      </c>
      <c r="J603" s="4" t="s">
        <v>696</v>
      </c>
      <c r="K603" s="4"/>
      <c r="L603" s="4"/>
      <c r="M603" s="4"/>
      <c r="N603" s="4"/>
      <c r="O603" s="4"/>
      <c r="P603" s="4"/>
      <c r="Q603" s="4"/>
      <c r="R603" s="4"/>
      <c r="S603" s="4"/>
      <c r="T603" s="4" t="s">
        <v>697</v>
      </c>
      <c r="U603" s="4"/>
      <c r="V603" s="4"/>
      <c r="W603" s="4"/>
      <c r="X603" s="4"/>
      <c r="Y603" s="4"/>
      <c r="Z603" s="4"/>
      <c r="AA603" s="4"/>
      <c r="AB603" s="4"/>
      <c r="AC603" s="4"/>
      <c r="AD603" s="4"/>
      <c r="AE603" s="4"/>
      <c r="AF603" s="4"/>
      <c r="AG603" s="4"/>
      <c r="AH603" s="4"/>
      <c r="AI603" s="4"/>
      <c r="AJ603" s="4"/>
      <c r="AK603" s="4"/>
      <c r="AL603" s="4"/>
      <c r="AM603" s="4" t="s">
        <v>698</v>
      </c>
      <c r="AN603" s="4"/>
      <c r="AO603" s="4"/>
      <c r="AP603" s="4"/>
      <c r="AQ603" s="4"/>
      <c r="AR603" s="4" t="s">
        <v>64</v>
      </c>
      <c r="AS603" s="4">
        <v>2011</v>
      </c>
      <c r="AT603" s="4">
        <v>30</v>
      </c>
      <c r="AU603" s="4">
        <v>11</v>
      </c>
      <c r="AV603" s="4"/>
      <c r="AW603" s="4"/>
      <c r="AX603" s="4"/>
      <c r="AY603" s="4"/>
      <c r="AZ603" s="4">
        <v>2042</v>
      </c>
      <c r="BA603" s="4">
        <v>2051</v>
      </c>
      <c r="BB603" s="4"/>
      <c r="BC603" s="4" t="s">
        <v>699</v>
      </c>
      <c r="BD603" s="5" t="str">
        <f>HYPERLINK("http://dx.doi.org/10.1377/hlthaff.2011.0838","http://dx.doi.org/10.1377/hlthaff.2011.0838")</f>
        <v>http://dx.doi.org/10.1377/hlthaff.2011.0838</v>
      </c>
      <c r="BE603" s="4"/>
      <c r="BF603" s="4"/>
      <c r="BG603" s="4"/>
      <c r="BH603" s="4"/>
      <c r="BI603" s="4">
        <v>22068394</v>
      </c>
      <c r="BJ603" s="4" t="s">
        <v>700</v>
      </c>
      <c r="BK603" s="4"/>
      <c r="BL603" s="4"/>
      <c r="BM603" s="4"/>
      <c r="BN603" s="4"/>
      <c r="BO603" s="4"/>
      <c r="BP603" s="4"/>
      <c r="BQ603" s="4"/>
      <c r="BR603" s="4"/>
      <c r="BS603" s="4"/>
      <c r="BT603" s="4"/>
      <c r="BU603" s="12" t="s">
        <v>7343</v>
      </c>
      <c r="BV603" s="12" t="s">
        <v>7188</v>
      </c>
      <c r="BW603" s="12" t="s">
        <v>7189</v>
      </c>
    </row>
    <row r="604" spans="1:75" ht="12.75" customHeight="1">
      <c r="A604" s="3" t="s">
        <v>63</v>
      </c>
      <c r="B604" s="3" t="s">
        <v>3087</v>
      </c>
      <c r="C604" s="3"/>
      <c r="D604" s="3"/>
      <c r="E604" s="3"/>
      <c r="F604" s="3" t="s">
        <v>3088</v>
      </c>
      <c r="G604" s="3"/>
      <c r="H604" s="3"/>
      <c r="I604" s="3" t="s">
        <v>3089</v>
      </c>
      <c r="J604" s="3" t="s">
        <v>3090</v>
      </c>
      <c r="K604" s="3"/>
      <c r="L604" s="3"/>
      <c r="M604" s="3"/>
      <c r="N604" s="3"/>
      <c r="O604" s="3"/>
      <c r="P604" s="3"/>
      <c r="Q604" s="3"/>
      <c r="R604" s="3"/>
      <c r="S604" s="3"/>
      <c r="T604" s="3" t="s">
        <v>3091</v>
      </c>
      <c r="U604" s="3"/>
      <c r="V604" s="3"/>
      <c r="W604" s="3"/>
      <c r="X604" s="3"/>
      <c r="Y604" s="3"/>
      <c r="Z604" s="3" t="s">
        <v>3092</v>
      </c>
      <c r="AA604" s="3"/>
      <c r="AB604" s="3"/>
      <c r="AC604" s="3"/>
      <c r="AD604" s="3"/>
      <c r="AE604" s="3"/>
      <c r="AF604" s="3"/>
      <c r="AG604" s="3"/>
      <c r="AH604" s="3"/>
      <c r="AI604" s="3"/>
      <c r="AJ604" s="3"/>
      <c r="AK604" s="3"/>
      <c r="AL604" s="3"/>
      <c r="AM604" s="3" t="s">
        <v>3093</v>
      </c>
      <c r="AN604" s="3" t="s">
        <v>3094</v>
      </c>
      <c r="AO604" s="3"/>
      <c r="AP604" s="3"/>
      <c r="AQ604" s="3"/>
      <c r="AR604" s="3" t="s">
        <v>65</v>
      </c>
      <c r="AS604" s="3">
        <v>2017</v>
      </c>
      <c r="AT604" s="3">
        <v>75</v>
      </c>
      <c r="AU604" s="3">
        <v>12</v>
      </c>
      <c r="AV604" s="3"/>
      <c r="AW604" s="3"/>
      <c r="AX604" s="3"/>
      <c r="AY604" s="3"/>
      <c r="AZ604" s="3">
        <v>971</v>
      </c>
      <c r="BA604" s="3">
        <v>989</v>
      </c>
      <c r="BB604" s="3"/>
      <c r="BC604" s="3" t="s">
        <v>3095</v>
      </c>
      <c r="BD604" s="15" t="str">
        <f>HYPERLINK("http://dx.doi.org/10.1093/nutrit/nux051","http://dx.doi.org/10.1093/nutrit/nux051")</f>
        <v>http://dx.doi.org/10.1093/nutrit/nux051</v>
      </c>
      <c r="BE604" s="3"/>
      <c r="BF604" s="3"/>
      <c r="BG604" s="3"/>
      <c r="BH604" s="3"/>
      <c r="BI604" s="3">
        <v>29190370</v>
      </c>
      <c r="BJ604" s="3" t="s">
        <v>3096</v>
      </c>
      <c r="BK604" s="3"/>
      <c r="BL604" s="3"/>
      <c r="BM604" s="3"/>
      <c r="BN604" s="3"/>
      <c r="BO604" s="3"/>
      <c r="BP604" s="3"/>
      <c r="BQ604" s="3"/>
      <c r="BR604" s="3"/>
      <c r="BS604" s="3"/>
      <c r="BT604" s="3"/>
      <c r="BU604" s="1" t="s">
        <v>7444</v>
      </c>
      <c r="BV604" s="10" t="s">
        <v>7188</v>
      </c>
      <c r="BW604" s="10" t="s">
        <v>7189</v>
      </c>
    </row>
    <row r="605" spans="1:75" ht="12.75" customHeight="1">
      <c r="A605" s="4" t="s">
        <v>63</v>
      </c>
      <c r="B605" s="4" t="s">
        <v>6975</v>
      </c>
      <c r="C605" s="4"/>
      <c r="D605" s="4"/>
      <c r="E605" s="4"/>
      <c r="F605" s="4" t="s">
        <v>6976</v>
      </c>
      <c r="G605" s="4"/>
      <c r="H605" s="4"/>
      <c r="I605" s="4" t="s">
        <v>6977</v>
      </c>
      <c r="J605" s="4" t="s">
        <v>1558</v>
      </c>
      <c r="K605" s="4"/>
      <c r="L605" s="4"/>
      <c r="M605" s="4"/>
      <c r="N605" s="4"/>
      <c r="O605" s="4"/>
      <c r="P605" s="4"/>
      <c r="Q605" s="4"/>
      <c r="R605" s="4"/>
      <c r="S605" s="4"/>
      <c r="T605" s="4" t="s">
        <v>6978</v>
      </c>
      <c r="U605" s="4"/>
      <c r="V605" s="4"/>
      <c r="W605" s="4"/>
      <c r="X605" s="4"/>
      <c r="Y605" s="4"/>
      <c r="Z605" s="4"/>
      <c r="AA605" s="4"/>
      <c r="AB605" s="4"/>
      <c r="AC605" s="4"/>
      <c r="AD605" s="4"/>
      <c r="AE605" s="4"/>
      <c r="AF605" s="4"/>
      <c r="AG605" s="4"/>
      <c r="AH605" s="4"/>
      <c r="AI605" s="4"/>
      <c r="AJ605" s="4"/>
      <c r="AK605" s="4"/>
      <c r="AL605" s="4"/>
      <c r="AM605" s="4" t="s">
        <v>1559</v>
      </c>
      <c r="AN605" s="4" t="s">
        <v>1560</v>
      </c>
      <c r="AO605" s="4"/>
      <c r="AP605" s="4"/>
      <c r="AQ605" s="4"/>
      <c r="AR605" s="4" t="s">
        <v>6979</v>
      </c>
      <c r="AS605" s="4">
        <v>2024</v>
      </c>
      <c r="AT605" s="4">
        <v>63</v>
      </c>
      <c r="AU605" s="4">
        <v>5</v>
      </c>
      <c r="AV605" s="4"/>
      <c r="AW605" s="4"/>
      <c r="AX605" s="4"/>
      <c r="AY605" s="4"/>
      <c r="AZ605" s="4">
        <v>564</v>
      </c>
      <c r="BA605" s="4">
        <v>584</v>
      </c>
      <c r="BB605" s="4"/>
      <c r="BC605" s="4" t="s">
        <v>6980</v>
      </c>
      <c r="BD605" s="5" t="str">
        <f>HYPERLINK("http://dx.doi.org/10.1080/03670244.2024.2387339","http://dx.doi.org/10.1080/03670244.2024.2387339")</f>
        <v>http://dx.doi.org/10.1080/03670244.2024.2387339</v>
      </c>
      <c r="BE605" s="4"/>
      <c r="BF605" s="4" t="s">
        <v>6901</v>
      </c>
      <c r="BG605" s="4"/>
      <c r="BH605" s="4"/>
      <c r="BI605" s="4">
        <v>39097942</v>
      </c>
      <c r="BJ605" s="4" t="s">
        <v>6981</v>
      </c>
      <c r="BK605" s="4"/>
      <c r="BL605" s="4"/>
      <c r="BM605" s="4"/>
      <c r="BN605" s="4"/>
      <c r="BO605" s="4"/>
      <c r="BP605" s="4"/>
      <c r="BQ605" s="4"/>
      <c r="BR605" s="4"/>
      <c r="BS605" s="4"/>
      <c r="BT605" s="4"/>
      <c r="BU605" s="12" t="s">
        <v>7193</v>
      </c>
      <c r="BV605" s="12" t="s">
        <v>7188</v>
      </c>
      <c r="BW605" s="12" t="s">
        <v>7189</v>
      </c>
    </row>
    <row r="606" spans="1:75" ht="12.75" customHeight="1">
      <c r="A606" s="3" t="s">
        <v>63</v>
      </c>
      <c r="B606" s="3" t="s">
        <v>3097</v>
      </c>
      <c r="C606" s="3"/>
      <c r="D606" s="3"/>
      <c r="E606" s="3"/>
      <c r="F606" s="3" t="s">
        <v>3098</v>
      </c>
      <c r="G606" s="3"/>
      <c r="H606" s="3"/>
      <c r="I606" s="3" t="s">
        <v>3099</v>
      </c>
      <c r="J606" s="3" t="s">
        <v>380</v>
      </c>
      <c r="K606" s="3"/>
      <c r="L606" s="3"/>
      <c r="M606" s="3"/>
      <c r="N606" s="3"/>
      <c r="O606" s="3"/>
      <c r="P606" s="3"/>
      <c r="Q606" s="3"/>
      <c r="R606" s="3"/>
      <c r="S606" s="3"/>
      <c r="T606" s="3" t="s">
        <v>3100</v>
      </c>
      <c r="U606" s="3"/>
      <c r="V606" s="3"/>
      <c r="W606" s="3"/>
      <c r="X606" s="3"/>
      <c r="Y606" s="3" t="s">
        <v>3101</v>
      </c>
      <c r="Z606" s="3" t="s">
        <v>3102</v>
      </c>
      <c r="AA606" s="3"/>
      <c r="AB606" s="3"/>
      <c r="AC606" s="3"/>
      <c r="AD606" s="3"/>
      <c r="AE606" s="3"/>
      <c r="AF606" s="3"/>
      <c r="AG606" s="3"/>
      <c r="AH606" s="3"/>
      <c r="AI606" s="3"/>
      <c r="AJ606" s="3"/>
      <c r="AK606" s="3"/>
      <c r="AL606" s="3"/>
      <c r="AM606" s="3" t="s">
        <v>382</v>
      </c>
      <c r="AN606" s="3" t="s">
        <v>383</v>
      </c>
      <c r="AO606" s="3"/>
      <c r="AP606" s="3"/>
      <c r="AQ606" s="3"/>
      <c r="AR606" s="3" t="s">
        <v>82</v>
      </c>
      <c r="AS606" s="3">
        <v>2017</v>
      </c>
      <c r="AT606" s="3">
        <v>44</v>
      </c>
      <c r="AU606" s="3"/>
      <c r="AV606" s="3"/>
      <c r="AW606" s="3"/>
      <c r="AX606" s="3"/>
      <c r="AY606" s="3"/>
      <c r="AZ606" s="3">
        <v>1</v>
      </c>
      <c r="BA606" s="3">
        <v>7</v>
      </c>
      <c r="BB606" s="3"/>
      <c r="BC606" s="3" t="s">
        <v>3103</v>
      </c>
      <c r="BD606" s="15" t="str">
        <f>HYPERLINK("http://dx.doi.org/10.1016/j.healthplace.2016.12.005","http://dx.doi.org/10.1016/j.healthplace.2016.12.005")</f>
        <v>http://dx.doi.org/10.1016/j.healthplace.2016.12.005</v>
      </c>
      <c r="BE606" s="3"/>
      <c r="BF606" s="3"/>
      <c r="BG606" s="3"/>
      <c r="BH606" s="3"/>
      <c r="BI606" s="3">
        <v>28088114</v>
      </c>
      <c r="BJ606" s="3" t="s">
        <v>3104</v>
      </c>
      <c r="BK606" s="3"/>
      <c r="BL606" s="3"/>
      <c r="BM606" s="3"/>
      <c r="BN606" s="3"/>
      <c r="BO606" s="3"/>
      <c r="BP606" s="3"/>
      <c r="BQ606" s="3"/>
      <c r="BR606" s="3"/>
      <c r="BS606" s="3"/>
      <c r="BT606" s="3"/>
      <c r="BU606" s="1" t="s">
        <v>7445</v>
      </c>
      <c r="BV606" s="10" t="s">
        <v>7188</v>
      </c>
      <c r="BW606" s="10" t="s">
        <v>7189</v>
      </c>
    </row>
    <row r="607" spans="1:75" ht="12.75" customHeight="1">
      <c r="A607" s="4" t="s">
        <v>63</v>
      </c>
      <c r="B607" s="4" t="s">
        <v>5132</v>
      </c>
      <c r="C607" s="4"/>
      <c r="D607" s="4"/>
      <c r="E607" s="4"/>
      <c r="F607" s="4" t="s">
        <v>5133</v>
      </c>
      <c r="G607" s="4"/>
      <c r="H607" s="4"/>
      <c r="I607" s="4" t="s">
        <v>5134</v>
      </c>
      <c r="J607" s="4" t="s">
        <v>87</v>
      </c>
      <c r="K607" s="4"/>
      <c r="L607" s="4"/>
      <c r="M607" s="4"/>
      <c r="N607" s="4"/>
      <c r="O607" s="4"/>
      <c r="P607" s="4"/>
      <c r="Q607" s="4"/>
      <c r="R607" s="4"/>
      <c r="S607" s="4"/>
      <c r="T607" s="4" t="s">
        <v>5135</v>
      </c>
      <c r="U607" s="4"/>
      <c r="V607" s="4"/>
      <c r="W607" s="4"/>
      <c r="X607" s="4"/>
      <c r="Y607" s="4"/>
      <c r="Z607" s="4" t="s">
        <v>5136</v>
      </c>
      <c r="AA607" s="4"/>
      <c r="AB607" s="4"/>
      <c r="AC607" s="4"/>
      <c r="AD607" s="4"/>
      <c r="AE607" s="4"/>
      <c r="AF607" s="4"/>
      <c r="AG607" s="4"/>
      <c r="AH607" s="4"/>
      <c r="AI607" s="4"/>
      <c r="AJ607" s="4"/>
      <c r="AK607" s="4"/>
      <c r="AL607" s="4"/>
      <c r="AM607" s="4" t="s">
        <v>91</v>
      </c>
      <c r="AN607" s="4" t="s">
        <v>113</v>
      </c>
      <c r="AO607" s="4"/>
      <c r="AP607" s="4"/>
      <c r="AQ607" s="4"/>
      <c r="AR607" s="4" t="s">
        <v>92</v>
      </c>
      <c r="AS607" s="4">
        <v>2021</v>
      </c>
      <c r="AT607" s="4">
        <v>58</v>
      </c>
      <c r="AU607" s="4">
        <v>13</v>
      </c>
      <c r="AV607" s="4"/>
      <c r="AW607" s="4"/>
      <c r="AX607" s="4"/>
      <c r="AY607" s="4"/>
      <c r="AZ607" s="4">
        <v>2703</v>
      </c>
      <c r="BA607" s="4">
        <v>2720</v>
      </c>
      <c r="BB607" s="4">
        <v>42098020963849</v>
      </c>
      <c r="BC607" s="4" t="s">
        <v>5137</v>
      </c>
      <c r="BD607" s="5" t="str">
        <f>HYPERLINK("http://dx.doi.org/10.1177/0042098020963849","http://dx.doi.org/10.1177/0042098020963849")</f>
        <v>http://dx.doi.org/10.1177/0042098020963849</v>
      </c>
      <c r="BE607" s="4"/>
      <c r="BF607" s="4" t="s">
        <v>5138</v>
      </c>
      <c r="BG607" s="4"/>
      <c r="BH607" s="4"/>
      <c r="BI607" s="4"/>
      <c r="BJ607" s="4" t="s">
        <v>5139</v>
      </c>
      <c r="BK607" s="4"/>
      <c r="BL607" s="4"/>
      <c r="BM607" s="4"/>
      <c r="BN607" s="4"/>
      <c r="BO607" s="4"/>
      <c r="BP607" s="4"/>
      <c r="BQ607" s="4"/>
      <c r="BR607" s="4"/>
      <c r="BS607" s="4"/>
      <c r="BT607" s="4"/>
      <c r="BU607" s="12" t="s">
        <v>7446</v>
      </c>
      <c r="BV607" s="12" t="s">
        <v>7447</v>
      </c>
      <c r="BW607" s="12" t="s">
        <v>7228</v>
      </c>
    </row>
    <row r="608" spans="1:75" ht="12.75" customHeight="1">
      <c r="A608" s="3" t="s">
        <v>63</v>
      </c>
      <c r="B608" s="3" t="s">
        <v>1375</v>
      </c>
      <c r="C608" s="3"/>
      <c r="D608" s="3"/>
      <c r="E608" s="3"/>
      <c r="F608" s="3" t="s">
        <v>1376</v>
      </c>
      <c r="G608" s="3"/>
      <c r="H608" s="3"/>
      <c r="I608" s="3" t="s">
        <v>5140</v>
      </c>
      <c r="J608" s="3" t="s">
        <v>2251</v>
      </c>
      <c r="K608" s="3"/>
      <c r="L608" s="3"/>
      <c r="M608" s="3"/>
      <c r="N608" s="3"/>
      <c r="O608" s="3"/>
      <c r="P608" s="3"/>
      <c r="Q608" s="3"/>
      <c r="R608" s="3"/>
      <c r="S608" s="3"/>
      <c r="T608" s="3" t="s">
        <v>5141</v>
      </c>
      <c r="U608" s="3"/>
      <c r="V608" s="3"/>
      <c r="W608" s="3"/>
      <c r="X608" s="3"/>
      <c r="Y608" s="3"/>
      <c r="Z608" s="3"/>
      <c r="AA608" s="3"/>
      <c r="AB608" s="3"/>
      <c r="AC608" s="3"/>
      <c r="AD608" s="3"/>
      <c r="AE608" s="3"/>
      <c r="AF608" s="3"/>
      <c r="AG608" s="3"/>
      <c r="AH608" s="3"/>
      <c r="AI608" s="3"/>
      <c r="AJ608" s="3"/>
      <c r="AK608" s="3"/>
      <c r="AL608" s="3"/>
      <c r="AM608" s="3" t="s">
        <v>2253</v>
      </c>
      <c r="AN608" s="3" t="s">
        <v>2254</v>
      </c>
      <c r="AO608" s="3"/>
      <c r="AP608" s="3"/>
      <c r="AQ608" s="3"/>
      <c r="AR608" s="3" t="s">
        <v>5142</v>
      </c>
      <c r="AS608" s="3">
        <v>2021</v>
      </c>
      <c r="AT608" s="3">
        <v>111</v>
      </c>
      <c r="AU608" s="3">
        <v>4</v>
      </c>
      <c r="AV608" s="3"/>
      <c r="AW608" s="3"/>
      <c r="AX608" s="3"/>
      <c r="AY608" s="3"/>
      <c r="AZ608" s="3">
        <v>1200</v>
      </c>
      <c r="BA608" s="3">
        <v>1218</v>
      </c>
      <c r="BB608" s="3"/>
      <c r="BC608" s="3" t="s">
        <v>5143</v>
      </c>
      <c r="BD608" s="15" t="str">
        <f>HYPERLINK("http://dx.doi.org/10.1080/24694452.2020.1775544","http://dx.doi.org/10.1080/24694452.2020.1775544")</f>
        <v>http://dx.doi.org/10.1080/24694452.2020.1775544</v>
      </c>
      <c r="BE608" s="3"/>
      <c r="BF608" s="3" t="s">
        <v>4647</v>
      </c>
      <c r="BG608" s="3"/>
      <c r="BH608" s="3"/>
      <c r="BI608" s="3"/>
      <c r="BJ608" s="3" t="s">
        <v>5144</v>
      </c>
      <c r="BK608" s="3"/>
      <c r="BL608" s="3"/>
      <c r="BM608" s="3"/>
      <c r="BN608" s="3"/>
      <c r="BO608" s="3"/>
      <c r="BP608" s="3"/>
      <c r="BQ608" s="3"/>
      <c r="BR608" s="3"/>
      <c r="BS608" s="3"/>
      <c r="BT608" s="3"/>
      <c r="BU608" s="2" t="s">
        <v>7193</v>
      </c>
      <c r="BV608" s="10" t="s">
        <v>7188</v>
      </c>
      <c r="BW608" s="10" t="s">
        <v>7189</v>
      </c>
    </row>
    <row r="609" spans="1:75" ht="12.75" customHeight="1">
      <c r="A609" s="3" t="s">
        <v>63</v>
      </c>
      <c r="B609" s="3" t="s">
        <v>2529</v>
      </c>
      <c r="C609" s="3"/>
      <c r="D609" s="3"/>
      <c r="E609" s="3"/>
      <c r="F609" s="3" t="s">
        <v>2530</v>
      </c>
      <c r="G609" s="3"/>
      <c r="H609" s="3"/>
      <c r="I609" s="3" t="s">
        <v>2531</v>
      </c>
      <c r="J609" s="3" t="s">
        <v>2442</v>
      </c>
      <c r="K609" s="3"/>
      <c r="L609" s="3"/>
      <c r="M609" s="3"/>
      <c r="N609" s="3" t="s">
        <v>2532</v>
      </c>
      <c r="O609" s="3" t="s">
        <v>1090</v>
      </c>
      <c r="P609" s="3" t="s">
        <v>2533</v>
      </c>
      <c r="Q609" s="3"/>
      <c r="R609" s="3"/>
      <c r="S609" s="3"/>
      <c r="T609" s="3"/>
      <c r="U609" s="3"/>
      <c r="V609" s="3"/>
      <c r="W609" s="3"/>
      <c r="X609" s="3"/>
      <c r="Y609" s="3" t="s">
        <v>2534</v>
      </c>
      <c r="Z609" s="3" t="s">
        <v>2535</v>
      </c>
      <c r="AA609" s="3"/>
      <c r="AB609" s="3"/>
      <c r="AC609" s="3"/>
      <c r="AD609" s="3"/>
      <c r="AE609" s="3"/>
      <c r="AF609" s="3"/>
      <c r="AG609" s="3"/>
      <c r="AH609" s="3"/>
      <c r="AI609" s="3"/>
      <c r="AJ609" s="3"/>
      <c r="AK609" s="3"/>
      <c r="AL609" s="3"/>
      <c r="AM609" s="3" t="s">
        <v>2445</v>
      </c>
      <c r="AN609" s="3" t="s">
        <v>2446</v>
      </c>
      <c r="AO609" s="3"/>
      <c r="AP609" s="3"/>
      <c r="AQ609" s="3"/>
      <c r="AR609" s="3" t="s">
        <v>2447</v>
      </c>
      <c r="AS609" s="3">
        <v>2016</v>
      </c>
      <c r="AT609" s="3">
        <v>134</v>
      </c>
      <c r="AU609" s="3"/>
      <c r="AV609" s="3"/>
      <c r="AW609" s="3">
        <v>1</v>
      </c>
      <c r="AX609" s="3"/>
      <c r="AY609" s="3">
        <v>18796</v>
      </c>
      <c r="AZ609" s="3"/>
      <c r="BA609" s="3"/>
      <c r="BB609" s="3"/>
      <c r="BC609" s="3"/>
      <c r="BD609" s="3"/>
      <c r="BE609" s="3"/>
      <c r="BF609" s="3"/>
      <c r="BG609" s="3"/>
      <c r="BH609" s="3"/>
      <c r="BI609" s="3"/>
      <c r="BJ609" s="3" t="s">
        <v>2536</v>
      </c>
      <c r="BK609" s="3"/>
      <c r="BL609" s="3"/>
      <c r="BM609" s="3"/>
      <c r="BN609" s="3"/>
      <c r="BO609" s="3"/>
      <c r="BP609" s="3"/>
      <c r="BQ609" s="3"/>
      <c r="BR609" s="3"/>
      <c r="BS609" s="3"/>
      <c r="BT609" s="3"/>
      <c r="BU609" s="2" t="s">
        <v>7193</v>
      </c>
      <c r="BV609" s="10" t="s">
        <v>7188</v>
      </c>
      <c r="BW609" s="10" t="s">
        <v>7189</v>
      </c>
    </row>
    <row r="610" spans="1:75" ht="12.75" customHeight="1">
      <c r="A610" s="3" t="s">
        <v>63</v>
      </c>
      <c r="B610" s="3" t="s">
        <v>2537</v>
      </c>
      <c r="C610" s="3"/>
      <c r="D610" s="3"/>
      <c r="E610" s="3"/>
      <c r="F610" s="3" t="s">
        <v>2538</v>
      </c>
      <c r="G610" s="3"/>
      <c r="H610" s="3"/>
      <c r="I610" s="3" t="s">
        <v>2539</v>
      </c>
      <c r="J610" s="3" t="s">
        <v>2540</v>
      </c>
      <c r="K610" s="3"/>
      <c r="L610" s="3"/>
      <c r="M610" s="3"/>
      <c r="N610" s="3" t="s">
        <v>2541</v>
      </c>
      <c r="O610" s="3" t="s">
        <v>2542</v>
      </c>
      <c r="P610" s="3" t="s">
        <v>2543</v>
      </c>
      <c r="Q610" s="3"/>
      <c r="R610" s="3"/>
      <c r="S610" s="3"/>
      <c r="T610" s="3"/>
      <c r="U610" s="3"/>
      <c r="V610" s="3"/>
      <c r="W610" s="3"/>
      <c r="X610" s="3"/>
      <c r="Y610" s="3" t="s">
        <v>2544</v>
      </c>
      <c r="Z610" s="3"/>
      <c r="AA610" s="3"/>
      <c r="AB610" s="3"/>
      <c r="AC610" s="3"/>
      <c r="AD610" s="3"/>
      <c r="AE610" s="3"/>
      <c r="AF610" s="3"/>
      <c r="AG610" s="3"/>
      <c r="AH610" s="3"/>
      <c r="AI610" s="3"/>
      <c r="AJ610" s="3"/>
      <c r="AK610" s="3"/>
      <c r="AL610" s="3"/>
      <c r="AM610" s="3" t="s">
        <v>2545</v>
      </c>
      <c r="AN610" s="3" t="s">
        <v>2546</v>
      </c>
      <c r="AO610" s="3"/>
      <c r="AP610" s="3"/>
      <c r="AQ610" s="3"/>
      <c r="AR610" s="3" t="s">
        <v>2547</v>
      </c>
      <c r="AS610" s="3">
        <v>2016</v>
      </c>
      <c r="AT610" s="3">
        <v>67</v>
      </c>
      <c r="AU610" s="3">
        <v>13</v>
      </c>
      <c r="AV610" s="3"/>
      <c r="AW610" s="3" t="s">
        <v>151</v>
      </c>
      <c r="AX610" s="3"/>
      <c r="AY610" s="3" t="s">
        <v>2548</v>
      </c>
      <c r="AZ610" s="3">
        <v>1883</v>
      </c>
      <c r="BA610" s="3">
        <v>1883</v>
      </c>
      <c r="BB610" s="3"/>
      <c r="BC610" s="3" t="s">
        <v>2549</v>
      </c>
      <c r="BD610" s="15" t="str">
        <f>HYPERLINK("http://dx.doi.org/10.1016/S0735-1097(16)31884-8","http://dx.doi.org/10.1016/S0735-1097(16)31884-8")</f>
        <v>http://dx.doi.org/10.1016/S0735-1097(16)31884-8</v>
      </c>
      <c r="BE610" s="3"/>
      <c r="BF610" s="3"/>
      <c r="BG610" s="3"/>
      <c r="BH610" s="3"/>
      <c r="BI610" s="3"/>
      <c r="BJ610" s="3" t="s">
        <v>2550</v>
      </c>
      <c r="BK610" s="3"/>
      <c r="BL610" s="3"/>
      <c r="BM610" s="3"/>
      <c r="BN610" s="3"/>
      <c r="BO610" s="3"/>
      <c r="BP610" s="3"/>
      <c r="BQ610" s="3"/>
      <c r="BR610" s="3"/>
      <c r="BS610" s="3"/>
      <c r="BT610" s="3"/>
      <c r="BU610" s="1" t="s">
        <v>7448</v>
      </c>
      <c r="BV610" s="10" t="s">
        <v>7188</v>
      </c>
      <c r="BW610" s="10" t="s">
        <v>7189</v>
      </c>
    </row>
    <row r="611" spans="1:75" ht="12.75" customHeight="1">
      <c r="A611" s="3" t="s">
        <v>63</v>
      </c>
      <c r="B611" s="3" t="s">
        <v>227</v>
      </c>
      <c r="C611" s="3"/>
      <c r="D611" s="3"/>
      <c r="E611" s="3"/>
      <c r="F611" s="3" t="s">
        <v>228</v>
      </c>
      <c r="G611" s="3"/>
      <c r="H611" s="3"/>
      <c r="I611" s="3" t="s">
        <v>229</v>
      </c>
      <c r="J611" s="3" t="s">
        <v>230</v>
      </c>
      <c r="K611" s="3"/>
      <c r="L611" s="3"/>
      <c r="M611" s="3"/>
      <c r="N611" s="3"/>
      <c r="O611" s="3"/>
      <c r="P611" s="3"/>
      <c r="Q611" s="3"/>
      <c r="R611" s="3"/>
      <c r="S611" s="3"/>
      <c r="T611" s="3" t="s">
        <v>231</v>
      </c>
      <c r="U611" s="3"/>
      <c r="V611" s="3"/>
      <c r="W611" s="3"/>
      <c r="X611" s="3"/>
      <c r="Y611" s="3"/>
      <c r="Z611" s="3"/>
      <c r="AA611" s="3"/>
      <c r="AB611" s="3"/>
      <c r="AC611" s="3"/>
      <c r="AD611" s="3"/>
      <c r="AE611" s="3"/>
      <c r="AF611" s="3"/>
      <c r="AG611" s="3"/>
      <c r="AH611" s="3"/>
      <c r="AI611" s="3"/>
      <c r="AJ611" s="3"/>
      <c r="AK611" s="3"/>
      <c r="AL611" s="3"/>
      <c r="AM611" s="3" t="s">
        <v>232</v>
      </c>
      <c r="AN611" s="3" t="s">
        <v>233</v>
      </c>
      <c r="AO611" s="3"/>
      <c r="AP611" s="3"/>
      <c r="AQ611" s="3"/>
      <c r="AR611" s="3"/>
      <c r="AS611" s="3">
        <v>2006</v>
      </c>
      <c r="AT611" s="3">
        <v>2</v>
      </c>
      <c r="AU611" s="3">
        <v>2</v>
      </c>
      <c r="AV611" s="3"/>
      <c r="AW611" s="3"/>
      <c r="AX611" s="3"/>
      <c r="AY611" s="3"/>
      <c r="AZ611" s="3">
        <v>216</v>
      </c>
      <c r="BA611" s="3">
        <v>222</v>
      </c>
      <c r="BB611" s="3"/>
      <c r="BC611" s="3" t="s">
        <v>234</v>
      </c>
      <c r="BD611" s="15" t="str">
        <f>HYPERLINK("http://dx.doi.org/10.1108/eb059277","http://dx.doi.org/10.1108/eb059277")</f>
        <v>http://dx.doi.org/10.1108/eb059277</v>
      </c>
      <c r="BE611" s="3"/>
      <c r="BF611" s="3"/>
      <c r="BG611" s="3"/>
      <c r="BH611" s="3"/>
      <c r="BI611" s="3"/>
      <c r="BJ611" s="3" t="s">
        <v>235</v>
      </c>
      <c r="BK611" s="3"/>
      <c r="BL611" s="3"/>
      <c r="BM611" s="3"/>
      <c r="BN611" s="3"/>
      <c r="BO611" s="3"/>
      <c r="BP611" s="3"/>
      <c r="BQ611" s="3"/>
      <c r="BR611" s="3"/>
      <c r="BS611" s="3"/>
      <c r="BT611" s="3"/>
      <c r="BU611" s="2" t="s">
        <v>7201</v>
      </c>
      <c r="BV611" s="2" t="s">
        <v>7214</v>
      </c>
      <c r="BW611" s="2" t="s">
        <v>7205</v>
      </c>
    </row>
    <row r="612" spans="1:75" ht="12.75" customHeight="1">
      <c r="A612" s="3" t="s">
        <v>63</v>
      </c>
      <c r="B612" s="3" t="s">
        <v>6398</v>
      </c>
      <c r="C612" s="3"/>
      <c r="D612" s="3"/>
      <c r="E612" s="3"/>
      <c r="F612" s="3" t="s">
        <v>6399</v>
      </c>
      <c r="G612" s="3"/>
      <c r="H612" s="3"/>
      <c r="I612" s="3" t="s">
        <v>6400</v>
      </c>
      <c r="J612" s="3" t="s">
        <v>696</v>
      </c>
      <c r="K612" s="3"/>
      <c r="L612" s="3"/>
      <c r="M612" s="3"/>
      <c r="N612" s="3"/>
      <c r="O612" s="3"/>
      <c r="P612" s="3"/>
      <c r="Q612" s="3"/>
      <c r="R612" s="3"/>
      <c r="S612" s="3"/>
      <c r="T612" s="3" t="s">
        <v>6401</v>
      </c>
      <c r="U612" s="3"/>
      <c r="V612" s="3"/>
      <c r="W612" s="3"/>
      <c r="X612" s="3"/>
      <c r="Y612" s="3"/>
      <c r="Z612" s="3"/>
      <c r="AA612" s="3"/>
      <c r="AB612" s="3"/>
      <c r="AC612" s="3"/>
      <c r="AD612" s="3"/>
      <c r="AE612" s="3"/>
      <c r="AF612" s="3"/>
      <c r="AG612" s="3"/>
      <c r="AH612" s="3"/>
      <c r="AI612" s="3"/>
      <c r="AJ612" s="3"/>
      <c r="AK612" s="3"/>
      <c r="AL612" s="3"/>
      <c r="AM612" s="3" t="s">
        <v>698</v>
      </c>
      <c r="AN612" s="3"/>
      <c r="AO612" s="3"/>
      <c r="AP612" s="3"/>
      <c r="AQ612" s="3"/>
      <c r="AR612" s="3" t="s">
        <v>78</v>
      </c>
      <c r="AS612" s="3">
        <v>2023</v>
      </c>
      <c r="AT612" s="3">
        <v>42</v>
      </c>
      <c r="AU612" s="3">
        <v>5</v>
      </c>
      <c r="AV612" s="3"/>
      <c r="AW612" s="3"/>
      <c r="AX612" s="3"/>
      <c r="AY612" s="3"/>
      <c r="AZ612" s="3">
        <v>712</v>
      </c>
      <c r="BA612" s="3">
        <v>720</v>
      </c>
      <c r="BB612" s="3"/>
      <c r="BC612" s="3" t="s">
        <v>6402</v>
      </c>
      <c r="BD612" s="15" t="str">
        <f>HYPERLINK("http://dx.doi.org/10.1377/hlthaff.2022.00683","http://dx.doi.org/10.1377/hlthaff.2022.00683")</f>
        <v>http://dx.doi.org/10.1377/hlthaff.2022.00683</v>
      </c>
      <c r="BE612" s="3"/>
      <c r="BF612" s="3"/>
      <c r="BG612" s="3"/>
      <c r="BH612" s="3"/>
      <c r="BI612" s="3">
        <v>37126759</v>
      </c>
      <c r="BJ612" s="3" t="s">
        <v>6403</v>
      </c>
      <c r="BK612" s="3"/>
      <c r="BL612" s="3"/>
      <c r="BM612" s="3"/>
      <c r="BN612" s="3"/>
      <c r="BO612" s="3"/>
      <c r="BP612" s="3"/>
      <c r="BQ612" s="3"/>
      <c r="BR612" s="3"/>
      <c r="BS612" s="3"/>
      <c r="BT612" s="3"/>
      <c r="BU612" s="13" t="s">
        <v>7411</v>
      </c>
      <c r="BV612" s="10" t="s">
        <v>7188</v>
      </c>
      <c r="BW612" s="10" t="s">
        <v>7189</v>
      </c>
    </row>
    <row r="613" spans="1:75" ht="12.75" customHeight="1">
      <c r="A613" s="3" t="s">
        <v>63</v>
      </c>
      <c r="B613" s="3" t="s">
        <v>3962</v>
      </c>
      <c r="C613" s="3"/>
      <c r="D613" s="3"/>
      <c r="E613" s="3"/>
      <c r="F613" s="3" t="s">
        <v>3963</v>
      </c>
      <c r="G613" s="3"/>
      <c r="H613" s="3"/>
      <c r="I613" s="3" t="s">
        <v>3964</v>
      </c>
      <c r="J613" s="3" t="s">
        <v>3965</v>
      </c>
      <c r="K613" s="3"/>
      <c r="L613" s="3"/>
      <c r="M613" s="3"/>
      <c r="N613" s="3"/>
      <c r="O613" s="3"/>
      <c r="P613" s="3"/>
      <c r="Q613" s="3"/>
      <c r="R613" s="3"/>
      <c r="S613" s="3"/>
      <c r="T613" s="3" t="s">
        <v>3966</v>
      </c>
      <c r="U613" s="3"/>
      <c r="V613" s="3"/>
      <c r="W613" s="3"/>
      <c r="X613" s="3"/>
      <c r="Y613" s="3" t="s">
        <v>3967</v>
      </c>
      <c r="Z613" s="3" t="s">
        <v>1494</v>
      </c>
      <c r="AA613" s="3"/>
      <c r="AB613" s="3"/>
      <c r="AC613" s="3"/>
      <c r="AD613" s="3"/>
      <c r="AE613" s="3"/>
      <c r="AF613" s="3"/>
      <c r="AG613" s="3"/>
      <c r="AH613" s="3"/>
      <c r="AI613" s="3"/>
      <c r="AJ613" s="3"/>
      <c r="AK613" s="3"/>
      <c r="AL613" s="3"/>
      <c r="AM613" s="3" t="s">
        <v>3968</v>
      </c>
      <c r="AN613" s="3" t="s">
        <v>3969</v>
      </c>
      <c r="AO613" s="3"/>
      <c r="AP613" s="3"/>
      <c r="AQ613" s="3"/>
      <c r="AR613" s="3" t="s">
        <v>78</v>
      </c>
      <c r="AS613" s="3">
        <v>2019</v>
      </c>
      <c r="AT613" s="3">
        <v>33</v>
      </c>
      <c r="AU613" s="3">
        <v>4</v>
      </c>
      <c r="AV613" s="3"/>
      <c r="AW613" s="3"/>
      <c r="AX613" s="3"/>
      <c r="AY613" s="3"/>
      <c r="AZ613" s="3">
        <v>525</v>
      </c>
      <c r="BA613" s="3">
        <v>533</v>
      </c>
      <c r="BB613" s="3"/>
      <c r="BC613" s="3" t="s">
        <v>3970</v>
      </c>
      <c r="BD613" s="15" t="str">
        <f>HYPERLINK("http://dx.doi.org/10.1177/0890117118801744","http://dx.doi.org/10.1177/0890117118801744")</f>
        <v>http://dx.doi.org/10.1177/0890117118801744</v>
      </c>
      <c r="BE613" s="3"/>
      <c r="BF613" s="3"/>
      <c r="BG613" s="3"/>
      <c r="BH613" s="3"/>
      <c r="BI613" s="3">
        <v>30282461</v>
      </c>
      <c r="BJ613" s="3" t="s">
        <v>3971</v>
      </c>
      <c r="BK613" s="3"/>
      <c r="BL613" s="3"/>
      <c r="BM613" s="3"/>
      <c r="BN613" s="3"/>
      <c r="BO613" s="3"/>
      <c r="BP613" s="3"/>
      <c r="BQ613" s="3"/>
      <c r="BR613" s="3"/>
      <c r="BS613" s="3"/>
      <c r="BT613" s="3"/>
      <c r="BU613" s="1" t="s">
        <v>7449</v>
      </c>
      <c r="BV613" s="10" t="s">
        <v>7188</v>
      </c>
      <c r="BW613" s="10" t="s">
        <v>7189</v>
      </c>
    </row>
    <row r="614" spans="1:75" ht="12.75" customHeight="1">
      <c r="A614" s="6" t="s">
        <v>63</v>
      </c>
      <c r="B614" s="6" t="s">
        <v>1375</v>
      </c>
      <c r="C614" s="6"/>
      <c r="D614" s="6"/>
      <c r="E614" s="6"/>
      <c r="F614" s="6" t="s">
        <v>1376</v>
      </c>
      <c r="G614" s="6"/>
      <c r="H614" s="6"/>
      <c r="I614" s="6" t="s">
        <v>1619</v>
      </c>
      <c r="J614" s="6" t="s">
        <v>867</v>
      </c>
      <c r="K614" s="6"/>
      <c r="L614" s="6"/>
      <c r="M614" s="6"/>
      <c r="N614" s="6"/>
      <c r="O614" s="6"/>
      <c r="P614" s="6"/>
      <c r="Q614" s="6"/>
      <c r="R614" s="6"/>
      <c r="S614" s="6"/>
      <c r="T614" s="6" t="s">
        <v>1620</v>
      </c>
      <c r="U614" s="6"/>
      <c r="V614" s="6"/>
      <c r="W614" s="6"/>
      <c r="X614" s="6"/>
      <c r="Y614" s="6"/>
      <c r="Z614" s="6" t="s">
        <v>1380</v>
      </c>
      <c r="AA614" s="6"/>
      <c r="AB614" s="6"/>
      <c r="AC614" s="6"/>
      <c r="AD614" s="6"/>
      <c r="AE614" s="6"/>
      <c r="AF614" s="6"/>
      <c r="AG614" s="6"/>
      <c r="AH614" s="6"/>
      <c r="AI614" s="6"/>
      <c r="AJ614" s="6"/>
      <c r="AK614" s="6"/>
      <c r="AL614" s="6"/>
      <c r="AM614" s="6" t="s">
        <v>871</v>
      </c>
      <c r="AN614" s="6" t="s">
        <v>1621</v>
      </c>
      <c r="AO614" s="6"/>
      <c r="AP614" s="6"/>
      <c r="AQ614" s="6"/>
      <c r="AR614" s="6" t="s">
        <v>68</v>
      </c>
      <c r="AS614" s="6">
        <v>2014</v>
      </c>
      <c r="AT614" s="6">
        <v>107</v>
      </c>
      <c r="AU614" s="6"/>
      <c r="AV614" s="6"/>
      <c r="AW614" s="6"/>
      <c r="AX614" s="6"/>
      <c r="AY614" s="6"/>
      <c r="AZ614" s="6">
        <v>89</v>
      </c>
      <c r="BA614" s="6">
        <v>99</v>
      </c>
      <c r="BB614" s="6"/>
      <c r="BC614" s="6" t="s">
        <v>1622</v>
      </c>
      <c r="BD614" s="9" t="str">
        <f>HYPERLINK("http://dx.doi.org/10.1016/j.socscimed.2014.02.021","http://dx.doi.org/10.1016/j.socscimed.2014.02.021")</f>
        <v>http://dx.doi.org/10.1016/j.socscimed.2014.02.021</v>
      </c>
      <c r="BE614" s="6"/>
      <c r="BF614" s="6"/>
      <c r="BG614" s="6"/>
      <c r="BH614" s="6"/>
      <c r="BI614" s="6">
        <v>24607670</v>
      </c>
      <c r="BJ614" s="6" t="s">
        <v>1623</v>
      </c>
      <c r="BK614" s="6"/>
      <c r="BL614" s="6"/>
      <c r="BM614" s="6"/>
      <c r="BN614" s="6"/>
      <c r="BO614" s="6"/>
      <c r="BP614" s="6"/>
      <c r="BQ614" s="6"/>
      <c r="BR614" s="6"/>
      <c r="BS614" s="6"/>
      <c r="BT614" s="6"/>
      <c r="BU614" s="8" t="s">
        <v>7278</v>
      </c>
      <c r="BV614" s="8" t="s">
        <v>7188</v>
      </c>
      <c r="BW614" s="8" t="s">
        <v>7189</v>
      </c>
    </row>
    <row r="615" spans="1:75" ht="12.75" customHeight="1">
      <c r="A615" s="3" t="s">
        <v>63</v>
      </c>
      <c r="B615" s="3" t="s">
        <v>2010</v>
      </c>
      <c r="C615" s="3"/>
      <c r="D615" s="3"/>
      <c r="E615" s="3"/>
      <c r="F615" s="3" t="s">
        <v>2011</v>
      </c>
      <c r="G615" s="3"/>
      <c r="H615" s="3"/>
      <c r="I615" s="3" t="s">
        <v>2012</v>
      </c>
      <c r="J615" s="3" t="s">
        <v>502</v>
      </c>
      <c r="K615" s="3"/>
      <c r="L615" s="3"/>
      <c r="M615" s="3"/>
      <c r="N615" s="3"/>
      <c r="O615" s="3"/>
      <c r="P615" s="3"/>
      <c r="Q615" s="3"/>
      <c r="R615" s="3"/>
      <c r="S615" s="3"/>
      <c r="T615" s="3" t="s">
        <v>2013</v>
      </c>
      <c r="U615" s="3"/>
      <c r="V615" s="3"/>
      <c r="W615" s="3"/>
      <c r="X615" s="3"/>
      <c r="Y615" s="3"/>
      <c r="Z615" s="3"/>
      <c r="AA615" s="3"/>
      <c r="AB615" s="3"/>
      <c r="AC615" s="3"/>
      <c r="AD615" s="3"/>
      <c r="AE615" s="3"/>
      <c r="AF615" s="3"/>
      <c r="AG615" s="3"/>
      <c r="AH615" s="3"/>
      <c r="AI615" s="3"/>
      <c r="AJ615" s="3"/>
      <c r="AK615" s="3"/>
      <c r="AL615" s="3"/>
      <c r="AM615" s="3" t="s">
        <v>506</v>
      </c>
      <c r="AN615" s="3" t="s">
        <v>507</v>
      </c>
      <c r="AO615" s="3"/>
      <c r="AP615" s="3"/>
      <c r="AQ615" s="3"/>
      <c r="AR615" s="3" t="s">
        <v>92</v>
      </c>
      <c r="AS615" s="3">
        <v>2015</v>
      </c>
      <c r="AT615" s="3">
        <v>92</v>
      </c>
      <c r="AU615" s="3">
        <v>5</v>
      </c>
      <c r="AV615" s="3"/>
      <c r="AW615" s="3"/>
      <c r="AX615" s="3"/>
      <c r="AY615" s="3"/>
      <c r="AZ615" s="3">
        <v>815</v>
      </c>
      <c r="BA615" s="3">
        <v>834</v>
      </c>
      <c r="BB615" s="3"/>
      <c r="BC615" s="3" t="s">
        <v>2014</v>
      </c>
      <c r="BD615" s="15" t="str">
        <f>HYPERLINK("http://dx.doi.org/10.1007/s11524-015-9984-x","http://dx.doi.org/10.1007/s11524-015-9984-x")</f>
        <v>http://dx.doi.org/10.1007/s11524-015-9984-x</v>
      </c>
      <c r="BE615" s="3"/>
      <c r="BF615" s="3"/>
      <c r="BG615" s="3"/>
      <c r="BH615" s="3"/>
      <c r="BI615" s="3">
        <v>26382655</v>
      </c>
      <c r="BJ615" s="3" t="s">
        <v>2015</v>
      </c>
      <c r="BK615" s="3"/>
      <c r="BL615" s="3"/>
      <c r="BM615" s="3"/>
      <c r="BN615" s="3"/>
      <c r="BO615" s="3"/>
      <c r="BP615" s="3"/>
      <c r="BQ615" s="3"/>
      <c r="BR615" s="3"/>
      <c r="BS615" s="3"/>
      <c r="BT615" s="3"/>
      <c r="BU615" s="2" t="s">
        <v>7193</v>
      </c>
      <c r="BV615" s="10" t="s">
        <v>7188</v>
      </c>
      <c r="BW615" s="10" t="s">
        <v>7189</v>
      </c>
    </row>
    <row r="616" spans="1:75" ht="12.75" customHeight="1">
      <c r="A616" s="3" t="s">
        <v>63</v>
      </c>
      <c r="B616" s="3" t="s">
        <v>4475</v>
      </c>
      <c r="C616" s="3"/>
      <c r="D616" s="3"/>
      <c r="E616" s="3"/>
      <c r="F616" s="3" t="s">
        <v>4476</v>
      </c>
      <c r="G616" s="3"/>
      <c r="H616" s="3"/>
      <c r="I616" s="3" t="s">
        <v>4477</v>
      </c>
      <c r="J616" s="3" t="s">
        <v>4478</v>
      </c>
      <c r="K616" s="3"/>
      <c r="L616" s="3"/>
      <c r="M616" s="3"/>
      <c r="N616" s="3"/>
      <c r="O616" s="3"/>
      <c r="P616" s="3"/>
      <c r="Q616" s="3"/>
      <c r="R616" s="3"/>
      <c r="S616" s="3"/>
      <c r="T616" s="3" t="s">
        <v>4479</v>
      </c>
      <c r="U616" s="3"/>
      <c r="V616" s="3"/>
      <c r="W616" s="3"/>
      <c r="X616" s="3"/>
      <c r="Y616" s="3"/>
      <c r="Z616" s="3"/>
      <c r="AA616" s="3"/>
      <c r="AB616" s="3"/>
      <c r="AC616" s="3"/>
      <c r="AD616" s="3"/>
      <c r="AE616" s="3"/>
      <c r="AF616" s="3"/>
      <c r="AG616" s="3"/>
      <c r="AH616" s="3"/>
      <c r="AI616" s="3"/>
      <c r="AJ616" s="3"/>
      <c r="AK616" s="3"/>
      <c r="AL616" s="3"/>
      <c r="AM616" s="3"/>
      <c r="AN616" s="3" t="s">
        <v>4480</v>
      </c>
      <c r="AO616" s="3"/>
      <c r="AP616" s="3"/>
      <c r="AQ616" s="3"/>
      <c r="AR616" s="3" t="s">
        <v>65</v>
      </c>
      <c r="AS616" s="3">
        <v>2020</v>
      </c>
      <c r="AT616" s="3">
        <v>20</v>
      </c>
      <c r="AU616" s="3"/>
      <c r="AV616" s="3"/>
      <c r="AW616" s="3"/>
      <c r="AX616" s="3"/>
      <c r="AY616" s="3"/>
      <c r="AZ616" s="3"/>
      <c r="BA616" s="3"/>
      <c r="BB616" s="3">
        <v>101173</v>
      </c>
      <c r="BC616" s="3" t="s">
        <v>4481</v>
      </c>
      <c r="BD616" s="15" t="str">
        <f>HYPERLINK("http://dx.doi.org/10.1016/j.pmedr.2020.101173","http://dx.doi.org/10.1016/j.pmedr.2020.101173")</f>
        <v>http://dx.doi.org/10.1016/j.pmedr.2020.101173</v>
      </c>
      <c r="BE616" s="3"/>
      <c r="BF616" s="3"/>
      <c r="BG616" s="3"/>
      <c r="BH616" s="3"/>
      <c r="BI616" s="3">
        <v>32923315</v>
      </c>
      <c r="BJ616" s="3" t="s">
        <v>4482</v>
      </c>
      <c r="BK616" s="3"/>
      <c r="BL616" s="3"/>
      <c r="BM616" s="3"/>
      <c r="BN616" s="3"/>
      <c r="BO616" s="3"/>
      <c r="BP616" s="3"/>
      <c r="BQ616" s="3"/>
      <c r="BR616" s="3"/>
      <c r="BS616" s="3"/>
      <c r="BT616" s="3"/>
      <c r="BU616" s="1" t="s">
        <v>7198</v>
      </c>
      <c r="BV616" s="10" t="s">
        <v>7188</v>
      </c>
      <c r="BW616" s="10" t="s">
        <v>7189</v>
      </c>
    </row>
    <row r="617" spans="1:75" ht="12.75" customHeight="1">
      <c r="A617" s="4" t="s">
        <v>63</v>
      </c>
      <c r="B617" s="4" t="s">
        <v>3105</v>
      </c>
      <c r="C617" s="4"/>
      <c r="D617" s="4"/>
      <c r="E617" s="4"/>
      <c r="F617" s="4" t="s">
        <v>3106</v>
      </c>
      <c r="G617" s="4"/>
      <c r="H617" s="4"/>
      <c r="I617" s="4" t="s">
        <v>3107</v>
      </c>
      <c r="J617" s="4" t="s">
        <v>1142</v>
      </c>
      <c r="K617" s="4"/>
      <c r="L617" s="4"/>
      <c r="M617" s="4"/>
      <c r="N617" s="4"/>
      <c r="O617" s="4"/>
      <c r="P617" s="4"/>
      <c r="Q617" s="4"/>
      <c r="R617" s="4"/>
      <c r="S617" s="4"/>
      <c r="T617" s="4" t="s">
        <v>3108</v>
      </c>
      <c r="U617" s="4"/>
      <c r="V617" s="4"/>
      <c r="W617" s="4"/>
      <c r="X617" s="4"/>
      <c r="Y617" s="4" t="s">
        <v>3109</v>
      </c>
      <c r="Z617" s="4" t="s">
        <v>3110</v>
      </c>
      <c r="AA617" s="4"/>
      <c r="AB617" s="4"/>
      <c r="AC617" s="4"/>
      <c r="AD617" s="4"/>
      <c r="AE617" s="4"/>
      <c r="AF617" s="4"/>
      <c r="AG617" s="4"/>
      <c r="AH617" s="4"/>
      <c r="AI617" s="4"/>
      <c r="AJ617" s="4"/>
      <c r="AK617" s="4"/>
      <c r="AL617" s="4"/>
      <c r="AM617" s="4" t="s">
        <v>1144</v>
      </c>
      <c r="AN617" s="4"/>
      <c r="AO617" s="4"/>
      <c r="AP617" s="4"/>
      <c r="AQ617" s="4"/>
      <c r="AR617" s="4" t="s">
        <v>64</v>
      </c>
      <c r="AS617" s="4">
        <v>2017</v>
      </c>
      <c r="AT617" s="4">
        <v>14</v>
      </c>
      <c r="AU617" s="4">
        <v>11</v>
      </c>
      <c r="AV617" s="4"/>
      <c r="AW617" s="4"/>
      <c r="AX617" s="4"/>
      <c r="AY617" s="4"/>
      <c r="AZ617" s="4"/>
      <c r="BA617" s="4"/>
      <c r="BB617" s="4">
        <v>1371</v>
      </c>
      <c r="BC617" s="4" t="s">
        <v>3111</v>
      </c>
      <c r="BD617" s="5" t="str">
        <f>HYPERLINK("http://dx.doi.org/10.3390/ijerph14111371","http://dx.doi.org/10.3390/ijerph14111371")</f>
        <v>http://dx.doi.org/10.3390/ijerph14111371</v>
      </c>
      <c r="BE617" s="4"/>
      <c r="BF617" s="4"/>
      <c r="BG617" s="4"/>
      <c r="BH617" s="4"/>
      <c r="BI617" s="4">
        <v>29125558</v>
      </c>
      <c r="BJ617" s="4" t="s">
        <v>3112</v>
      </c>
      <c r="BK617" s="4"/>
      <c r="BL617" s="4"/>
      <c r="BM617" s="4"/>
      <c r="BN617" s="4"/>
      <c r="BO617" s="4"/>
      <c r="BP617" s="4"/>
      <c r="BQ617" s="4"/>
      <c r="BR617" s="4"/>
      <c r="BS617" s="4"/>
      <c r="BT617" s="4"/>
      <c r="BU617" s="12" t="s">
        <v>7354</v>
      </c>
      <c r="BV617" s="12" t="s">
        <v>7188</v>
      </c>
      <c r="BW617" s="12" t="s">
        <v>7189</v>
      </c>
    </row>
    <row r="618" spans="1:75" ht="12.75" customHeight="1">
      <c r="A618" s="3" t="s">
        <v>63</v>
      </c>
      <c r="B618" s="3" t="s">
        <v>6982</v>
      </c>
      <c r="C618" s="3"/>
      <c r="D618" s="3"/>
      <c r="E618" s="3"/>
      <c r="F618" s="3" t="s">
        <v>6983</v>
      </c>
      <c r="G618" s="3"/>
      <c r="H618" s="3"/>
      <c r="I618" s="3" t="s">
        <v>6984</v>
      </c>
      <c r="J618" s="3" t="s">
        <v>2382</v>
      </c>
      <c r="K618" s="3"/>
      <c r="L618" s="3"/>
      <c r="M618" s="3"/>
      <c r="N618" s="3"/>
      <c r="O618" s="3"/>
      <c r="P618" s="3"/>
      <c r="Q618" s="3"/>
      <c r="R618" s="3"/>
      <c r="S618" s="3"/>
      <c r="T618" s="3" t="s">
        <v>6985</v>
      </c>
      <c r="U618" s="3"/>
      <c r="V618" s="3"/>
      <c r="W618" s="3"/>
      <c r="X618" s="3"/>
      <c r="Y618" s="3" t="s">
        <v>6986</v>
      </c>
      <c r="Z618" s="3"/>
      <c r="AA618" s="3"/>
      <c r="AB618" s="3"/>
      <c r="AC618" s="3"/>
      <c r="AD618" s="3"/>
      <c r="AE618" s="3"/>
      <c r="AF618" s="3"/>
      <c r="AG618" s="3"/>
      <c r="AH618" s="3"/>
      <c r="AI618" s="3"/>
      <c r="AJ618" s="3"/>
      <c r="AK618" s="3"/>
      <c r="AL618" s="3"/>
      <c r="AM618" s="3"/>
      <c r="AN618" s="3" t="s">
        <v>2384</v>
      </c>
      <c r="AO618" s="3"/>
      <c r="AP618" s="3"/>
      <c r="AQ618" s="3"/>
      <c r="AR618" s="3" t="s">
        <v>6987</v>
      </c>
      <c r="AS618" s="3">
        <v>2024</v>
      </c>
      <c r="AT618" s="3">
        <v>24</v>
      </c>
      <c r="AU618" s="3">
        <v>1</v>
      </c>
      <c r="AV618" s="3"/>
      <c r="AW618" s="3"/>
      <c r="AX618" s="3"/>
      <c r="AY618" s="3"/>
      <c r="AZ618" s="3"/>
      <c r="BA618" s="3"/>
      <c r="BB618" s="3">
        <v>1688</v>
      </c>
      <c r="BC618" s="3" t="s">
        <v>6988</v>
      </c>
      <c r="BD618" s="15" t="str">
        <f>HYPERLINK("http://dx.doi.org/10.1186/s12889-024-19052-1","http://dx.doi.org/10.1186/s12889-024-19052-1")</f>
        <v>http://dx.doi.org/10.1186/s12889-024-19052-1</v>
      </c>
      <c r="BE618" s="3"/>
      <c r="BF618" s="3"/>
      <c r="BG618" s="3"/>
      <c r="BH618" s="3"/>
      <c r="BI618" s="3">
        <v>38915050</v>
      </c>
      <c r="BJ618" s="3" t="s">
        <v>6989</v>
      </c>
      <c r="BK618" s="3"/>
      <c r="BL618" s="3"/>
      <c r="BM618" s="3"/>
      <c r="BN618" s="3"/>
      <c r="BO618" s="3"/>
      <c r="BP618" s="3"/>
      <c r="BQ618" s="3"/>
      <c r="BR618" s="3"/>
      <c r="BS618" s="3"/>
      <c r="BT618" s="3"/>
      <c r="BU618" s="1" t="s">
        <v>7450</v>
      </c>
      <c r="BV618" s="10" t="s">
        <v>2039</v>
      </c>
      <c r="BW618" s="10" t="s">
        <v>7189</v>
      </c>
    </row>
    <row r="619" spans="1:75" ht="12.75" customHeight="1">
      <c r="A619" s="3" t="s">
        <v>63</v>
      </c>
      <c r="B619" s="3" t="s">
        <v>5145</v>
      </c>
      <c r="C619" s="3"/>
      <c r="D619" s="3"/>
      <c r="E619" s="3"/>
      <c r="F619" s="3" t="s">
        <v>5146</v>
      </c>
      <c r="G619" s="3"/>
      <c r="H619" s="3"/>
      <c r="I619" s="3" t="s">
        <v>5147</v>
      </c>
      <c r="J619" s="3" t="s">
        <v>1004</v>
      </c>
      <c r="K619" s="3"/>
      <c r="L619" s="3"/>
      <c r="M619" s="3"/>
      <c r="N619" s="3"/>
      <c r="O619" s="3"/>
      <c r="P619" s="3"/>
      <c r="Q619" s="3"/>
      <c r="R619" s="3"/>
      <c r="S619" s="3"/>
      <c r="T619" s="3" t="s">
        <v>5148</v>
      </c>
      <c r="U619" s="3"/>
      <c r="V619" s="3"/>
      <c r="W619" s="3"/>
      <c r="X619" s="3"/>
      <c r="Y619" s="3" t="s">
        <v>1493</v>
      </c>
      <c r="Z619" s="3"/>
      <c r="AA619" s="3"/>
      <c r="AB619" s="3"/>
      <c r="AC619" s="3"/>
      <c r="AD619" s="3"/>
      <c r="AE619" s="3"/>
      <c r="AF619" s="3"/>
      <c r="AG619" s="3"/>
      <c r="AH619" s="3"/>
      <c r="AI619" s="3"/>
      <c r="AJ619" s="3"/>
      <c r="AK619" s="3"/>
      <c r="AL619" s="3"/>
      <c r="AM619" s="3" t="s">
        <v>1006</v>
      </c>
      <c r="AN619" s="3" t="s">
        <v>1007</v>
      </c>
      <c r="AO619" s="3"/>
      <c r="AP619" s="3"/>
      <c r="AQ619" s="3"/>
      <c r="AR619" s="3" t="s">
        <v>65</v>
      </c>
      <c r="AS619" s="3">
        <v>2021</v>
      </c>
      <c r="AT619" s="3">
        <v>24</v>
      </c>
      <c r="AU619" s="3">
        <v>17</v>
      </c>
      <c r="AV619" s="3"/>
      <c r="AW619" s="3"/>
      <c r="AX619" s="3"/>
      <c r="AY619" s="3"/>
      <c r="AZ619" s="3">
        <v>5837</v>
      </c>
      <c r="BA619" s="3">
        <v>5846</v>
      </c>
      <c r="BB619" s="3" t="s">
        <v>5149</v>
      </c>
      <c r="BC619" s="3" t="s">
        <v>5150</v>
      </c>
      <c r="BD619" s="15" t="str">
        <f>HYPERLINK("http://dx.doi.org/10.1017/S1368980021003165","http://dx.doi.org/10.1017/S1368980021003165")</f>
        <v>http://dx.doi.org/10.1017/S1368980021003165</v>
      </c>
      <c r="BE619" s="3"/>
      <c r="BF619" s="3"/>
      <c r="BG619" s="3"/>
      <c r="BH619" s="3"/>
      <c r="BI619" s="3">
        <v>34342260</v>
      </c>
      <c r="BJ619" s="3" t="s">
        <v>5151</v>
      </c>
      <c r="BK619" s="3"/>
      <c r="BL619" s="3"/>
      <c r="BM619" s="3"/>
      <c r="BN619" s="3"/>
      <c r="BO619" s="3"/>
      <c r="BP619" s="3"/>
      <c r="BQ619" s="3"/>
      <c r="BR619" s="3"/>
      <c r="BS619" s="3"/>
      <c r="BT619" s="3"/>
      <c r="BU619" s="1" t="s">
        <v>7451</v>
      </c>
      <c r="BV619" s="10" t="s">
        <v>7188</v>
      </c>
      <c r="BW619" s="10" t="s">
        <v>7189</v>
      </c>
    </row>
    <row r="620" spans="1:75" ht="12.75" customHeight="1">
      <c r="A620" s="3" t="s">
        <v>63</v>
      </c>
      <c r="B620" s="3" t="s">
        <v>4483</v>
      </c>
      <c r="C620" s="3"/>
      <c r="D620" s="3"/>
      <c r="E620" s="3"/>
      <c r="F620" s="3" t="s">
        <v>4484</v>
      </c>
      <c r="G620" s="3"/>
      <c r="H620" s="3"/>
      <c r="I620" s="3" t="s">
        <v>4485</v>
      </c>
      <c r="J620" s="3" t="s">
        <v>3047</v>
      </c>
      <c r="K620" s="3"/>
      <c r="L620" s="3"/>
      <c r="M620" s="3"/>
      <c r="N620" s="3" t="s">
        <v>4486</v>
      </c>
      <c r="O620" s="3" t="s">
        <v>4487</v>
      </c>
      <c r="P620" s="3" t="s">
        <v>3050</v>
      </c>
      <c r="Q620" s="3"/>
      <c r="R620" s="3"/>
      <c r="S620" s="3"/>
      <c r="T620" s="3"/>
      <c r="U620" s="3"/>
      <c r="V620" s="3"/>
      <c r="W620" s="3"/>
      <c r="X620" s="3"/>
      <c r="Y620" s="3"/>
      <c r="Z620" s="3" t="s">
        <v>4488</v>
      </c>
      <c r="AA620" s="3"/>
      <c r="AB620" s="3"/>
      <c r="AC620" s="3"/>
      <c r="AD620" s="3"/>
      <c r="AE620" s="3"/>
      <c r="AF620" s="3"/>
      <c r="AG620" s="3"/>
      <c r="AH620" s="3"/>
      <c r="AI620" s="3"/>
      <c r="AJ620" s="3"/>
      <c r="AK620" s="3"/>
      <c r="AL620" s="3"/>
      <c r="AM620" s="3" t="s">
        <v>3051</v>
      </c>
      <c r="AN620" s="3" t="s">
        <v>3052</v>
      </c>
      <c r="AO620" s="3"/>
      <c r="AP620" s="3"/>
      <c r="AQ620" s="3"/>
      <c r="AR620" s="3" t="s">
        <v>92</v>
      </c>
      <c r="AS620" s="3">
        <v>2020</v>
      </c>
      <c r="AT620" s="3">
        <v>26</v>
      </c>
      <c r="AU620" s="3">
        <v>10</v>
      </c>
      <c r="AV620" s="3"/>
      <c r="AW620" s="3" t="s">
        <v>151</v>
      </c>
      <c r="AX620" s="3"/>
      <c r="AY620" s="3">
        <v>234</v>
      </c>
      <c r="AZ620" s="3" t="s">
        <v>4489</v>
      </c>
      <c r="BA620" s="3" t="s">
        <v>4489</v>
      </c>
      <c r="BB620" s="3"/>
      <c r="BC620" s="3"/>
      <c r="BD620" s="3"/>
      <c r="BE620" s="3"/>
      <c r="BF620" s="3"/>
      <c r="BG620" s="3"/>
      <c r="BH620" s="3"/>
      <c r="BI620" s="3"/>
      <c r="BJ620" s="3" t="s">
        <v>4490</v>
      </c>
      <c r="BK620" s="3"/>
      <c r="BL620" s="3"/>
      <c r="BM620" s="3"/>
      <c r="BN620" s="3"/>
      <c r="BO620" s="3"/>
      <c r="BP620" s="3"/>
      <c r="BQ620" s="3"/>
      <c r="BR620" s="3"/>
      <c r="BS620" s="3"/>
      <c r="BT620" s="3"/>
      <c r="BU620" s="1" t="s">
        <v>7271</v>
      </c>
      <c r="BV620" s="10" t="s">
        <v>7188</v>
      </c>
      <c r="BW620" s="10" t="s">
        <v>7189</v>
      </c>
    </row>
    <row r="621" spans="1:75" ht="12.75" customHeight="1">
      <c r="A621" s="3" t="s">
        <v>63</v>
      </c>
      <c r="B621" s="3" t="s">
        <v>3517</v>
      </c>
      <c r="C621" s="3"/>
      <c r="D621" s="3"/>
      <c r="E621" s="3"/>
      <c r="F621" s="3" t="s">
        <v>3518</v>
      </c>
      <c r="G621" s="3"/>
      <c r="H621" s="3"/>
      <c r="I621" s="3" t="s">
        <v>3519</v>
      </c>
      <c r="J621" s="3" t="s">
        <v>3374</v>
      </c>
      <c r="K621" s="3"/>
      <c r="L621" s="3"/>
      <c r="M621" s="3"/>
      <c r="N621" s="3"/>
      <c r="O621" s="3"/>
      <c r="P621" s="3"/>
      <c r="Q621" s="3"/>
      <c r="R621" s="3"/>
      <c r="S621" s="3"/>
      <c r="T621" s="3" t="s">
        <v>3520</v>
      </c>
      <c r="U621" s="3"/>
      <c r="V621" s="3"/>
      <c r="W621" s="3"/>
      <c r="X621" s="3"/>
      <c r="Y621" s="3" t="s">
        <v>3521</v>
      </c>
      <c r="Z621" s="3" t="s">
        <v>3522</v>
      </c>
      <c r="AA621" s="3"/>
      <c r="AB621" s="3"/>
      <c r="AC621" s="3"/>
      <c r="AD621" s="3"/>
      <c r="AE621" s="3"/>
      <c r="AF621" s="3"/>
      <c r="AG621" s="3"/>
      <c r="AH621" s="3"/>
      <c r="AI621" s="3"/>
      <c r="AJ621" s="3"/>
      <c r="AK621" s="3"/>
      <c r="AL621" s="3"/>
      <c r="AM621" s="3"/>
      <c r="AN621" s="3" t="s">
        <v>3377</v>
      </c>
      <c r="AO621" s="3"/>
      <c r="AP621" s="3"/>
      <c r="AQ621" s="3"/>
      <c r="AR621" s="3" t="s">
        <v>65</v>
      </c>
      <c r="AS621" s="3">
        <v>2018</v>
      </c>
      <c r="AT621" s="3">
        <v>10</v>
      </c>
      <c r="AU621" s="3">
        <v>12</v>
      </c>
      <c r="AV621" s="3"/>
      <c r="AW621" s="3"/>
      <c r="AX621" s="3"/>
      <c r="AY621" s="3"/>
      <c r="AZ621" s="3"/>
      <c r="BA621" s="3"/>
      <c r="BB621" s="3">
        <v>4643</v>
      </c>
      <c r="BC621" s="3" t="s">
        <v>3523</v>
      </c>
      <c r="BD621" s="15" t="str">
        <f>HYPERLINK("http://dx.doi.org/10.3390/su10124643","http://dx.doi.org/10.3390/su10124643")</f>
        <v>http://dx.doi.org/10.3390/su10124643</v>
      </c>
      <c r="BE621" s="3"/>
      <c r="BF621" s="3"/>
      <c r="BG621" s="3"/>
      <c r="BH621" s="3"/>
      <c r="BI621" s="3"/>
      <c r="BJ621" s="3" t="s">
        <v>3524</v>
      </c>
      <c r="BK621" s="3"/>
      <c r="BL621" s="3"/>
      <c r="BM621" s="3"/>
      <c r="BN621" s="3"/>
      <c r="BO621" s="3"/>
      <c r="BP621" s="3"/>
      <c r="BQ621" s="3"/>
      <c r="BR621" s="3"/>
      <c r="BS621" s="3"/>
      <c r="BT621" s="3"/>
      <c r="BU621" s="1" t="s">
        <v>7452</v>
      </c>
      <c r="BV621" s="2" t="s">
        <v>3516</v>
      </c>
      <c r="BW621" s="2" t="s">
        <v>7196</v>
      </c>
    </row>
    <row r="622" spans="1:75" ht="12.75" customHeight="1">
      <c r="A622" s="4" t="s">
        <v>63</v>
      </c>
      <c r="B622" s="4" t="s">
        <v>5152</v>
      </c>
      <c r="C622" s="4"/>
      <c r="D622" s="4"/>
      <c r="E622" s="4"/>
      <c r="F622" s="4" t="s">
        <v>5153</v>
      </c>
      <c r="G622" s="4"/>
      <c r="H622" s="4"/>
      <c r="I622" s="4" t="s">
        <v>5154</v>
      </c>
      <c r="J622" s="4" t="s">
        <v>5155</v>
      </c>
      <c r="K622" s="4"/>
      <c r="L622" s="4"/>
      <c r="M622" s="4"/>
      <c r="N622" s="4"/>
      <c r="O622" s="4"/>
      <c r="P622" s="4"/>
      <c r="Q622" s="4"/>
      <c r="R622" s="4"/>
      <c r="S622" s="4"/>
      <c r="T622" s="4" t="s">
        <v>5156</v>
      </c>
      <c r="U622" s="4"/>
      <c r="V622" s="4"/>
      <c r="W622" s="4"/>
      <c r="X622" s="4"/>
      <c r="Y622" s="4"/>
      <c r="Z622" s="4" t="s">
        <v>5157</v>
      </c>
      <c r="AA622" s="4"/>
      <c r="AB622" s="4"/>
      <c r="AC622" s="4"/>
      <c r="AD622" s="4"/>
      <c r="AE622" s="4"/>
      <c r="AF622" s="4"/>
      <c r="AG622" s="4"/>
      <c r="AH622" s="4"/>
      <c r="AI622" s="4"/>
      <c r="AJ622" s="4"/>
      <c r="AK622" s="4"/>
      <c r="AL622" s="4"/>
      <c r="AM622" s="4" t="s">
        <v>5158</v>
      </c>
      <c r="AN622" s="4" t="s">
        <v>5159</v>
      </c>
      <c r="AO622" s="4"/>
      <c r="AP622" s="4"/>
      <c r="AQ622" s="4"/>
      <c r="AR622" s="4" t="s">
        <v>65</v>
      </c>
      <c r="AS622" s="4">
        <v>2021</v>
      </c>
      <c r="AT622" s="4">
        <v>68</v>
      </c>
      <c r="AU622" s="4">
        <v>8</v>
      </c>
      <c r="AV622" s="4"/>
      <c r="AW622" s="4"/>
      <c r="AX622" s="4" t="s">
        <v>569</v>
      </c>
      <c r="AY622" s="4"/>
      <c r="AZ622" s="4">
        <v>1098</v>
      </c>
      <c r="BA622" s="4">
        <v>1112</v>
      </c>
      <c r="BB622" s="4"/>
      <c r="BC622" s="4" t="s">
        <v>5160</v>
      </c>
      <c r="BD622" s="5" t="str">
        <f>HYPERLINK("http://dx.doi.org/10.1002/nav.22020","http://dx.doi.org/10.1002/nav.22020")</f>
        <v>http://dx.doi.org/10.1002/nav.22020</v>
      </c>
      <c r="BE622" s="4"/>
      <c r="BF622" s="4" t="s">
        <v>4738</v>
      </c>
      <c r="BG622" s="4"/>
      <c r="BH622" s="4"/>
      <c r="BI622" s="4"/>
      <c r="BJ622" s="4" t="s">
        <v>5161</v>
      </c>
      <c r="BK622" s="4"/>
      <c r="BL622" s="4"/>
      <c r="BM622" s="4"/>
      <c r="BN622" s="4"/>
      <c r="BO622" s="4"/>
      <c r="BP622" s="4"/>
      <c r="BQ622" s="4"/>
      <c r="BR622" s="4"/>
      <c r="BS622" s="4"/>
      <c r="BT622" s="4"/>
      <c r="BU622" s="12" t="s">
        <v>7201</v>
      </c>
      <c r="BV622" s="12" t="s">
        <v>7188</v>
      </c>
      <c r="BW622" s="12" t="s">
        <v>7189</v>
      </c>
    </row>
    <row r="623" spans="1:75" ht="12.75" customHeight="1">
      <c r="A623" s="4" t="s">
        <v>63</v>
      </c>
      <c r="B623" s="4" t="s">
        <v>4451</v>
      </c>
      <c r="C623" s="4"/>
      <c r="D623" s="4"/>
      <c r="E623" s="4"/>
      <c r="F623" s="4" t="s">
        <v>4452</v>
      </c>
      <c r="G623" s="4"/>
      <c r="H623" s="4"/>
      <c r="I623" s="4" t="s">
        <v>4491</v>
      </c>
      <c r="J623" s="4" t="s">
        <v>3439</v>
      </c>
      <c r="K623" s="4"/>
      <c r="L623" s="4"/>
      <c r="M623" s="4"/>
      <c r="N623" s="4" t="s">
        <v>4308</v>
      </c>
      <c r="O623" s="4" t="s">
        <v>4309</v>
      </c>
      <c r="P623" s="4" t="s">
        <v>3441</v>
      </c>
      <c r="Q623" s="4"/>
      <c r="R623" s="4"/>
      <c r="S623" s="4"/>
      <c r="T623" s="4"/>
      <c r="U623" s="4"/>
      <c r="V623" s="4"/>
      <c r="W623" s="4"/>
      <c r="X623" s="4"/>
      <c r="Y623" s="4"/>
      <c r="Z623" s="4"/>
      <c r="AA623" s="4"/>
      <c r="AB623" s="4"/>
      <c r="AC623" s="4"/>
      <c r="AD623" s="4"/>
      <c r="AE623" s="4"/>
      <c r="AF623" s="4"/>
      <c r="AG623" s="4"/>
      <c r="AH623" s="4"/>
      <c r="AI623" s="4"/>
      <c r="AJ623" s="4"/>
      <c r="AK623" s="4"/>
      <c r="AL623" s="4"/>
      <c r="AM623" s="4" t="s">
        <v>3442</v>
      </c>
      <c r="AN623" s="4" t="s">
        <v>3443</v>
      </c>
      <c r="AO623" s="4"/>
      <c r="AP623" s="4"/>
      <c r="AQ623" s="4"/>
      <c r="AR623" s="4" t="s">
        <v>133</v>
      </c>
      <c r="AS623" s="4">
        <v>2020</v>
      </c>
      <c r="AT623" s="4">
        <v>222</v>
      </c>
      <c r="AU623" s="4">
        <v>1</v>
      </c>
      <c r="AV623" s="4"/>
      <c r="AW623" s="4" t="s">
        <v>151</v>
      </c>
      <c r="AX623" s="4"/>
      <c r="AY623" s="4">
        <v>186</v>
      </c>
      <c r="AZ623" s="4" t="s">
        <v>4492</v>
      </c>
      <c r="BA623" s="4" t="s">
        <v>4492</v>
      </c>
      <c r="BB623" s="4"/>
      <c r="BC623" s="4" t="s">
        <v>4493</v>
      </c>
      <c r="BD623" s="5" t="str">
        <f>HYPERLINK("http://dx.doi.org/10.1016/j.ajog.2019.11.202","http://dx.doi.org/10.1016/j.ajog.2019.11.202")</f>
        <v>http://dx.doi.org/10.1016/j.ajog.2019.11.202</v>
      </c>
      <c r="BE623" s="4"/>
      <c r="BF623" s="4"/>
      <c r="BG623" s="4"/>
      <c r="BH623" s="4"/>
      <c r="BI623" s="4"/>
      <c r="BJ623" s="4" t="s">
        <v>4494</v>
      </c>
      <c r="BK623" s="4"/>
      <c r="BL623" s="4"/>
      <c r="BM623" s="4"/>
      <c r="BN623" s="4"/>
      <c r="BO623" s="4"/>
      <c r="BP623" s="4"/>
      <c r="BQ623" s="4"/>
      <c r="BR623" s="4"/>
      <c r="BS623" s="4"/>
      <c r="BT623" s="4"/>
      <c r="BU623" s="12" t="s">
        <v>7193</v>
      </c>
      <c r="BV623" s="12" t="s">
        <v>7188</v>
      </c>
      <c r="BW623" s="12" t="s">
        <v>7189</v>
      </c>
    </row>
    <row r="624" spans="1:75" ht="12.75" customHeight="1">
      <c r="A624" s="3" t="s">
        <v>63</v>
      </c>
      <c r="B624" s="3" t="s">
        <v>6404</v>
      </c>
      <c r="C624" s="3"/>
      <c r="D624" s="3"/>
      <c r="E624" s="3"/>
      <c r="F624" s="3" t="s">
        <v>6405</v>
      </c>
      <c r="G624" s="3"/>
      <c r="H624" s="3"/>
      <c r="I624" s="3" t="s">
        <v>6406</v>
      </c>
      <c r="J624" s="3" t="s">
        <v>6407</v>
      </c>
      <c r="K624" s="3"/>
      <c r="L624" s="3"/>
      <c r="M624" s="3"/>
      <c r="N624" s="3"/>
      <c r="O624" s="3"/>
      <c r="P624" s="3"/>
      <c r="Q624" s="3"/>
      <c r="R624" s="3"/>
      <c r="S624" s="3"/>
      <c r="T624" s="3" t="s">
        <v>6408</v>
      </c>
      <c r="U624" s="3"/>
      <c r="V624" s="3"/>
      <c r="W624" s="3"/>
      <c r="X624" s="3"/>
      <c r="Y624" s="3" t="s">
        <v>6409</v>
      </c>
      <c r="Z624" s="3" t="s">
        <v>6410</v>
      </c>
      <c r="AA624" s="3"/>
      <c r="AB624" s="3"/>
      <c r="AC624" s="3"/>
      <c r="AD624" s="3"/>
      <c r="AE624" s="3"/>
      <c r="AF624" s="3"/>
      <c r="AG624" s="3"/>
      <c r="AH624" s="3"/>
      <c r="AI624" s="3"/>
      <c r="AJ624" s="3"/>
      <c r="AK624" s="3"/>
      <c r="AL624" s="3"/>
      <c r="AM624" s="3" t="s">
        <v>6411</v>
      </c>
      <c r="AN624" s="3" t="s">
        <v>6412</v>
      </c>
      <c r="AO624" s="3"/>
      <c r="AP624" s="3"/>
      <c r="AQ624" s="3"/>
      <c r="AR624" s="3" t="s">
        <v>1706</v>
      </c>
      <c r="AS624" s="3">
        <v>2023</v>
      </c>
      <c r="AT624" s="3">
        <v>73</v>
      </c>
      <c r="AU624" s="3">
        <v>3</v>
      </c>
      <c r="AV624" s="3"/>
      <c r="AW624" s="3">
        <v>2</v>
      </c>
      <c r="AX624" s="3"/>
      <c r="AY624" s="3"/>
      <c r="AZ624" s="3">
        <v>101</v>
      </c>
      <c r="BA624" s="3">
        <v>111</v>
      </c>
      <c r="BB624" s="3"/>
      <c r="BC624" s="3" t="s">
        <v>6413</v>
      </c>
      <c r="BD624" s="15" t="str">
        <f>HYPERLINK("http://dx.doi.org/10.37527/2023.73.S2.012","http://dx.doi.org/10.37527/2023.73.S2.012")</f>
        <v>http://dx.doi.org/10.37527/2023.73.S2.012</v>
      </c>
      <c r="BE624" s="3"/>
      <c r="BF624" s="3"/>
      <c r="BG624" s="3"/>
      <c r="BH624" s="3"/>
      <c r="BI624" s="3"/>
      <c r="BJ624" s="3" t="s">
        <v>6414</v>
      </c>
      <c r="BK624" s="3"/>
      <c r="BL624" s="3"/>
      <c r="BM624" s="3"/>
      <c r="BN624" s="3"/>
      <c r="BO624" s="3"/>
      <c r="BP624" s="3"/>
      <c r="BQ624" s="3"/>
      <c r="BR624" s="3"/>
      <c r="BS624" s="3"/>
      <c r="BT624" s="3"/>
      <c r="BU624" s="1" t="s">
        <v>7453</v>
      </c>
      <c r="BV624" s="2" t="s">
        <v>3516</v>
      </c>
      <c r="BW624" s="2" t="s">
        <v>7196</v>
      </c>
    </row>
    <row r="625" spans="1:75" ht="12.75" customHeight="1">
      <c r="A625" s="4" t="s">
        <v>63</v>
      </c>
      <c r="B625" s="4" t="s">
        <v>3113</v>
      </c>
      <c r="C625" s="4"/>
      <c r="D625" s="4"/>
      <c r="E625" s="4"/>
      <c r="F625" s="4" t="s">
        <v>3114</v>
      </c>
      <c r="G625" s="4"/>
      <c r="H625" s="4"/>
      <c r="I625" s="4" t="s">
        <v>3115</v>
      </c>
      <c r="J625" s="4" t="s">
        <v>3116</v>
      </c>
      <c r="K625" s="4"/>
      <c r="L625" s="4"/>
      <c r="M625" s="4"/>
      <c r="N625" s="4"/>
      <c r="O625" s="4"/>
      <c r="P625" s="4"/>
      <c r="Q625" s="4"/>
      <c r="R625" s="4"/>
      <c r="S625" s="4"/>
      <c r="T625" s="4" t="s">
        <v>3117</v>
      </c>
      <c r="U625" s="4"/>
      <c r="V625" s="4"/>
      <c r="W625" s="4"/>
      <c r="X625" s="4"/>
      <c r="Y625" s="4"/>
      <c r="Z625" s="4"/>
      <c r="AA625" s="4"/>
      <c r="AB625" s="4"/>
      <c r="AC625" s="4"/>
      <c r="AD625" s="4"/>
      <c r="AE625" s="4"/>
      <c r="AF625" s="4"/>
      <c r="AG625" s="4"/>
      <c r="AH625" s="4"/>
      <c r="AI625" s="4"/>
      <c r="AJ625" s="4"/>
      <c r="AK625" s="4"/>
      <c r="AL625" s="4"/>
      <c r="AM625" s="4" t="s">
        <v>3118</v>
      </c>
      <c r="AN625" s="4" t="s">
        <v>3119</v>
      </c>
      <c r="AO625" s="4"/>
      <c r="AP625" s="4"/>
      <c r="AQ625" s="4"/>
      <c r="AR625" s="4" t="s">
        <v>64</v>
      </c>
      <c r="AS625" s="4">
        <v>2017</v>
      </c>
      <c r="AT625" s="4">
        <v>28</v>
      </c>
      <c r="AU625" s="4">
        <v>4</v>
      </c>
      <c r="AV625" s="4"/>
      <c r="AW625" s="4"/>
      <c r="AX625" s="4"/>
      <c r="AY625" s="4"/>
      <c r="AZ625" s="4">
        <v>747</v>
      </c>
      <c r="BA625" s="4" t="s">
        <v>1460</v>
      </c>
      <c r="BB625" s="4"/>
      <c r="BC625" s="4" t="s">
        <v>3120</v>
      </c>
      <c r="BD625" s="5" t="str">
        <f>HYPERLINK("http://dx.doi.org/10.1016/j.pmr.2017.06.008","http://dx.doi.org/10.1016/j.pmr.2017.06.008")</f>
        <v>http://dx.doi.org/10.1016/j.pmr.2017.06.008</v>
      </c>
      <c r="BE625" s="4"/>
      <c r="BF625" s="4"/>
      <c r="BG625" s="4"/>
      <c r="BH625" s="4"/>
      <c r="BI625" s="4">
        <v>29031341</v>
      </c>
      <c r="BJ625" s="4" t="s">
        <v>3121</v>
      </c>
      <c r="BK625" s="4"/>
      <c r="BL625" s="4"/>
      <c r="BM625" s="4"/>
      <c r="BN625" s="4"/>
      <c r="BO625" s="4"/>
      <c r="BP625" s="4"/>
      <c r="BQ625" s="4"/>
      <c r="BR625" s="4"/>
      <c r="BS625" s="4"/>
      <c r="BT625" s="4"/>
      <c r="BU625" s="12" t="s">
        <v>7193</v>
      </c>
      <c r="BV625" s="12" t="s">
        <v>7188</v>
      </c>
      <c r="BW625" s="12" t="s">
        <v>7189</v>
      </c>
    </row>
    <row r="626" spans="1:75" ht="12.75" customHeight="1">
      <c r="A626" s="6" t="s">
        <v>63</v>
      </c>
      <c r="B626" s="6" t="s">
        <v>1255</v>
      </c>
      <c r="C626" s="6"/>
      <c r="D626" s="6"/>
      <c r="E626" s="6"/>
      <c r="F626" s="6" t="s">
        <v>1256</v>
      </c>
      <c r="G626" s="6"/>
      <c r="H626" s="6"/>
      <c r="I626" s="6" t="s">
        <v>1257</v>
      </c>
      <c r="J626" s="6" t="s">
        <v>1258</v>
      </c>
      <c r="K626" s="6"/>
      <c r="L626" s="6"/>
      <c r="M626" s="6"/>
      <c r="N626" s="6"/>
      <c r="O626" s="6"/>
      <c r="P626" s="6"/>
      <c r="Q626" s="6"/>
      <c r="R626" s="6"/>
      <c r="S626" s="6"/>
      <c r="T626" s="6"/>
      <c r="U626" s="6"/>
      <c r="V626" s="6"/>
      <c r="W626" s="6"/>
      <c r="X626" s="6"/>
      <c r="Y626" s="6" t="s">
        <v>1259</v>
      </c>
      <c r="Z626" s="6"/>
      <c r="AA626" s="6"/>
      <c r="AB626" s="6"/>
      <c r="AC626" s="6"/>
      <c r="AD626" s="6"/>
      <c r="AE626" s="6"/>
      <c r="AF626" s="6"/>
      <c r="AG626" s="6"/>
      <c r="AH626" s="6"/>
      <c r="AI626" s="6"/>
      <c r="AJ626" s="6"/>
      <c r="AK626" s="6"/>
      <c r="AL626" s="6"/>
      <c r="AM626" s="6" t="s">
        <v>1260</v>
      </c>
      <c r="AN626" s="6" t="s">
        <v>1261</v>
      </c>
      <c r="AO626" s="6"/>
      <c r="AP626" s="6"/>
      <c r="AQ626" s="6"/>
      <c r="AR626" s="6" t="s">
        <v>64</v>
      </c>
      <c r="AS626" s="6">
        <v>2013</v>
      </c>
      <c r="AT626" s="6">
        <v>53</v>
      </c>
      <c r="AU626" s="6"/>
      <c r="AV626" s="6"/>
      <c r="AW626" s="6">
        <v>1</v>
      </c>
      <c r="AX626" s="6"/>
      <c r="AY626" s="6"/>
      <c r="AZ626" s="6">
        <v>283</v>
      </c>
      <c r="BA626" s="6">
        <v>284</v>
      </c>
      <c r="BB626" s="6"/>
      <c r="BC626" s="6"/>
      <c r="BD626" s="6"/>
      <c r="BE626" s="6"/>
      <c r="BF626" s="6"/>
      <c r="BG626" s="6"/>
      <c r="BH626" s="6"/>
      <c r="BI626" s="6"/>
      <c r="BJ626" s="6" t="s">
        <v>1262</v>
      </c>
      <c r="BK626" s="6"/>
      <c r="BL626" s="6"/>
      <c r="BM626" s="6"/>
      <c r="BN626" s="6"/>
      <c r="BO626" s="6"/>
      <c r="BP626" s="6"/>
      <c r="BQ626" s="6"/>
      <c r="BR626" s="6"/>
      <c r="BS626" s="6"/>
      <c r="BT626" s="6"/>
      <c r="BU626" s="8" t="s">
        <v>7329</v>
      </c>
      <c r="BV626" s="8" t="s">
        <v>7188</v>
      </c>
      <c r="BW626" s="8" t="s">
        <v>7189</v>
      </c>
    </row>
    <row r="627" spans="1:75" ht="12.75" customHeight="1">
      <c r="A627" s="7" t="s">
        <v>63</v>
      </c>
      <c r="B627" s="7" t="s">
        <v>883</v>
      </c>
      <c r="C627" s="7"/>
      <c r="D627" s="7"/>
      <c r="E627" s="7"/>
      <c r="F627" s="7" t="s">
        <v>884</v>
      </c>
      <c r="G627" s="7"/>
      <c r="H627" s="7"/>
      <c r="I627" s="7" t="s">
        <v>885</v>
      </c>
      <c r="J627" s="7" t="s">
        <v>886</v>
      </c>
      <c r="K627" s="7"/>
      <c r="L627" s="7"/>
      <c r="M627" s="7"/>
      <c r="N627" s="7"/>
      <c r="O627" s="7"/>
      <c r="P627" s="7"/>
      <c r="Q627" s="7"/>
      <c r="R627" s="7"/>
      <c r="S627" s="7"/>
      <c r="T627" s="7"/>
      <c r="U627" s="7"/>
      <c r="V627" s="7"/>
      <c r="W627" s="7"/>
      <c r="X627" s="7"/>
      <c r="Y627" s="7" t="s">
        <v>887</v>
      </c>
      <c r="Z627" s="7"/>
      <c r="AA627" s="7"/>
      <c r="AB627" s="7"/>
      <c r="AC627" s="7"/>
      <c r="AD627" s="7"/>
      <c r="AE627" s="7"/>
      <c r="AF627" s="7"/>
      <c r="AG627" s="7"/>
      <c r="AH627" s="7"/>
      <c r="AI627" s="7"/>
      <c r="AJ627" s="7"/>
      <c r="AK627" s="7"/>
      <c r="AL627" s="7"/>
      <c r="AM627" s="7" t="s">
        <v>888</v>
      </c>
      <c r="AN627" s="7"/>
      <c r="AO627" s="7"/>
      <c r="AP627" s="7"/>
      <c r="AQ627" s="7"/>
      <c r="AR627" s="7" t="s">
        <v>65</v>
      </c>
      <c r="AS627" s="7">
        <v>2012</v>
      </c>
      <c r="AT627" s="7">
        <v>32</v>
      </c>
      <c r="AU627" s="7">
        <v>4</v>
      </c>
      <c r="AV627" s="7"/>
      <c r="AW627" s="7"/>
      <c r="AX627" s="7"/>
      <c r="AY627" s="7"/>
      <c r="AZ627" s="7">
        <v>450</v>
      </c>
      <c r="BA627" s="7">
        <v>450</v>
      </c>
      <c r="BB627" s="7"/>
      <c r="BC627" s="7"/>
      <c r="BD627" s="7"/>
      <c r="BE627" s="7"/>
      <c r="BF627" s="7"/>
      <c r="BG627" s="7"/>
      <c r="BH627" s="7"/>
      <c r="BI627" s="7"/>
      <c r="BJ627" s="7" t="s">
        <v>889</v>
      </c>
      <c r="BK627" s="7"/>
      <c r="BL627" s="7"/>
      <c r="BM627" s="7"/>
      <c r="BN627" s="7"/>
      <c r="BO627" s="7"/>
      <c r="BP627" s="7"/>
      <c r="BQ627" s="7"/>
      <c r="BR627" s="7"/>
      <c r="BS627" s="7"/>
      <c r="BT627" s="7"/>
      <c r="BU627" s="1" t="s">
        <v>7454</v>
      </c>
      <c r="BV627" s="10" t="s">
        <v>7455</v>
      </c>
      <c r="BW627" s="10" t="s">
        <v>7205</v>
      </c>
    </row>
    <row r="628" spans="1:75" ht="12.75" customHeight="1">
      <c r="A628" s="3" t="s">
        <v>63</v>
      </c>
      <c r="B628" s="3" t="s">
        <v>3972</v>
      </c>
      <c r="C628" s="3"/>
      <c r="D628" s="3"/>
      <c r="E628" s="3"/>
      <c r="F628" s="3" t="s">
        <v>3973</v>
      </c>
      <c r="G628" s="3"/>
      <c r="H628" s="3"/>
      <c r="I628" s="3" t="s">
        <v>3974</v>
      </c>
      <c r="J628" s="3" t="s">
        <v>1142</v>
      </c>
      <c r="K628" s="3"/>
      <c r="L628" s="3"/>
      <c r="M628" s="3"/>
      <c r="N628" s="3"/>
      <c r="O628" s="3"/>
      <c r="P628" s="3"/>
      <c r="Q628" s="3"/>
      <c r="R628" s="3"/>
      <c r="S628" s="3"/>
      <c r="T628" s="3" t="s">
        <v>3975</v>
      </c>
      <c r="U628" s="3"/>
      <c r="V628" s="3"/>
      <c r="W628" s="3"/>
      <c r="X628" s="3"/>
      <c r="Y628" s="3" t="s">
        <v>3976</v>
      </c>
      <c r="Z628" s="3" t="s">
        <v>3977</v>
      </c>
      <c r="AA628" s="3"/>
      <c r="AB628" s="3"/>
      <c r="AC628" s="3"/>
      <c r="AD628" s="3"/>
      <c r="AE628" s="3"/>
      <c r="AF628" s="3"/>
      <c r="AG628" s="3"/>
      <c r="AH628" s="3"/>
      <c r="AI628" s="3"/>
      <c r="AJ628" s="3"/>
      <c r="AK628" s="3"/>
      <c r="AL628" s="3"/>
      <c r="AM628" s="3" t="s">
        <v>3978</v>
      </c>
      <c r="AN628" s="3" t="s">
        <v>1144</v>
      </c>
      <c r="AO628" s="3"/>
      <c r="AP628" s="3"/>
      <c r="AQ628" s="3"/>
      <c r="AR628" s="3" t="s">
        <v>3979</v>
      </c>
      <c r="AS628" s="3">
        <v>2019</v>
      </c>
      <c r="AT628" s="3">
        <v>16</v>
      </c>
      <c r="AU628" s="3">
        <v>5</v>
      </c>
      <c r="AV628" s="3"/>
      <c r="AW628" s="3"/>
      <c r="AX628" s="3"/>
      <c r="AY628" s="3"/>
      <c r="AZ628" s="3"/>
      <c r="BA628" s="3"/>
      <c r="BB628" s="3">
        <v>710</v>
      </c>
      <c r="BC628" s="3" t="s">
        <v>3980</v>
      </c>
      <c r="BD628" s="15" t="str">
        <f>HYPERLINK("http://dx.doi.org/10.3390/ijerph16050710","http://dx.doi.org/10.3390/ijerph16050710")</f>
        <v>http://dx.doi.org/10.3390/ijerph16050710</v>
      </c>
      <c r="BE628" s="3"/>
      <c r="BF628" s="3"/>
      <c r="BG628" s="3"/>
      <c r="BH628" s="3"/>
      <c r="BI628" s="3">
        <v>30818846</v>
      </c>
      <c r="BJ628" s="3" t="s">
        <v>3981</v>
      </c>
      <c r="BK628" s="3"/>
      <c r="BL628" s="3"/>
      <c r="BM628" s="3"/>
      <c r="BN628" s="3"/>
      <c r="BO628" s="3"/>
      <c r="BP628" s="3"/>
      <c r="BQ628" s="3"/>
      <c r="BR628" s="3"/>
      <c r="BS628" s="3"/>
      <c r="BT628" s="3"/>
      <c r="BU628" s="2" t="s">
        <v>7193</v>
      </c>
      <c r="BV628" s="2" t="s">
        <v>7188</v>
      </c>
      <c r="BW628" s="2" t="s">
        <v>7189</v>
      </c>
    </row>
    <row r="629" spans="1:75" ht="12.75" customHeight="1">
      <c r="A629" s="4" t="s">
        <v>63</v>
      </c>
      <c r="B629" s="4" t="s">
        <v>5803</v>
      </c>
      <c r="C629" s="4"/>
      <c r="D629" s="4"/>
      <c r="E629" s="4"/>
      <c r="F629" s="4" t="s">
        <v>5804</v>
      </c>
      <c r="G629" s="4"/>
      <c r="H629" s="4"/>
      <c r="I629" s="4" t="s">
        <v>5805</v>
      </c>
      <c r="J629" s="4" t="s">
        <v>5462</v>
      </c>
      <c r="K629" s="4"/>
      <c r="L629" s="4"/>
      <c r="M629" s="4"/>
      <c r="N629" s="4"/>
      <c r="O629" s="4"/>
      <c r="P629" s="4"/>
      <c r="Q629" s="4"/>
      <c r="R629" s="4"/>
      <c r="S629" s="4"/>
      <c r="T629" s="4" t="s">
        <v>5806</v>
      </c>
      <c r="U629" s="4"/>
      <c r="V629" s="4"/>
      <c r="W629" s="4"/>
      <c r="X629" s="4"/>
      <c r="Y629" s="4" t="s">
        <v>5807</v>
      </c>
      <c r="Z629" s="4" t="s">
        <v>5808</v>
      </c>
      <c r="AA629" s="4"/>
      <c r="AB629" s="4"/>
      <c r="AC629" s="4"/>
      <c r="AD629" s="4"/>
      <c r="AE629" s="4"/>
      <c r="AF629" s="4"/>
      <c r="AG629" s="4"/>
      <c r="AH629" s="4"/>
      <c r="AI629" s="4"/>
      <c r="AJ629" s="4"/>
      <c r="AK629" s="4"/>
      <c r="AL629" s="4"/>
      <c r="AM629" s="4" t="s">
        <v>5464</v>
      </c>
      <c r="AN629" s="4" t="s">
        <v>5465</v>
      </c>
      <c r="AO629" s="4"/>
      <c r="AP629" s="4"/>
      <c r="AQ629" s="4"/>
      <c r="AR629" s="4"/>
      <c r="AS629" s="4">
        <v>2022</v>
      </c>
      <c r="AT629" s="4">
        <v>35</v>
      </c>
      <c r="AU629" s="4">
        <v>25</v>
      </c>
      <c r="AV629" s="4"/>
      <c r="AW629" s="4"/>
      <c r="AX629" s="4"/>
      <c r="AY629" s="4"/>
      <c r="AZ629" s="4">
        <v>10110</v>
      </c>
      <c r="BA629" s="4">
        <v>10115</v>
      </c>
      <c r="BB629" s="4"/>
      <c r="BC629" s="4" t="s">
        <v>5809</v>
      </c>
      <c r="BD629" s="5" t="str">
        <f>HYPERLINK("http://dx.doi.org/10.1080/14767058.2022.2118045","http://dx.doi.org/10.1080/14767058.2022.2118045")</f>
        <v>http://dx.doi.org/10.1080/14767058.2022.2118045</v>
      </c>
      <c r="BE629" s="4"/>
      <c r="BF629" s="4" t="s">
        <v>5810</v>
      </c>
      <c r="BG629" s="4"/>
      <c r="BH629" s="4"/>
      <c r="BI629" s="4">
        <v>36038962</v>
      </c>
      <c r="BJ629" s="4" t="s">
        <v>5811</v>
      </c>
      <c r="BK629" s="4"/>
      <c r="BL629" s="4"/>
      <c r="BM629" s="4"/>
      <c r="BN629" s="4"/>
      <c r="BO629" s="4"/>
      <c r="BP629" s="4"/>
      <c r="BQ629" s="4"/>
      <c r="BR629" s="4"/>
      <c r="BS629" s="4"/>
      <c r="BT629" s="4"/>
      <c r="BU629" s="12" t="s">
        <v>7436</v>
      </c>
      <c r="BV629" s="12" t="s">
        <v>7188</v>
      </c>
      <c r="BW629" s="12" t="s">
        <v>7189</v>
      </c>
    </row>
    <row r="630" spans="1:75" ht="12.75" customHeight="1">
      <c r="A630" s="3" t="s">
        <v>63</v>
      </c>
      <c r="B630" s="3" t="s">
        <v>4495</v>
      </c>
      <c r="C630" s="3"/>
      <c r="D630" s="3"/>
      <c r="E630" s="3"/>
      <c r="F630" s="3" t="s">
        <v>4496</v>
      </c>
      <c r="G630" s="3"/>
      <c r="H630" s="3"/>
      <c r="I630" s="3" t="s">
        <v>4497</v>
      </c>
      <c r="J630" s="3" t="s">
        <v>3459</v>
      </c>
      <c r="K630" s="3"/>
      <c r="L630" s="3"/>
      <c r="M630" s="3"/>
      <c r="N630" s="3" t="s">
        <v>4498</v>
      </c>
      <c r="O630" s="3" t="s">
        <v>4499</v>
      </c>
      <c r="P630" s="3" t="s">
        <v>3462</v>
      </c>
      <c r="Q630" s="3"/>
      <c r="R630" s="3"/>
      <c r="S630" s="3"/>
      <c r="T630" s="3"/>
      <c r="U630" s="3"/>
      <c r="V630" s="3"/>
      <c r="W630" s="3"/>
      <c r="X630" s="3"/>
      <c r="Y630" s="3"/>
      <c r="Z630" s="3"/>
      <c r="AA630" s="3"/>
      <c r="AB630" s="3"/>
      <c r="AC630" s="3"/>
      <c r="AD630" s="3"/>
      <c r="AE630" s="3"/>
      <c r="AF630" s="3"/>
      <c r="AG630" s="3"/>
      <c r="AH630" s="3"/>
      <c r="AI630" s="3"/>
      <c r="AJ630" s="3"/>
      <c r="AK630" s="3"/>
      <c r="AL630" s="3"/>
      <c r="AM630" s="3" t="s">
        <v>3463</v>
      </c>
      <c r="AN630" s="3"/>
      <c r="AO630" s="3"/>
      <c r="AP630" s="3"/>
      <c r="AQ630" s="3"/>
      <c r="AR630" s="3" t="s">
        <v>78</v>
      </c>
      <c r="AS630" s="3">
        <v>2020</v>
      </c>
      <c r="AT630" s="3">
        <v>135</v>
      </c>
      <c r="AU630" s="3"/>
      <c r="AV630" s="3"/>
      <c r="AW630" s="3">
        <v>1</v>
      </c>
      <c r="AX630" s="3"/>
      <c r="AY630" s="3" t="s">
        <v>4500</v>
      </c>
      <c r="AZ630" s="3" t="s">
        <v>4501</v>
      </c>
      <c r="BA630" s="3" t="s">
        <v>4501</v>
      </c>
      <c r="BB630" s="3"/>
      <c r="BC630" s="3"/>
      <c r="BD630" s="3"/>
      <c r="BE630" s="3"/>
      <c r="BF630" s="3"/>
      <c r="BG630" s="3"/>
      <c r="BH630" s="3"/>
      <c r="BI630" s="3"/>
      <c r="BJ630" s="3" t="s">
        <v>4502</v>
      </c>
      <c r="BK630" s="3"/>
      <c r="BL630" s="3"/>
      <c r="BM630" s="3"/>
      <c r="BN630" s="3"/>
      <c r="BO630" s="3"/>
      <c r="BP630" s="3"/>
      <c r="BQ630" s="3"/>
      <c r="BR630" s="3"/>
      <c r="BS630" s="3"/>
      <c r="BT630" s="3"/>
      <c r="BU630" s="1" t="s">
        <v>7291</v>
      </c>
      <c r="BV630" s="2" t="s">
        <v>7188</v>
      </c>
      <c r="BW630" s="2" t="s">
        <v>7189</v>
      </c>
    </row>
    <row r="631" spans="1:75" ht="12.75" customHeight="1">
      <c r="A631" s="3" t="s">
        <v>63</v>
      </c>
      <c r="B631" s="3" t="s">
        <v>2016</v>
      </c>
      <c r="C631" s="3"/>
      <c r="D631" s="3"/>
      <c r="E631" s="3"/>
      <c r="F631" s="3" t="s">
        <v>2017</v>
      </c>
      <c r="G631" s="3"/>
      <c r="H631" s="3"/>
      <c r="I631" s="3" t="s">
        <v>2018</v>
      </c>
      <c r="J631" s="3" t="s">
        <v>1221</v>
      </c>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t="s">
        <v>1225</v>
      </c>
      <c r="AN631" s="3" t="s">
        <v>2019</v>
      </c>
      <c r="AO631" s="3"/>
      <c r="AP631" s="3"/>
      <c r="AQ631" s="3"/>
      <c r="AR631" s="3" t="s">
        <v>68</v>
      </c>
      <c r="AS631" s="3">
        <v>2015</v>
      </c>
      <c r="AT631" s="3">
        <v>29</v>
      </c>
      <c r="AU631" s="3"/>
      <c r="AV631" s="3"/>
      <c r="AW631" s="3">
        <v>1</v>
      </c>
      <c r="AX631" s="3"/>
      <c r="AY631" s="3">
        <v>132.6</v>
      </c>
      <c r="AZ631" s="3"/>
      <c r="BA631" s="3"/>
      <c r="BB631" s="3"/>
      <c r="BC631" s="3"/>
      <c r="BD631" s="3"/>
      <c r="BE631" s="3"/>
      <c r="BF631" s="3"/>
      <c r="BG631" s="3"/>
      <c r="BH631" s="3"/>
      <c r="BI631" s="3"/>
      <c r="BJ631" s="3" t="s">
        <v>2020</v>
      </c>
      <c r="BK631" s="3"/>
      <c r="BL631" s="3"/>
      <c r="BM631" s="3"/>
      <c r="BN631" s="3"/>
      <c r="BO631" s="3"/>
      <c r="BP631" s="3"/>
      <c r="BQ631" s="3"/>
      <c r="BR631" s="3"/>
      <c r="BS631" s="3"/>
      <c r="BT631" s="3"/>
      <c r="BU631" s="2" t="s">
        <v>7193</v>
      </c>
      <c r="BV631" s="2" t="s">
        <v>7188</v>
      </c>
      <c r="BW631" s="2" t="s">
        <v>7189</v>
      </c>
    </row>
    <row r="632" spans="1:75" ht="12.75" customHeight="1">
      <c r="A632" s="3" t="s">
        <v>63</v>
      </c>
      <c r="B632" s="3" t="s">
        <v>6415</v>
      </c>
      <c r="C632" s="3"/>
      <c r="D632" s="3"/>
      <c r="E632" s="3"/>
      <c r="F632" s="3" t="s">
        <v>6416</v>
      </c>
      <c r="G632" s="3"/>
      <c r="H632" s="3"/>
      <c r="I632" s="3" t="s">
        <v>6417</v>
      </c>
      <c r="J632" s="3" t="s">
        <v>4366</v>
      </c>
      <c r="K632" s="3"/>
      <c r="L632" s="3"/>
      <c r="M632" s="3"/>
      <c r="N632" s="3" t="s">
        <v>6418</v>
      </c>
      <c r="O632" s="3" t="s">
        <v>6297</v>
      </c>
      <c r="P632" s="3" t="s">
        <v>6419</v>
      </c>
      <c r="Q632" s="3"/>
      <c r="R632" s="3"/>
      <c r="S632" s="3"/>
      <c r="T632" s="3"/>
      <c r="U632" s="3"/>
      <c r="V632" s="3"/>
      <c r="W632" s="3"/>
      <c r="X632" s="3"/>
      <c r="Y632" s="3"/>
      <c r="Z632" s="3"/>
      <c r="AA632" s="3"/>
      <c r="AB632" s="3"/>
      <c r="AC632" s="3"/>
      <c r="AD632" s="3"/>
      <c r="AE632" s="3"/>
      <c r="AF632" s="3"/>
      <c r="AG632" s="3"/>
      <c r="AH632" s="3"/>
      <c r="AI632" s="3"/>
      <c r="AJ632" s="3"/>
      <c r="AK632" s="3"/>
      <c r="AL632" s="3"/>
      <c r="AM632" s="3" t="s">
        <v>4367</v>
      </c>
      <c r="AN632" s="3" t="s">
        <v>4368</v>
      </c>
      <c r="AO632" s="3"/>
      <c r="AP632" s="3"/>
      <c r="AQ632" s="3"/>
      <c r="AR632" s="3" t="s">
        <v>445</v>
      </c>
      <c r="AS632" s="3">
        <v>2023</v>
      </c>
      <c r="AT632" s="3">
        <v>58</v>
      </c>
      <c r="AU632" s="3">
        <v>9</v>
      </c>
      <c r="AV632" s="3"/>
      <c r="AW632" s="3" t="s">
        <v>151</v>
      </c>
      <c r="AX632" s="3"/>
      <c r="AY632" s="3"/>
      <c r="AZ632" s="3" t="s">
        <v>6420</v>
      </c>
      <c r="BA632" s="3" t="s">
        <v>6421</v>
      </c>
      <c r="BB632" s="3"/>
      <c r="BC632" s="3"/>
      <c r="BD632" s="3"/>
      <c r="BE632" s="3"/>
      <c r="BF632" s="3"/>
      <c r="BG632" s="3"/>
      <c r="BH632" s="3"/>
      <c r="BI632" s="3"/>
      <c r="BJ632" s="3" t="s">
        <v>6422</v>
      </c>
      <c r="BK632" s="3"/>
      <c r="BL632" s="3"/>
      <c r="BM632" s="3"/>
      <c r="BN632" s="3"/>
      <c r="BO632" s="3"/>
      <c r="BP632" s="3"/>
      <c r="BQ632" s="3"/>
      <c r="BR632" s="3"/>
      <c r="BS632" s="3"/>
      <c r="BT632" s="3"/>
      <c r="BU632" s="1" t="s">
        <v>7406</v>
      </c>
      <c r="BV632" s="2" t="s">
        <v>7188</v>
      </c>
      <c r="BW632" s="2" t="s">
        <v>7189</v>
      </c>
    </row>
    <row r="633" spans="1:75" ht="12.75" customHeight="1">
      <c r="A633" s="4" t="s">
        <v>63</v>
      </c>
      <c r="B633" s="4" t="s">
        <v>5812</v>
      </c>
      <c r="C633" s="4"/>
      <c r="D633" s="4"/>
      <c r="E633" s="4"/>
      <c r="F633" s="4" t="s">
        <v>5813</v>
      </c>
      <c r="G633" s="4"/>
      <c r="H633" s="4"/>
      <c r="I633" s="4" t="s">
        <v>5814</v>
      </c>
      <c r="J633" s="4" t="s">
        <v>5815</v>
      </c>
      <c r="K633" s="4"/>
      <c r="L633" s="4"/>
      <c r="M633" s="4"/>
      <c r="N633" s="4"/>
      <c r="O633" s="4"/>
      <c r="P633" s="4"/>
      <c r="Q633" s="4"/>
      <c r="R633" s="4"/>
      <c r="S633" s="4"/>
      <c r="T633" s="4" t="s">
        <v>5816</v>
      </c>
      <c r="U633" s="4"/>
      <c r="V633" s="4"/>
      <c r="W633" s="4"/>
      <c r="X633" s="4"/>
      <c r="Y633" s="4" t="s">
        <v>5817</v>
      </c>
      <c r="Z633" s="4" t="s">
        <v>5818</v>
      </c>
      <c r="AA633" s="4"/>
      <c r="AB633" s="4"/>
      <c r="AC633" s="4"/>
      <c r="AD633" s="4"/>
      <c r="AE633" s="4"/>
      <c r="AF633" s="4"/>
      <c r="AG633" s="4"/>
      <c r="AH633" s="4"/>
      <c r="AI633" s="4"/>
      <c r="AJ633" s="4"/>
      <c r="AK633" s="4"/>
      <c r="AL633" s="4"/>
      <c r="AM633" s="4" t="s">
        <v>5819</v>
      </c>
      <c r="AN633" s="4"/>
      <c r="AO633" s="4"/>
      <c r="AP633" s="4"/>
      <c r="AQ633" s="4"/>
      <c r="AR633" s="4" t="s">
        <v>5820</v>
      </c>
      <c r="AS633" s="4">
        <v>2022</v>
      </c>
      <c r="AT633" s="4">
        <v>12</v>
      </c>
      <c r="AU633" s="4">
        <v>1</v>
      </c>
      <c r="AV633" s="4"/>
      <c r="AW633" s="4"/>
      <c r="AX633" s="4"/>
      <c r="AY633" s="4"/>
      <c r="AZ633" s="4"/>
      <c r="BA633" s="4"/>
      <c r="BB633" s="4">
        <v>20203</v>
      </c>
      <c r="BC633" s="4" t="s">
        <v>5821</v>
      </c>
      <c r="BD633" s="5" t="str">
        <f>HYPERLINK("http://dx.doi.org/10.1038/s41598-022-23532-y","http://dx.doi.org/10.1038/s41598-022-23532-y")</f>
        <v>http://dx.doi.org/10.1038/s41598-022-23532-y</v>
      </c>
      <c r="BE633" s="4"/>
      <c r="BF633" s="4"/>
      <c r="BG633" s="4"/>
      <c r="BH633" s="4"/>
      <c r="BI633" s="4">
        <v>36424444</v>
      </c>
      <c r="BJ633" s="4" t="s">
        <v>5822</v>
      </c>
      <c r="BK633" s="4"/>
      <c r="BL633" s="4"/>
      <c r="BM633" s="4"/>
      <c r="BN633" s="4"/>
      <c r="BO633" s="4"/>
      <c r="BP633" s="4"/>
      <c r="BQ633" s="4"/>
      <c r="BR633" s="4"/>
      <c r="BS633" s="4"/>
      <c r="BT633" s="4"/>
      <c r="BU633" s="12" t="s">
        <v>7210</v>
      </c>
      <c r="BV633" s="12" t="s">
        <v>7188</v>
      </c>
      <c r="BW633" s="12" t="s">
        <v>7189</v>
      </c>
    </row>
    <row r="634" spans="1:75" ht="12.75" customHeight="1">
      <c r="A634" s="4" t="s">
        <v>63</v>
      </c>
      <c r="B634" s="4" t="s">
        <v>3982</v>
      </c>
      <c r="C634" s="4"/>
      <c r="D634" s="4"/>
      <c r="E634" s="4"/>
      <c r="F634" s="4" t="s">
        <v>3983</v>
      </c>
      <c r="G634" s="4"/>
      <c r="H634" s="4"/>
      <c r="I634" s="4" t="s">
        <v>3984</v>
      </c>
      <c r="J634" s="4" t="s">
        <v>3985</v>
      </c>
      <c r="K634" s="4"/>
      <c r="L634" s="4"/>
      <c r="M634" s="4"/>
      <c r="N634" s="4"/>
      <c r="O634" s="4"/>
      <c r="P634" s="4"/>
      <c r="Q634" s="4"/>
      <c r="R634" s="4"/>
      <c r="S634" s="4"/>
      <c r="T634" s="4" t="s">
        <v>3986</v>
      </c>
      <c r="U634" s="4"/>
      <c r="V634" s="4"/>
      <c r="W634" s="4"/>
      <c r="X634" s="4"/>
      <c r="Y634" s="4"/>
      <c r="Z634" s="4" t="s">
        <v>3987</v>
      </c>
      <c r="AA634" s="4"/>
      <c r="AB634" s="4"/>
      <c r="AC634" s="4"/>
      <c r="AD634" s="4"/>
      <c r="AE634" s="4"/>
      <c r="AF634" s="4"/>
      <c r="AG634" s="4"/>
      <c r="AH634" s="4"/>
      <c r="AI634" s="4"/>
      <c r="AJ634" s="4"/>
      <c r="AK634" s="4"/>
      <c r="AL634" s="4"/>
      <c r="AM634" s="4" t="s">
        <v>3988</v>
      </c>
      <c r="AN634" s="4" t="s">
        <v>3989</v>
      </c>
      <c r="AO634" s="4"/>
      <c r="AP634" s="4"/>
      <c r="AQ634" s="4"/>
      <c r="AR634" s="4" t="s">
        <v>173</v>
      </c>
      <c r="AS634" s="4">
        <v>2019</v>
      </c>
      <c r="AT634" s="4">
        <v>10</v>
      </c>
      <c r="AU634" s="4">
        <v>3</v>
      </c>
      <c r="AV634" s="4"/>
      <c r="AW634" s="4"/>
      <c r="AX634" s="4"/>
      <c r="AY634" s="4"/>
      <c r="AZ634" s="4">
        <v>222</v>
      </c>
      <c r="BA634" s="4">
        <v>228</v>
      </c>
      <c r="BB634" s="4"/>
      <c r="BC634" s="4" t="s">
        <v>3990</v>
      </c>
      <c r="BD634" s="5" t="str">
        <f>HYPERLINK("http://dx.doi.org/10.1136/flgastro-2018-101088","http://dx.doi.org/10.1136/flgastro-2018-101088")</f>
        <v>http://dx.doi.org/10.1136/flgastro-2018-101088</v>
      </c>
      <c r="BE634" s="4"/>
      <c r="BF634" s="4"/>
      <c r="BG634" s="4"/>
      <c r="BH634" s="4"/>
      <c r="BI634" s="4">
        <v>31281622</v>
      </c>
      <c r="BJ634" s="4" t="s">
        <v>3991</v>
      </c>
      <c r="BK634" s="4"/>
      <c r="BL634" s="4"/>
      <c r="BM634" s="4"/>
      <c r="BN634" s="4"/>
      <c r="BO634" s="4"/>
      <c r="BP634" s="4"/>
      <c r="BQ634" s="4"/>
      <c r="BR634" s="4"/>
      <c r="BS634" s="4"/>
      <c r="BT634" s="4"/>
      <c r="BU634" s="12" t="s">
        <v>7373</v>
      </c>
      <c r="BV634" s="12" t="s">
        <v>7214</v>
      </c>
      <c r="BW634" s="12" t="s">
        <v>7205</v>
      </c>
    </row>
    <row r="635" spans="1:75" ht="12.75" customHeight="1">
      <c r="A635" s="6" t="s">
        <v>63</v>
      </c>
      <c r="B635" s="6" t="s">
        <v>5162</v>
      </c>
      <c r="C635" s="6"/>
      <c r="D635" s="6"/>
      <c r="E635" s="6"/>
      <c r="F635" s="6" t="s">
        <v>5163</v>
      </c>
      <c r="G635" s="6"/>
      <c r="H635" s="6"/>
      <c r="I635" s="6" t="s">
        <v>5164</v>
      </c>
      <c r="J635" s="6" t="s">
        <v>1874</v>
      </c>
      <c r="K635" s="6"/>
      <c r="L635" s="6"/>
      <c r="M635" s="6"/>
      <c r="N635" s="6"/>
      <c r="O635" s="6"/>
      <c r="P635" s="6"/>
      <c r="Q635" s="6"/>
      <c r="R635" s="6"/>
      <c r="S635" s="6"/>
      <c r="T635" s="6" t="s">
        <v>5165</v>
      </c>
      <c r="U635" s="6"/>
      <c r="V635" s="6"/>
      <c r="W635" s="6"/>
      <c r="X635" s="6"/>
      <c r="Y635" s="6"/>
      <c r="Z635" s="6"/>
      <c r="AA635" s="6"/>
      <c r="AB635" s="6"/>
      <c r="AC635" s="6"/>
      <c r="AD635" s="6"/>
      <c r="AE635" s="6"/>
      <c r="AF635" s="6"/>
      <c r="AG635" s="6"/>
      <c r="AH635" s="6"/>
      <c r="AI635" s="6"/>
      <c r="AJ635" s="6"/>
      <c r="AK635" s="6"/>
      <c r="AL635" s="6"/>
      <c r="AM635" s="6" t="s">
        <v>1877</v>
      </c>
      <c r="AN635" s="6" t="s">
        <v>1878</v>
      </c>
      <c r="AO635" s="6"/>
      <c r="AP635" s="6"/>
      <c r="AQ635" s="6"/>
      <c r="AR635" s="6" t="s">
        <v>66</v>
      </c>
      <c r="AS635" s="6">
        <v>2021</v>
      </c>
      <c r="AT635" s="6">
        <v>94</v>
      </c>
      <c r="AU635" s="6"/>
      <c r="AV635" s="6"/>
      <c r="AW635" s="6"/>
      <c r="AX635" s="6"/>
      <c r="AY635" s="6"/>
      <c r="AZ635" s="6"/>
      <c r="BA635" s="6"/>
      <c r="BB635" s="6">
        <v>103107</v>
      </c>
      <c r="BC635" s="6" t="s">
        <v>5166</v>
      </c>
      <c r="BD635" s="9" t="str">
        <f>HYPERLINK("http://dx.doi.org/10.1016/j.jtrangeo.2021.103107","http://dx.doi.org/10.1016/j.jtrangeo.2021.103107")</f>
        <v>http://dx.doi.org/10.1016/j.jtrangeo.2021.103107</v>
      </c>
      <c r="BE635" s="6"/>
      <c r="BF635" s="6" t="s">
        <v>5167</v>
      </c>
      <c r="BG635" s="6"/>
      <c r="BH635" s="6"/>
      <c r="BI635" s="6"/>
      <c r="BJ635" s="6" t="s">
        <v>5168</v>
      </c>
      <c r="BK635" s="6"/>
      <c r="BL635" s="6"/>
      <c r="BM635" s="6"/>
      <c r="BN635" s="6"/>
      <c r="BO635" s="6"/>
      <c r="BP635" s="6"/>
      <c r="BQ635" s="6"/>
      <c r="BR635" s="6"/>
      <c r="BS635" s="6"/>
      <c r="BT635" s="6"/>
      <c r="BU635" s="8" t="s">
        <v>7456</v>
      </c>
      <c r="BV635" s="8" t="s">
        <v>7188</v>
      </c>
      <c r="BW635" s="8" t="s">
        <v>7189</v>
      </c>
    </row>
    <row r="636" spans="1:75" ht="12.75" customHeight="1">
      <c r="A636" s="6" t="s">
        <v>63</v>
      </c>
      <c r="B636" s="6" t="s">
        <v>1624</v>
      </c>
      <c r="C636" s="6"/>
      <c r="D636" s="6"/>
      <c r="E636" s="6"/>
      <c r="F636" s="6" t="s">
        <v>1625</v>
      </c>
      <c r="G636" s="6"/>
      <c r="H636" s="6"/>
      <c r="I636" s="6" t="s">
        <v>1626</v>
      </c>
      <c r="J636" s="6" t="s">
        <v>434</v>
      </c>
      <c r="K636" s="6"/>
      <c r="L636" s="6"/>
      <c r="M636" s="6"/>
      <c r="N636" s="6"/>
      <c r="O636" s="6"/>
      <c r="P636" s="6"/>
      <c r="Q636" s="6"/>
      <c r="R636" s="6"/>
      <c r="S636" s="6"/>
      <c r="T636" s="6" t="s">
        <v>1627</v>
      </c>
      <c r="U636" s="6"/>
      <c r="V636" s="6"/>
      <c r="W636" s="6"/>
      <c r="X636" s="6"/>
      <c r="Y636" s="6"/>
      <c r="Z636" s="6"/>
      <c r="AA636" s="6"/>
      <c r="AB636" s="6"/>
      <c r="AC636" s="6"/>
      <c r="AD636" s="6"/>
      <c r="AE636" s="6"/>
      <c r="AF636" s="6"/>
      <c r="AG636" s="6"/>
      <c r="AH636" s="6"/>
      <c r="AI636" s="6"/>
      <c r="AJ636" s="6"/>
      <c r="AK636" s="6"/>
      <c r="AL636" s="6"/>
      <c r="AM636" s="6" t="s">
        <v>436</v>
      </c>
      <c r="AN636" s="6" t="s">
        <v>568</v>
      </c>
      <c r="AO636" s="6"/>
      <c r="AP636" s="6"/>
      <c r="AQ636" s="6"/>
      <c r="AR636" s="6" t="s">
        <v>173</v>
      </c>
      <c r="AS636" s="6">
        <v>2014</v>
      </c>
      <c r="AT636" s="6">
        <v>51</v>
      </c>
      <c r="AU636" s="6"/>
      <c r="AV636" s="6"/>
      <c r="AW636" s="6"/>
      <c r="AX636" s="6"/>
      <c r="AY636" s="6"/>
      <c r="AZ636" s="6">
        <v>99</v>
      </c>
      <c r="BA636" s="6">
        <v>107</v>
      </c>
      <c r="BB636" s="6"/>
      <c r="BC636" s="6" t="s">
        <v>1628</v>
      </c>
      <c r="BD636" s="9" t="str">
        <f>HYPERLINK("http://dx.doi.org/10.1016/j.apgeog.2014.03.007","http://dx.doi.org/10.1016/j.apgeog.2014.03.007")</f>
        <v>http://dx.doi.org/10.1016/j.apgeog.2014.03.007</v>
      </c>
      <c r="BE636" s="6"/>
      <c r="BF636" s="6"/>
      <c r="BG636" s="6"/>
      <c r="BH636" s="6"/>
      <c r="BI636" s="6"/>
      <c r="BJ636" s="6" t="s">
        <v>1629</v>
      </c>
      <c r="BK636" s="6"/>
      <c r="BL636" s="6"/>
      <c r="BM636" s="6"/>
      <c r="BN636" s="6"/>
      <c r="BO636" s="6"/>
      <c r="BP636" s="6"/>
      <c r="BQ636" s="6"/>
      <c r="BR636" s="6"/>
      <c r="BS636" s="6"/>
      <c r="BT636" s="6"/>
      <c r="BU636" s="8" t="s">
        <v>7281</v>
      </c>
      <c r="BV636" s="8" t="s">
        <v>7188</v>
      </c>
      <c r="BW636" s="8" t="s">
        <v>7189</v>
      </c>
    </row>
    <row r="637" spans="1:75" ht="12.75" customHeight="1">
      <c r="A637" s="3" t="s">
        <v>63</v>
      </c>
      <c r="B637" s="3" t="s">
        <v>3992</v>
      </c>
      <c r="C637" s="3"/>
      <c r="D637" s="3"/>
      <c r="E637" s="3"/>
      <c r="F637" s="3" t="s">
        <v>3993</v>
      </c>
      <c r="G637" s="3"/>
      <c r="H637" s="3"/>
      <c r="I637" s="3" t="s">
        <v>3994</v>
      </c>
      <c r="J637" s="3" t="s">
        <v>532</v>
      </c>
      <c r="K637" s="3"/>
      <c r="L637" s="3"/>
      <c r="M637" s="3"/>
      <c r="N637" s="3"/>
      <c r="O637" s="3"/>
      <c r="P637" s="3"/>
      <c r="Q637" s="3"/>
      <c r="R637" s="3"/>
      <c r="S637" s="3"/>
      <c r="T637" s="3" t="s">
        <v>3995</v>
      </c>
      <c r="U637" s="3"/>
      <c r="V637" s="3"/>
      <c r="W637" s="3"/>
      <c r="X637" s="3"/>
      <c r="Y637" s="3" t="s">
        <v>3996</v>
      </c>
      <c r="Z637" s="3"/>
      <c r="AA637" s="3"/>
      <c r="AB637" s="3"/>
      <c r="AC637" s="3"/>
      <c r="AD637" s="3"/>
      <c r="AE637" s="3"/>
      <c r="AF637" s="3"/>
      <c r="AG637" s="3"/>
      <c r="AH637" s="3"/>
      <c r="AI637" s="3"/>
      <c r="AJ637" s="3"/>
      <c r="AK637" s="3"/>
      <c r="AL637" s="3"/>
      <c r="AM637" s="3" t="s">
        <v>534</v>
      </c>
      <c r="AN637" s="3" t="s">
        <v>535</v>
      </c>
      <c r="AO637" s="3"/>
      <c r="AP637" s="3"/>
      <c r="AQ637" s="3"/>
      <c r="AR637" s="3" t="s">
        <v>279</v>
      </c>
      <c r="AS637" s="3">
        <v>2019</v>
      </c>
      <c r="AT637" s="3">
        <v>9</v>
      </c>
      <c r="AU637" s="3">
        <v>1</v>
      </c>
      <c r="AV637" s="3"/>
      <c r="AW637" s="3"/>
      <c r="AX637" s="3"/>
      <c r="AY637" s="3"/>
      <c r="AZ637" s="3">
        <v>59</v>
      </c>
      <c r="BA637" s="3">
        <v>68</v>
      </c>
      <c r="BB637" s="3"/>
      <c r="BC637" s="3" t="s">
        <v>3997</v>
      </c>
      <c r="BD637" s="15" t="str">
        <f>HYPERLINK("http://dx.doi.org/10.5304/jafscd.2019.091.010","http://dx.doi.org/10.5304/jafscd.2019.091.010")</f>
        <v>http://dx.doi.org/10.5304/jafscd.2019.091.010</v>
      </c>
      <c r="BE637" s="3"/>
      <c r="BF637" s="3"/>
      <c r="BG637" s="3"/>
      <c r="BH637" s="3"/>
      <c r="BI637" s="3">
        <v>33312748</v>
      </c>
      <c r="BJ637" s="3" t="s">
        <v>3998</v>
      </c>
      <c r="BK637" s="3"/>
      <c r="BL637" s="3"/>
      <c r="BM637" s="3"/>
      <c r="BN637" s="3"/>
      <c r="BO637" s="3"/>
      <c r="BP637" s="3"/>
      <c r="BQ637" s="3"/>
      <c r="BR637" s="3"/>
      <c r="BS637" s="3"/>
      <c r="BT637" s="3"/>
      <c r="BU637" s="1" t="s">
        <v>7457</v>
      </c>
      <c r="BV637" s="2" t="s">
        <v>7188</v>
      </c>
      <c r="BW637" s="2" t="s">
        <v>7189</v>
      </c>
    </row>
    <row r="638" spans="1:75" ht="12.75" customHeight="1">
      <c r="A638" s="7" t="s">
        <v>63</v>
      </c>
      <c r="B638" s="7" t="s">
        <v>4503</v>
      </c>
      <c r="C638" s="7"/>
      <c r="D638" s="7"/>
      <c r="E638" s="7"/>
      <c r="F638" s="7" t="s">
        <v>4504</v>
      </c>
      <c r="G638" s="7"/>
      <c r="H638" s="7"/>
      <c r="I638" s="7" t="s">
        <v>4505</v>
      </c>
      <c r="J638" s="7" t="s">
        <v>4506</v>
      </c>
      <c r="K638" s="7"/>
      <c r="L638" s="7"/>
      <c r="M638" s="7"/>
      <c r="N638" s="7"/>
      <c r="O638" s="7"/>
      <c r="P638" s="7"/>
      <c r="Q638" s="7"/>
      <c r="R638" s="7"/>
      <c r="S638" s="7"/>
      <c r="T638" s="7" t="s">
        <v>4507</v>
      </c>
      <c r="U638" s="7"/>
      <c r="V638" s="7"/>
      <c r="W638" s="7"/>
      <c r="X638" s="7"/>
      <c r="Y638" s="7" t="s">
        <v>4508</v>
      </c>
      <c r="Z638" s="7" t="s">
        <v>4509</v>
      </c>
      <c r="AA638" s="7"/>
      <c r="AB638" s="7"/>
      <c r="AC638" s="7"/>
      <c r="AD638" s="7"/>
      <c r="AE638" s="7"/>
      <c r="AF638" s="7"/>
      <c r="AG638" s="7"/>
      <c r="AH638" s="7"/>
      <c r="AI638" s="7"/>
      <c r="AJ638" s="7"/>
      <c r="AK638" s="7"/>
      <c r="AL638" s="7"/>
      <c r="AM638" s="7"/>
      <c r="AN638" s="7" t="s">
        <v>4510</v>
      </c>
      <c r="AO638" s="7"/>
      <c r="AP638" s="7"/>
      <c r="AQ638" s="7"/>
      <c r="AR638" s="7" t="s">
        <v>67</v>
      </c>
      <c r="AS638" s="7">
        <v>2020</v>
      </c>
      <c r="AT638" s="7">
        <v>9</v>
      </c>
      <c r="AU638" s="7">
        <v>2</v>
      </c>
      <c r="AV638" s="7"/>
      <c r="AW638" s="7"/>
      <c r="AX638" s="7"/>
      <c r="AY638" s="7"/>
      <c r="AZ638" s="7"/>
      <c r="BA638" s="7"/>
      <c r="BB638" s="7">
        <v>100</v>
      </c>
      <c r="BC638" s="7" t="s">
        <v>4511</v>
      </c>
      <c r="BD638" s="11" t="str">
        <f>HYPERLINK("http://dx.doi.org/10.3390/ijgi9020100","http://dx.doi.org/10.3390/ijgi9020100")</f>
        <v>http://dx.doi.org/10.3390/ijgi9020100</v>
      </c>
      <c r="BE638" s="7"/>
      <c r="BF638" s="7"/>
      <c r="BG638" s="7"/>
      <c r="BH638" s="7"/>
      <c r="BI638" s="7">
        <v>38283585</v>
      </c>
      <c r="BJ638" s="7" t="s">
        <v>4512</v>
      </c>
      <c r="BK638" s="7"/>
      <c r="BL638" s="7"/>
      <c r="BM638" s="7"/>
      <c r="BN638" s="7"/>
      <c r="BO638" s="7"/>
      <c r="BP638" s="7"/>
      <c r="BQ638" s="7"/>
      <c r="BR638" s="7"/>
      <c r="BS638" s="7"/>
      <c r="BT638" s="7"/>
      <c r="BU638" s="1" t="s">
        <v>7458</v>
      </c>
      <c r="BV638" s="10" t="s">
        <v>7320</v>
      </c>
      <c r="BW638" s="10" t="s">
        <v>7245</v>
      </c>
    </row>
    <row r="639" spans="1:75" ht="12.75" customHeight="1">
      <c r="A639" s="4" t="s">
        <v>63</v>
      </c>
      <c r="B639" s="4" t="s">
        <v>6990</v>
      </c>
      <c r="C639" s="4"/>
      <c r="D639" s="4"/>
      <c r="E639" s="4"/>
      <c r="F639" s="4" t="s">
        <v>6991</v>
      </c>
      <c r="G639" s="4"/>
      <c r="H639" s="4"/>
      <c r="I639" s="4" t="s">
        <v>6992</v>
      </c>
      <c r="J639" s="4" t="s">
        <v>6993</v>
      </c>
      <c r="K639" s="4"/>
      <c r="L639" s="4"/>
      <c r="M639" s="4"/>
      <c r="N639" s="4"/>
      <c r="O639" s="4"/>
      <c r="P639" s="4"/>
      <c r="Q639" s="4"/>
      <c r="R639" s="4"/>
      <c r="S639" s="4"/>
      <c r="T639" s="4" t="s">
        <v>6994</v>
      </c>
      <c r="U639" s="4"/>
      <c r="V639" s="4"/>
      <c r="W639" s="4"/>
      <c r="X639" s="4"/>
      <c r="Y639" s="4" t="s">
        <v>6995</v>
      </c>
      <c r="Z639" s="4" t="s">
        <v>6996</v>
      </c>
      <c r="AA639" s="4"/>
      <c r="AB639" s="4"/>
      <c r="AC639" s="4"/>
      <c r="AD639" s="4"/>
      <c r="AE639" s="4"/>
      <c r="AF639" s="4"/>
      <c r="AG639" s="4"/>
      <c r="AH639" s="4"/>
      <c r="AI639" s="4"/>
      <c r="AJ639" s="4"/>
      <c r="AK639" s="4"/>
      <c r="AL639" s="4"/>
      <c r="AM639" s="4" t="s">
        <v>6997</v>
      </c>
      <c r="AN639" s="4" t="s">
        <v>6998</v>
      </c>
      <c r="AO639" s="4"/>
      <c r="AP639" s="4"/>
      <c r="AQ639" s="4"/>
      <c r="AR639" s="4" t="s">
        <v>173</v>
      </c>
      <c r="AS639" s="4">
        <v>2024</v>
      </c>
      <c r="AT639" s="4">
        <v>150</v>
      </c>
      <c r="AU639" s="4"/>
      <c r="AV639" s="4"/>
      <c r="AW639" s="4"/>
      <c r="AX639" s="4"/>
      <c r="AY639" s="4"/>
      <c r="AZ639" s="4"/>
      <c r="BA639" s="4"/>
      <c r="BB639" s="4">
        <v>104993</v>
      </c>
      <c r="BC639" s="4" t="s">
        <v>6999</v>
      </c>
      <c r="BD639" s="5" t="str">
        <f>HYPERLINK("http://dx.doi.org/10.1016/j.cities.2024.104993","http://dx.doi.org/10.1016/j.cities.2024.104993")</f>
        <v>http://dx.doi.org/10.1016/j.cities.2024.104993</v>
      </c>
      <c r="BE639" s="4"/>
      <c r="BF639" s="4" t="s">
        <v>6605</v>
      </c>
      <c r="BG639" s="4"/>
      <c r="BH639" s="4"/>
      <c r="BI639" s="4"/>
      <c r="BJ639" s="4" t="s">
        <v>7000</v>
      </c>
      <c r="BK639" s="4"/>
      <c r="BL639" s="4"/>
      <c r="BM639" s="4"/>
      <c r="BN639" s="4"/>
      <c r="BO639" s="4"/>
      <c r="BP639" s="4"/>
      <c r="BQ639" s="4"/>
      <c r="BR639" s="4"/>
      <c r="BS639" s="4"/>
      <c r="BT639" s="4"/>
      <c r="BU639" s="12" t="s">
        <v>7459</v>
      </c>
      <c r="BV639" s="12" t="s">
        <v>3516</v>
      </c>
      <c r="BW639" s="12" t="s">
        <v>7196</v>
      </c>
    </row>
    <row r="640" spans="1:75" ht="12.75" customHeight="1">
      <c r="A640" s="4" t="s">
        <v>63</v>
      </c>
      <c r="B640" s="4" t="s">
        <v>7001</v>
      </c>
      <c r="C640" s="4"/>
      <c r="D640" s="4"/>
      <c r="E640" s="4"/>
      <c r="F640" s="4" t="s">
        <v>7002</v>
      </c>
      <c r="G640" s="4"/>
      <c r="H640" s="4"/>
      <c r="I640" s="4" t="s">
        <v>7003</v>
      </c>
      <c r="J640" s="4" t="s">
        <v>3721</v>
      </c>
      <c r="K640" s="4"/>
      <c r="L640" s="4"/>
      <c r="M640" s="4"/>
      <c r="N640" s="4"/>
      <c r="O640" s="4"/>
      <c r="P640" s="4"/>
      <c r="Q640" s="4"/>
      <c r="R640" s="4"/>
      <c r="S640" s="4"/>
      <c r="T640" s="4" t="s">
        <v>7004</v>
      </c>
      <c r="U640" s="4"/>
      <c r="V640" s="4"/>
      <c r="W640" s="4"/>
      <c r="X640" s="4"/>
      <c r="Y640" s="4" t="s">
        <v>7005</v>
      </c>
      <c r="Z640" s="4" t="s">
        <v>7006</v>
      </c>
      <c r="AA640" s="4"/>
      <c r="AB640" s="4"/>
      <c r="AC640" s="4"/>
      <c r="AD640" s="4"/>
      <c r="AE640" s="4"/>
      <c r="AF640" s="4"/>
      <c r="AG640" s="4"/>
      <c r="AH640" s="4"/>
      <c r="AI640" s="4"/>
      <c r="AJ640" s="4"/>
      <c r="AK640" s="4"/>
      <c r="AL640" s="4"/>
      <c r="AM640" s="4"/>
      <c r="AN640" s="4" t="s">
        <v>3723</v>
      </c>
      <c r="AO640" s="4"/>
      <c r="AP640" s="4"/>
      <c r="AQ640" s="4"/>
      <c r="AR640" s="4" t="s">
        <v>445</v>
      </c>
      <c r="AS640" s="4">
        <v>2024</v>
      </c>
      <c r="AT640" s="4">
        <v>16</v>
      </c>
      <c r="AU640" s="4">
        <v>17</v>
      </c>
      <c r="AV640" s="4"/>
      <c r="AW640" s="4"/>
      <c r="AX640" s="4"/>
      <c r="AY640" s="4"/>
      <c r="AZ640" s="4"/>
      <c r="BA640" s="4"/>
      <c r="BB640" s="4">
        <v>3028</v>
      </c>
      <c r="BC640" s="4" t="s">
        <v>7007</v>
      </c>
      <c r="BD640" s="5" t="str">
        <f>HYPERLINK("http://dx.doi.org/10.3390/nu16173028","http://dx.doi.org/10.3390/nu16173028")</f>
        <v>http://dx.doi.org/10.3390/nu16173028</v>
      </c>
      <c r="BE640" s="4"/>
      <c r="BF640" s="4"/>
      <c r="BG640" s="4"/>
      <c r="BH640" s="4"/>
      <c r="BI640" s="4">
        <v>39275343</v>
      </c>
      <c r="BJ640" s="4" t="s">
        <v>7008</v>
      </c>
      <c r="BK640" s="4"/>
      <c r="BL640" s="4"/>
      <c r="BM640" s="4"/>
      <c r="BN640" s="4"/>
      <c r="BO640" s="4"/>
      <c r="BP640" s="4"/>
      <c r="BQ640" s="4"/>
      <c r="BR640" s="4"/>
      <c r="BS640" s="4"/>
      <c r="BT640" s="4"/>
      <c r="BU640" s="12" t="s">
        <v>7335</v>
      </c>
      <c r="BV640" s="12" t="s">
        <v>7188</v>
      </c>
      <c r="BW640" s="12" t="s">
        <v>7189</v>
      </c>
    </row>
    <row r="641" spans="1:75" ht="12.75" customHeight="1">
      <c r="A641" s="4" t="s">
        <v>63</v>
      </c>
      <c r="B641" s="4" t="s">
        <v>2551</v>
      </c>
      <c r="C641" s="4"/>
      <c r="D641" s="4"/>
      <c r="E641" s="4"/>
      <c r="F641" s="4" t="s">
        <v>2552</v>
      </c>
      <c r="G641" s="4"/>
      <c r="H641" s="4"/>
      <c r="I641" s="4" t="s">
        <v>2553</v>
      </c>
      <c r="J641" s="4" t="s">
        <v>1004</v>
      </c>
      <c r="K641" s="4"/>
      <c r="L641" s="4"/>
      <c r="M641" s="4"/>
      <c r="N641" s="4"/>
      <c r="O641" s="4"/>
      <c r="P641" s="4"/>
      <c r="Q641" s="4"/>
      <c r="R641" s="4"/>
      <c r="S641" s="4"/>
      <c r="T641" s="4" t="s">
        <v>2554</v>
      </c>
      <c r="U641" s="4"/>
      <c r="V641" s="4"/>
      <c r="W641" s="4"/>
      <c r="X641" s="4"/>
      <c r="Y641" s="4" t="s">
        <v>2555</v>
      </c>
      <c r="Z641" s="4" t="s">
        <v>2556</v>
      </c>
      <c r="AA641" s="4"/>
      <c r="AB641" s="4"/>
      <c r="AC641" s="4"/>
      <c r="AD641" s="4"/>
      <c r="AE641" s="4"/>
      <c r="AF641" s="4"/>
      <c r="AG641" s="4"/>
      <c r="AH641" s="4"/>
      <c r="AI641" s="4"/>
      <c r="AJ641" s="4"/>
      <c r="AK641" s="4"/>
      <c r="AL641" s="4"/>
      <c r="AM641" s="4" t="s">
        <v>1006</v>
      </c>
      <c r="AN641" s="4" t="s">
        <v>1007</v>
      </c>
      <c r="AO641" s="4"/>
      <c r="AP641" s="4"/>
      <c r="AQ641" s="4"/>
      <c r="AR641" s="4" t="s">
        <v>65</v>
      </c>
      <c r="AS641" s="4">
        <v>2016</v>
      </c>
      <c r="AT641" s="4">
        <v>19</v>
      </c>
      <c r="AU641" s="4">
        <v>18</v>
      </c>
      <c r="AV641" s="4"/>
      <c r="AW641" s="4"/>
      <c r="AX641" s="4"/>
      <c r="AY641" s="4"/>
      <c r="AZ641" s="4">
        <v>3406</v>
      </c>
      <c r="BA641" s="4">
        <v>3416</v>
      </c>
      <c r="BB641" s="4"/>
      <c r="BC641" s="4" t="s">
        <v>2557</v>
      </c>
      <c r="BD641" s="5" t="str">
        <f>HYPERLINK("http://dx.doi.org/10.1017/S1368980016001701","http://dx.doi.org/10.1017/S1368980016001701")</f>
        <v>http://dx.doi.org/10.1017/S1368980016001701</v>
      </c>
      <c r="BE641" s="4"/>
      <c r="BF641" s="4"/>
      <c r="BG641" s="4"/>
      <c r="BH641" s="4"/>
      <c r="BI641" s="4">
        <v>27491967</v>
      </c>
      <c r="BJ641" s="4" t="s">
        <v>2558</v>
      </c>
      <c r="BK641" s="4"/>
      <c r="BL641" s="4"/>
      <c r="BM641" s="4"/>
      <c r="BN641" s="4"/>
      <c r="BO641" s="4"/>
      <c r="BP641" s="4"/>
      <c r="BQ641" s="4"/>
      <c r="BR641" s="4"/>
      <c r="BS641" s="4"/>
      <c r="BT641" s="4"/>
      <c r="BU641" s="12" t="s">
        <v>7354</v>
      </c>
      <c r="BV641" s="12" t="s">
        <v>7188</v>
      </c>
      <c r="BW641" s="12" t="s">
        <v>7189</v>
      </c>
    </row>
    <row r="642" spans="1:75" ht="12.75" customHeight="1">
      <c r="A642" s="4" t="s">
        <v>63</v>
      </c>
      <c r="B642" s="4" t="s">
        <v>5823</v>
      </c>
      <c r="C642" s="4"/>
      <c r="D642" s="4"/>
      <c r="E642" s="4"/>
      <c r="F642" s="4" t="s">
        <v>5824</v>
      </c>
      <c r="G642" s="4"/>
      <c r="H642" s="4"/>
      <c r="I642" s="4" t="s">
        <v>5825</v>
      </c>
      <c r="J642" s="4" t="s">
        <v>3090</v>
      </c>
      <c r="K642" s="4"/>
      <c r="L642" s="4"/>
      <c r="M642" s="4"/>
      <c r="N642" s="4"/>
      <c r="O642" s="4"/>
      <c r="P642" s="4"/>
      <c r="Q642" s="4"/>
      <c r="R642" s="4"/>
      <c r="S642" s="4"/>
      <c r="T642" s="4" t="s">
        <v>5826</v>
      </c>
      <c r="U642" s="4"/>
      <c r="V642" s="4"/>
      <c r="W642" s="4"/>
      <c r="X642" s="4"/>
      <c r="Y642" s="4" t="s">
        <v>5827</v>
      </c>
      <c r="Z642" s="4" t="s">
        <v>5828</v>
      </c>
      <c r="AA642" s="4"/>
      <c r="AB642" s="4"/>
      <c r="AC642" s="4"/>
      <c r="AD642" s="4"/>
      <c r="AE642" s="4"/>
      <c r="AF642" s="4"/>
      <c r="AG642" s="4"/>
      <c r="AH642" s="4"/>
      <c r="AI642" s="4"/>
      <c r="AJ642" s="4"/>
      <c r="AK642" s="4"/>
      <c r="AL642" s="4"/>
      <c r="AM642" s="4" t="s">
        <v>3093</v>
      </c>
      <c r="AN642" s="4" t="s">
        <v>3094</v>
      </c>
      <c r="AO642" s="4"/>
      <c r="AP642" s="4"/>
      <c r="AQ642" s="4"/>
      <c r="AR642" s="4" t="s">
        <v>3823</v>
      </c>
      <c r="AS642" s="4">
        <v>2022</v>
      </c>
      <c r="AT642" s="4">
        <v>80</v>
      </c>
      <c r="AU642" s="4">
        <v>5</v>
      </c>
      <c r="AV642" s="4"/>
      <c r="AW642" s="4"/>
      <c r="AX642" s="4"/>
      <c r="AY642" s="4"/>
      <c r="AZ642" s="4">
        <v>1294</v>
      </c>
      <c r="BA642" s="4">
        <v>1310</v>
      </c>
      <c r="BB642" s="4"/>
      <c r="BC642" s="4" t="s">
        <v>5829</v>
      </c>
      <c r="BD642" s="5" t="str">
        <f>HYPERLINK("http://dx.doi.org/10.1093/nutrit/nuab122","http://dx.doi.org/10.1093/nutrit/nuab122")</f>
        <v>http://dx.doi.org/10.1093/nutrit/nuab122</v>
      </c>
      <c r="BE642" s="4"/>
      <c r="BF642" s="4"/>
      <c r="BG642" s="4"/>
      <c r="BH642" s="4"/>
      <c r="BI642" s="4">
        <v>35076065</v>
      </c>
      <c r="BJ642" s="4" t="s">
        <v>5830</v>
      </c>
      <c r="BK642" s="4"/>
      <c r="BL642" s="4"/>
      <c r="BM642" s="4"/>
      <c r="BN642" s="4"/>
      <c r="BO642" s="4"/>
      <c r="BP642" s="4"/>
      <c r="BQ642" s="4"/>
      <c r="BR642" s="4"/>
      <c r="BS642" s="4"/>
      <c r="BT642" s="4"/>
      <c r="BU642" s="12" t="s">
        <v>7460</v>
      </c>
      <c r="BV642" s="12" t="s">
        <v>7188</v>
      </c>
      <c r="BW642" s="12" t="s">
        <v>7189</v>
      </c>
    </row>
    <row r="643" spans="1:75" ht="12.75" customHeight="1">
      <c r="A643" s="4" t="s">
        <v>63</v>
      </c>
      <c r="B643" s="4" t="s">
        <v>4513</v>
      </c>
      <c r="C643" s="4"/>
      <c r="D643" s="4"/>
      <c r="E643" s="4"/>
      <c r="F643" s="4" t="s">
        <v>4514</v>
      </c>
      <c r="G643" s="4"/>
      <c r="H643" s="4"/>
      <c r="I643" s="4" t="s">
        <v>4515</v>
      </c>
      <c r="J643" s="4" t="s">
        <v>4516</v>
      </c>
      <c r="K643" s="4"/>
      <c r="L643" s="4"/>
      <c r="M643" s="4"/>
      <c r="N643" s="4"/>
      <c r="O643" s="4"/>
      <c r="P643" s="4"/>
      <c r="Q643" s="4"/>
      <c r="R643" s="4"/>
      <c r="S643" s="4"/>
      <c r="T643" s="4" t="s">
        <v>4517</v>
      </c>
      <c r="U643" s="4"/>
      <c r="V643" s="4"/>
      <c r="W643" s="4"/>
      <c r="X643" s="4"/>
      <c r="Y643" s="4"/>
      <c r="Z643" s="4" t="s">
        <v>4518</v>
      </c>
      <c r="AA643" s="4"/>
      <c r="AB643" s="4"/>
      <c r="AC643" s="4"/>
      <c r="AD643" s="4"/>
      <c r="AE643" s="4"/>
      <c r="AF643" s="4"/>
      <c r="AG643" s="4"/>
      <c r="AH643" s="4"/>
      <c r="AI643" s="4"/>
      <c r="AJ643" s="4"/>
      <c r="AK643" s="4"/>
      <c r="AL643" s="4"/>
      <c r="AM643" s="4" t="s">
        <v>4519</v>
      </c>
      <c r="AN643" s="4" t="s">
        <v>4520</v>
      </c>
      <c r="AO643" s="4"/>
      <c r="AP643" s="4"/>
      <c r="AQ643" s="4"/>
      <c r="AR643" s="4" t="s">
        <v>67</v>
      </c>
      <c r="AS643" s="4">
        <v>2020</v>
      </c>
      <c r="AT643" s="4">
        <v>25</v>
      </c>
      <c r="AU643" s="4">
        <v>1</v>
      </c>
      <c r="AV643" s="4"/>
      <c r="AW643" s="4"/>
      <c r="AX643" s="4"/>
      <c r="AY643" s="4"/>
      <c r="AZ643" s="4">
        <v>70</v>
      </c>
      <c r="BA643" s="4">
        <v>84</v>
      </c>
      <c r="BB643" s="4"/>
      <c r="BC643" s="4" t="s">
        <v>4521</v>
      </c>
      <c r="BD643" s="5" t="str">
        <f>HYPERLINK("http://dx.doi.org/10.1177/1077559519850340","http://dx.doi.org/10.1177/1077559519850340")</f>
        <v>http://dx.doi.org/10.1177/1077559519850340</v>
      </c>
      <c r="BE643" s="4"/>
      <c r="BF643" s="4"/>
      <c r="BG643" s="4"/>
      <c r="BH643" s="4"/>
      <c r="BI643" s="4">
        <v>31129990</v>
      </c>
      <c r="BJ643" s="4" t="s">
        <v>4522</v>
      </c>
      <c r="BK643" s="4"/>
      <c r="BL643" s="4"/>
      <c r="BM643" s="4"/>
      <c r="BN643" s="4"/>
      <c r="BO643" s="4"/>
      <c r="BP643" s="4"/>
      <c r="BQ643" s="4"/>
      <c r="BR643" s="4"/>
      <c r="BS643" s="4"/>
      <c r="BT643" s="4"/>
      <c r="BU643" s="12" t="s">
        <v>7422</v>
      </c>
      <c r="BV643" s="12" t="s">
        <v>7188</v>
      </c>
      <c r="BW643" s="12" t="s">
        <v>7189</v>
      </c>
    </row>
    <row r="644" spans="1:75" ht="12.75" customHeight="1">
      <c r="A644" s="4" t="s">
        <v>63</v>
      </c>
      <c r="B644" s="4" t="s">
        <v>3122</v>
      </c>
      <c r="C644" s="4"/>
      <c r="D644" s="4"/>
      <c r="E644" s="4"/>
      <c r="F644" s="4" t="s">
        <v>3123</v>
      </c>
      <c r="G644" s="4"/>
      <c r="H644" s="4"/>
      <c r="I644" s="4" t="s">
        <v>3124</v>
      </c>
      <c r="J644" s="4" t="s">
        <v>3125</v>
      </c>
      <c r="K644" s="4"/>
      <c r="L644" s="4"/>
      <c r="M644" s="4"/>
      <c r="N644" s="4"/>
      <c r="O644" s="4"/>
      <c r="P644" s="4"/>
      <c r="Q644" s="4"/>
      <c r="R644" s="4"/>
      <c r="S644" s="4"/>
      <c r="T644" s="4" t="s">
        <v>3126</v>
      </c>
      <c r="U644" s="4"/>
      <c r="V644" s="4"/>
      <c r="W644" s="4"/>
      <c r="X644" s="4"/>
      <c r="Y644" s="4"/>
      <c r="Z644" s="4"/>
      <c r="AA644" s="4"/>
      <c r="AB644" s="4"/>
      <c r="AC644" s="4"/>
      <c r="AD644" s="4"/>
      <c r="AE644" s="4"/>
      <c r="AF644" s="4"/>
      <c r="AG644" s="4"/>
      <c r="AH644" s="4"/>
      <c r="AI644" s="4"/>
      <c r="AJ644" s="4"/>
      <c r="AK644" s="4"/>
      <c r="AL644" s="4"/>
      <c r="AM644" s="4" t="s">
        <v>3127</v>
      </c>
      <c r="AN644" s="4" t="s">
        <v>3128</v>
      </c>
      <c r="AO644" s="4"/>
      <c r="AP644" s="4"/>
      <c r="AQ644" s="4"/>
      <c r="AR644" s="4" t="s">
        <v>173</v>
      </c>
      <c r="AS644" s="4">
        <v>2017</v>
      </c>
      <c r="AT644" s="4">
        <v>100</v>
      </c>
      <c r="AU644" s="4"/>
      <c r="AV644" s="4"/>
      <c r="AW644" s="4"/>
      <c r="AX644" s="4"/>
      <c r="AY644" s="4"/>
      <c r="AZ644" s="4">
        <v>10</v>
      </c>
      <c r="BA644" s="4">
        <v>16</v>
      </c>
      <c r="BB644" s="4"/>
      <c r="BC644" s="4" t="s">
        <v>3129</v>
      </c>
      <c r="BD644" s="5" t="str">
        <f>HYPERLINK("http://dx.doi.org/10.1016/j.ypmed.2017.03.015","http://dx.doi.org/10.1016/j.ypmed.2017.03.015")</f>
        <v>http://dx.doi.org/10.1016/j.ypmed.2017.03.015</v>
      </c>
      <c r="BE644" s="4"/>
      <c r="BF644" s="4"/>
      <c r="BG644" s="4"/>
      <c r="BH644" s="4"/>
      <c r="BI644" s="4">
        <v>28341459</v>
      </c>
      <c r="BJ644" s="4" t="s">
        <v>3130</v>
      </c>
      <c r="BK644" s="4"/>
      <c r="BL644" s="4"/>
      <c r="BM644" s="4"/>
      <c r="BN644" s="4"/>
      <c r="BO644" s="4"/>
      <c r="BP644" s="4"/>
      <c r="BQ644" s="4"/>
      <c r="BR644" s="4"/>
      <c r="BS644" s="4"/>
      <c r="BT644" s="4"/>
      <c r="BU644" s="12" t="s">
        <v>7222</v>
      </c>
      <c r="BV644" s="12" t="s">
        <v>7188</v>
      </c>
      <c r="BW644" s="12" t="s">
        <v>7189</v>
      </c>
    </row>
    <row r="645" spans="1:75" ht="12.75" customHeight="1">
      <c r="A645" s="6" t="s">
        <v>63</v>
      </c>
      <c r="B645" s="6" t="s">
        <v>1147</v>
      </c>
      <c r="C645" s="6"/>
      <c r="D645" s="6"/>
      <c r="E645" s="6"/>
      <c r="F645" s="6" t="s">
        <v>1148</v>
      </c>
      <c r="G645" s="6"/>
      <c r="H645" s="6"/>
      <c r="I645" s="6" t="s">
        <v>2559</v>
      </c>
      <c r="J645" s="6" t="s">
        <v>193</v>
      </c>
      <c r="K645" s="6"/>
      <c r="L645" s="6"/>
      <c r="M645" s="6"/>
      <c r="N645" s="6"/>
      <c r="O645" s="6"/>
      <c r="P645" s="6"/>
      <c r="Q645" s="6"/>
      <c r="R645" s="6"/>
      <c r="S645" s="6"/>
      <c r="T645" s="6" t="s">
        <v>2560</v>
      </c>
      <c r="U645" s="6"/>
      <c r="V645" s="6"/>
      <c r="W645" s="6"/>
      <c r="X645" s="6"/>
      <c r="Y645" s="6" t="s">
        <v>1151</v>
      </c>
      <c r="Z645" s="6"/>
      <c r="AA645" s="6"/>
      <c r="AB645" s="6"/>
      <c r="AC645" s="6"/>
      <c r="AD645" s="6"/>
      <c r="AE645" s="6"/>
      <c r="AF645" s="6"/>
      <c r="AG645" s="6"/>
      <c r="AH645" s="6"/>
      <c r="AI645" s="6"/>
      <c r="AJ645" s="6"/>
      <c r="AK645" s="6"/>
      <c r="AL645" s="6"/>
      <c r="AM645" s="6" t="s">
        <v>197</v>
      </c>
      <c r="AN645" s="6" t="s">
        <v>198</v>
      </c>
      <c r="AO645" s="6"/>
      <c r="AP645" s="6"/>
      <c r="AQ645" s="6"/>
      <c r="AR645" s="6" t="s">
        <v>2561</v>
      </c>
      <c r="AS645" s="6">
        <v>2016</v>
      </c>
      <c r="AT645" s="6">
        <v>68</v>
      </c>
      <c r="AU645" s="6">
        <v>2</v>
      </c>
      <c r="AV645" s="6"/>
      <c r="AW645" s="6"/>
      <c r="AX645" s="6"/>
      <c r="AY645" s="6"/>
      <c r="AZ645" s="6">
        <v>175</v>
      </c>
      <c r="BA645" s="6">
        <v>188</v>
      </c>
      <c r="BB645" s="6"/>
      <c r="BC645" s="6" t="s">
        <v>2562</v>
      </c>
      <c r="BD645" s="9" t="str">
        <f>HYPERLINK("http://dx.doi.org/10.1080/00330124.2015.1032876","http://dx.doi.org/10.1080/00330124.2015.1032876")</f>
        <v>http://dx.doi.org/10.1080/00330124.2015.1032876</v>
      </c>
      <c r="BE645" s="6"/>
      <c r="BF645" s="6"/>
      <c r="BG645" s="6"/>
      <c r="BH645" s="6"/>
      <c r="BI645" s="6"/>
      <c r="BJ645" s="6" t="s">
        <v>2563</v>
      </c>
      <c r="BK645" s="6"/>
      <c r="BL645" s="6"/>
      <c r="BM645" s="6"/>
      <c r="BN645" s="6"/>
      <c r="BO645" s="6"/>
      <c r="BP645" s="6"/>
      <c r="BQ645" s="6"/>
      <c r="BR645" s="6"/>
      <c r="BS645" s="6"/>
      <c r="BT645" s="6"/>
      <c r="BU645" s="8" t="s">
        <v>7461</v>
      </c>
      <c r="BV645" s="8" t="s">
        <v>7188</v>
      </c>
      <c r="BW645" s="8" t="s">
        <v>7189</v>
      </c>
    </row>
    <row r="646" spans="1:75" ht="12.75" customHeight="1">
      <c r="A646" s="3" t="s">
        <v>63</v>
      </c>
      <c r="B646" s="3" t="s">
        <v>2021</v>
      </c>
      <c r="C646" s="3"/>
      <c r="D646" s="3"/>
      <c r="E646" s="3"/>
      <c r="F646" s="3" t="s">
        <v>2022</v>
      </c>
      <c r="G646" s="3"/>
      <c r="H646" s="3"/>
      <c r="I646" s="3" t="s">
        <v>2023</v>
      </c>
      <c r="J646" s="3" t="s">
        <v>696</v>
      </c>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t="s">
        <v>698</v>
      </c>
      <c r="AN646" s="3"/>
      <c r="AO646" s="3"/>
      <c r="AP646" s="3"/>
      <c r="AQ646" s="3"/>
      <c r="AR646" s="3" t="s">
        <v>64</v>
      </c>
      <c r="AS646" s="3">
        <v>2015</v>
      </c>
      <c r="AT646" s="3">
        <v>34</v>
      </c>
      <c r="AU646" s="3">
        <v>11</v>
      </c>
      <c r="AV646" s="3"/>
      <c r="AW646" s="3"/>
      <c r="AX646" s="3"/>
      <c r="AY646" s="3"/>
      <c r="AZ646" s="3">
        <v>2205</v>
      </c>
      <c r="BA646" s="3">
        <v>2205</v>
      </c>
      <c r="BB646" s="3"/>
      <c r="BC646" s="3"/>
      <c r="BD646" s="3"/>
      <c r="BE646" s="3"/>
      <c r="BF646" s="3"/>
      <c r="BG646" s="3"/>
      <c r="BH646" s="3"/>
      <c r="BI646" s="3"/>
      <c r="BJ646" s="3" t="s">
        <v>2024</v>
      </c>
      <c r="BK646" s="3"/>
      <c r="BL646" s="3"/>
      <c r="BM646" s="3"/>
      <c r="BN646" s="3"/>
      <c r="BO646" s="3"/>
      <c r="BP646" s="3"/>
      <c r="BQ646" s="3"/>
      <c r="BR646" s="3"/>
      <c r="BS646" s="3"/>
      <c r="BT646" s="3"/>
      <c r="BU646" s="2" t="s">
        <v>7193</v>
      </c>
      <c r="BV646" s="2" t="s">
        <v>7188</v>
      </c>
      <c r="BW646" s="2" t="s">
        <v>7189</v>
      </c>
    </row>
    <row r="647" spans="1:75" ht="12.75" customHeight="1">
      <c r="A647" s="4" t="s">
        <v>63</v>
      </c>
      <c r="B647" s="4" t="s">
        <v>2025</v>
      </c>
      <c r="C647" s="4"/>
      <c r="D647" s="4"/>
      <c r="E647" s="4"/>
      <c r="F647" s="4" t="s">
        <v>2026</v>
      </c>
      <c r="G647" s="4"/>
      <c r="H647" s="4"/>
      <c r="I647" s="4" t="s">
        <v>2027</v>
      </c>
      <c r="J647" s="4" t="s">
        <v>800</v>
      </c>
      <c r="K647" s="4"/>
      <c r="L647" s="4"/>
      <c r="M647" s="4"/>
      <c r="N647" s="4"/>
      <c r="O647" s="4"/>
      <c r="P647" s="4"/>
      <c r="Q647" s="4"/>
      <c r="R647" s="4"/>
      <c r="S647" s="4"/>
      <c r="T647" s="4" t="s">
        <v>2028</v>
      </c>
      <c r="U647" s="4"/>
      <c r="V647" s="4"/>
      <c r="W647" s="4"/>
      <c r="X647" s="4"/>
      <c r="Y647" s="4"/>
      <c r="Z647" s="4"/>
      <c r="AA647" s="4"/>
      <c r="AB647" s="4"/>
      <c r="AC647" s="4"/>
      <c r="AD647" s="4"/>
      <c r="AE647" s="4"/>
      <c r="AF647" s="4"/>
      <c r="AG647" s="4"/>
      <c r="AH647" s="4"/>
      <c r="AI647" s="4"/>
      <c r="AJ647" s="4"/>
      <c r="AK647" s="4"/>
      <c r="AL647" s="4"/>
      <c r="AM647" s="4" t="s">
        <v>804</v>
      </c>
      <c r="AN647" s="4" t="s">
        <v>805</v>
      </c>
      <c r="AO647" s="4"/>
      <c r="AP647" s="4"/>
      <c r="AQ647" s="4"/>
      <c r="AR647" s="4" t="s">
        <v>173</v>
      </c>
      <c r="AS647" s="4">
        <v>2015</v>
      </c>
      <c r="AT647" s="4">
        <v>105</v>
      </c>
      <c r="AU647" s="4">
        <v>7</v>
      </c>
      <c r="AV647" s="4"/>
      <c r="AW647" s="4"/>
      <c r="AX647" s="4"/>
      <c r="AY647" s="4"/>
      <c r="AZ647" s="4">
        <v>1446</v>
      </c>
      <c r="BA647" s="4">
        <v>1452</v>
      </c>
      <c r="BB647" s="4"/>
      <c r="BC647" s="4" t="s">
        <v>2029</v>
      </c>
      <c r="BD647" s="5" t="str">
        <f>HYPERLINK("http://dx.doi.org/10.2105/AJPH.2014.302220","http://dx.doi.org/10.2105/AJPH.2014.302220")</f>
        <v>http://dx.doi.org/10.2105/AJPH.2014.302220</v>
      </c>
      <c r="BE647" s="4"/>
      <c r="BF647" s="4"/>
      <c r="BG647" s="4"/>
      <c r="BH647" s="4"/>
      <c r="BI647" s="4">
        <v>25521881</v>
      </c>
      <c r="BJ647" s="4" t="s">
        <v>2030</v>
      </c>
      <c r="BK647" s="4"/>
      <c r="BL647" s="4"/>
      <c r="BM647" s="4"/>
      <c r="BN647" s="4"/>
      <c r="BO647" s="4"/>
      <c r="BP647" s="4"/>
      <c r="BQ647" s="4"/>
      <c r="BR647" s="4"/>
      <c r="BS647" s="4"/>
      <c r="BT647" s="4"/>
      <c r="BU647" s="12" t="s">
        <v>7222</v>
      </c>
      <c r="BV647" s="12" t="s">
        <v>7188</v>
      </c>
      <c r="BW647" s="12" t="s">
        <v>7189</v>
      </c>
    </row>
    <row r="648" spans="1:75" ht="12.75" customHeight="1">
      <c r="A648" s="4" t="s">
        <v>63</v>
      </c>
      <c r="B648" s="4" t="s">
        <v>701</v>
      </c>
      <c r="C648" s="4"/>
      <c r="D648" s="4"/>
      <c r="E648" s="4"/>
      <c r="F648" s="4" t="s">
        <v>702</v>
      </c>
      <c r="G648" s="4"/>
      <c r="H648" s="4"/>
      <c r="I648" s="4" t="s">
        <v>703</v>
      </c>
      <c r="J648" s="4" t="s">
        <v>704</v>
      </c>
      <c r="K648" s="4"/>
      <c r="L648" s="4"/>
      <c r="M648" s="4"/>
      <c r="N648" s="4"/>
      <c r="O648" s="4"/>
      <c r="P648" s="4"/>
      <c r="Q648" s="4"/>
      <c r="R648" s="4"/>
      <c r="S648" s="4"/>
      <c r="T648" s="4" t="s">
        <v>705</v>
      </c>
      <c r="U648" s="4"/>
      <c r="V648" s="4"/>
      <c r="W648" s="4"/>
      <c r="X648" s="4"/>
      <c r="Y648" s="4"/>
      <c r="Z648" s="4"/>
      <c r="AA648" s="4"/>
      <c r="AB648" s="4"/>
      <c r="AC648" s="4"/>
      <c r="AD648" s="4"/>
      <c r="AE648" s="4"/>
      <c r="AF648" s="4"/>
      <c r="AG648" s="4"/>
      <c r="AH648" s="4"/>
      <c r="AI648" s="4"/>
      <c r="AJ648" s="4"/>
      <c r="AK648" s="4"/>
      <c r="AL648" s="4"/>
      <c r="AM648" s="4" t="s">
        <v>706</v>
      </c>
      <c r="AN648" s="4" t="s">
        <v>707</v>
      </c>
      <c r="AO648" s="4"/>
      <c r="AP648" s="4"/>
      <c r="AQ648" s="4"/>
      <c r="AR648" s="4"/>
      <c r="AS648" s="4">
        <v>2011</v>
      </c>
      <c r="AT648" s="4">
        <v>20</v>
      </c>
      <c r="AU648" s="4"/>
      <c r="AV648" s="4"/>
      <c r="AW648" s="4"/>
      <c r="AX648" s="4"/>
      <c r="AY648" s="4"/>
      <c r="AZ648" s="4">
        <v>6</v>
      </c>
      <c r="BA648" s="4">
        <v>23</v>
      </c>
      <c r="BB648" s="4"/>
      <c r="BC648" s="4" t="s">
        <v>708</v>
      </c>
      <c r="BD648" s="5" t="str">
        <f>HYPERLINK("http://dx.doi.org/10.5210/bsi.v20i0.3637","http://dx.doi.org/10.5210/bsi.v20i0.3637")</f>
        <v>http://dx.doi.org/10.5210/bsi.v20i0.3637</v>
      </c>
      <c r="BE648" s="4"/>
      <c r="BF648" s="4"/>
      <c r="BG648" s="4"/>
      <c r="BH648" s="4"/>
      <c r="BI648" s="4"/>
      <c r="BJ648" s="4" t="s">
        <v>709</v>
      </c>
      <c r="BK648" s="4"/>
      <c r="BL648" s="4"/>
      <c r="BM648" s="4"/>
      <c r="BN648" s="4"/>
      <c r="BO648" s="4"/>
      <c r="BP648" s="4"/>
      <c r="BQ648" s="4"/>
      <c r="BR648" s="4"/>
      <c r="BS648" s="4"/>
      <c r="BT648" s="4"/>
      <c r="BU648" s="12" t="s">
        <v>7460</v>
      </c>
      <c r="BV648" s="12" t="s">
        <v>7188</v>
      </c>
      <c r="BW648" s="12" t="s">
        <v>7189</v>
      </c>
    </row>
    <row r="649" spans="1:75" ht="12.75" customHeight="1">
      <c r="A649" s="7" t="s">
        <v>63</v>
      </c>
      <c r="B649" s="7" t="s">
        <v>3131</v>
      </c>
      <c r="C649" s="7"/>
      <c r="D649" s="7"/>
      <c r="E649" s="7"/>
      <c r="F649" s="7" t="s">
        <v>3132</v>
      </c>
      <c r="G649" s="7"/>
      <c r="H649" s="7"/>
      <c r="I649" s="7" t="s">
        <v>3133</v>
      </c>
      <c r="J649" s="7" t="s">
        <v>3134</v>
      </c>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t="s">
        <v>3135</v>
      </c>
      <c r="AN649" s="7"/>
      <c r="AO649" s="7"/>
      <c r="AP649" s="7"/>
      <c r="AQ649" s="7"/>
      <c r="AR649" s="7" t="s">
        <v>66</v>
      </c>
      <c r="AS649" s="7">
        <v>2017</v>
      </c>
      <c r="AT649" s="7">
        <v>107</v>
      </c>
      <c r="AU649" s="7">
        <v>6</v>
      </c>
      <c r="AV649" s="7"/>
      <c r="AW649" s="7"/>
      <c r="AX649" s="7"/>
      <c r="AY649" s="7"/>
      <c r="AZ649" s="7">
        <v>30</v>
      </c>
      <c r="BA649" s="7">
        <v>30</v>
      </c>
      <c r="BB649" s="7"/>
      <c r="BC649" s="7"/>
      <c r="BD649" s="7"/>
      <c r="BE649" s="7"/>
      <c r="BF649" s="7"/>
      <c r="BG649" s="7"/>
      <c r="BH649" s="7"/>
      <c r="BI649" s="7"/>
      <c r="BJ649" s="7" t="s">
        <v>3136</v>
      </c>
      <c r="BK649" s="7"/>
      <c r="BL649" s="7"/>
      <c r="BM649" s="7"/>
      <c r="BN649" s="7"/>
      <c r="BO649" s="7"/>
      <c r="BP649" s="7"/>
      <c r="BQ649" s="7"/>
      <c r="BR649" s="7"/>
      <c r="BS649" s="7"/>
      <c r="BT649" s="7"/>
      <c r="BU649" s="2" t="s">
        <v>7193</v>
      </c>
      <c r="BV649" s="2" t="s">
        <v>7193</v>
      </c>
      <c r="BW649" s="2" t="s">
        <v>7193</v>
      </c>
    </row>
    <row r="650" spans="1:75" ht="12.75" customHeight="1">
      <c r="A650" s="6" t="s">
        <v>63</v>
      </c>
      <c r="B650" s="6" t="s">
        <v>2564</v>
      </c>
      <c r="C650" s="6"/>
      <c r="D650" s="6"/>
      <c r="E650" s="6"/>
      <c r="F650" s="6" t="s">
        <v>2565</v>
      </c>
      <c r="G650" s="6"/>
      <c r="H650" s="6"/>
      <c r="I650" s="6" t="s">
        <v>2566</v>
      </c>
      <c r="J650" s="6" t="s">
        <v>193</v>
      </c>
      <c r="K650" s="6"/>
      <c r="L650" s="6"/>
      <c r="M650" s="6"/>
      <c r="N650" s="6"/>
      <c r="O650" s="6"/>
      <c r="P650" s="6"/>
      <c r="Q650" s="6"/>
      <c r="R650" s="6"/>
      <c r="S650" s="6"/>
      <c r="T650" s="6" t="s">
        <v>2567</v>
      </c>
      <c r="U650" s="6"/>
      <c r="V650" s="6"/>
      <c r="W650" s="6"/>
      <c r="X650" s="6"/>
      <c r="Y650" s="6"/>
      <c r="Z650" s="6" t="s">
        <v>2568</v>
      </c>
      <c r="AA650" s="6"/>
      <c r="AB650" s="6"/>
      <c r="AC650" s="6"/>
      <c r="AD650" s="6"/>
      <c r="AE650" s="6"/>
      <c r="AF650" s="6"/>
      <c r="AG650" s="6"/>
      <c r="AH650" s="6"/>
      <c r="AI650" s="6"/>
      <c r="AJ650" s="6"/>
      <c r="AK650" s="6"/>
      <c r="AL650" s="6"/>
      <c r="AM650" s="6" t="s">
        <v>197</v>
      </c>
      <c r="AN650" s="6" t="s">
        <v>198</v>
      </c>
      <c r="AO650" s="6"/>
      <c r="AP650" s="6"/>
      <c r="AQ650" s="6"/>
      <c r="AR650" s="6"/>
      <c r="AS650" s="6">
        <v>2016</v>
      </c>
      <c r="AT650" s="6">
        <v>68</v>
      </c>
      <c r="AU650" s="6">
        <v>3</v>
      </c>
      <c r="AV650" s="6"/>
      <c r="AW650" s="6"/>
      <c r="AX650" s="6"/>
      <c r="AY650" s="6"/>
      <c r="AZ650" s="6">
        <v>462</v>
      </c>
      <c r="BA650" s="6">
        <v>474</v>
      </c>
      <c r="BB650" s="6"/>
      <c r="BC650" s="6"/>
      <c r="BD650" s="6"/>
      <c r="BE650" s="6"/>
      <c r="BF650" s="6"/>
      <c r="BG650" s="6"/>
      <c r="BH650" s="6"/>
      <c r="BI650" s="6"/>
      <c r="BJ650" s="6" t="s">
        <v>2569</v>
      </c>
      <c r="BK650" s="6"/>
      <c r="BL650" s="6"/>
      <c r="BM650" s="6"/>
      <c r="BN650" s="6"/>
      <c r="BO650" s="6"/>
      <c r="BP650" s="6"/>
      <c r="BQ650" s="6"/>
      <c r="BR650" s="6"/>
      <c r="BS650" s="6"/>
      <c r="BT650" s="6"/>
      <c r="BU650" s="8" t="s">
        <v>7206</v>
      </c>
      <c r="BV650" s="8" t="s">
        <v>7188</v>
      </c>
      <c r="BW650" s="8" t="s">
        <v>7189</v>
      </c>
    </row>
    <row r="651" spans="1:75" ht="12.75" customHeight="1">
      <c r="A651" s="4" t="s">
        <v>63</v>
      </c>
      <c r="B651" s="4" t="s">
        <v>890</v>
      </c>
      <c r="C651" s="4"/>
      <c r="D651" s="4"/>
      <c r="E651" s="4"/>
      <c r="F651" s="4" t="s">
        <v>891</v>
      </c>
      <c r="G651" s="4"/>
      <c r="H651" s="4"/>
      <c r="I651" s="4" t="s">
        <v>892</v>
      </c>
      <c r="J651" s="4" t="s">
        <v>532</v>
      </c>
      <c r="K651" s="4"/>
      <c r="L651" s="4"/>
      <c r="M651" s="4"/>
      <c r="N651" s="4"/>
      <c r="O651" s="4"/>
      <c r="P651" s="4"/>
      <c r="Q651" s="4"/>
      <c r="R651" s="4"/>
      <c r="S651" s="4"/>
      <c r="T651" s="4" t="s">
        <v>893</v>
      </c>
      <c r="U651" s="4"/>
      <c r="V651" s="4"/>
      <c r="W651" s="4"/>
      <c r="X651" s="4"/>
      <c r="Y651" s="4"/>
      <c r="Z651" s="4"/>
      <c r="AA651" s="4"/>
      <c r="AB651" s="4"/>
      <c r="AC651" s="4"/>
      <c r="AD651" s="4"/>
      <c r="AE651" s="4"/>
      <c r="AF651" s="4"/>
      <c r="AG651" s="4"/>
      <c r="AH651" s="4"/>
      <c r="AI651" s="4"/>
      <c r="AJ651" s="4"/>
      <c r="AK651" s="4"/>
      <c r="AL651" s="4"/>
      <c r="AM651" s="4" t="s">
        <v>534</v>
      </c>
      <c r="AN651" s="4" t="s">
        <v>535</v>
      </c>
      <c r="AO651" s="4"/>
      <c r="AP651" s="4"/>
      <c r="AQ651" s="4"/>
      <c r="AR651" s="4" t="s">
        <v>279</v>
      </c>
      <c r="AS651" s="4">
        <v>2012</v>
      </c>
      <c r="AT651" s="4">
        <v>2</v>
      </c>
      <c r="AU651" s="4">
        <v>4</v>
      </c>
      <c r="AV651" s="4"/>
      <c r="AW651" s="4"/>
      <c r="AX651" s="4"/>
      <c r="AY651" s="4"/>
      <c r="AZ651" s="4">
        <v>79</v>
      </c>
      <c r="BA651" s="4">
        <v>84</v>
      </c>
      <c r="BB651" s="4"/>
      <c r="BC651" s="4" t="s">
        <v>894</v>
      </c>
      <c r="BD651" s="5" t="str">
        <f>HYPERLINK("http://dx.doi.org/10.5304/jafscd.2012.024.005","http://dx.doi.org/10.5304/jafscd.2012.024.005")</f>
        <v>http://dx.doi.org/10.5304/jafscd.2012.024.005</v>
      </c>
      <c r="BE651" s="4"/>
      <c r="BF651" s="4"/>
      <c r="BG651" s="4"/>
      <c r="BH651" s="4"/>
      <c r="BI651" s="4"/>
      <c r="BJ651" s="4" t="s">
        <v>895</v>
      </c>
      <c r="BK651" s="4"/>
      <c r="BL651" s="4"/>
      <c r="BM651" s="4"/>
      <c r="BN651" s="4"/>
      <c r="BO651" s="4"/>
      <c r="BP651" s="4"/>
      <c r="BQ651" s="4"/>
      <c r="BR651" s="4"/>
      <c r="BS651" s="4"/>
      <c r="BT651" s="4"/>
      <c r="BU651" s="12" t="s">
        <v>7271</v>
      </c>
      <c r="BV651" s="12" t="s">
        <v>7188</v>
      </c>
      <c r="BW651" s="12" t="s">
        <v>7189</v>
      </c>
    </row>
    <row r="652" spans="1:75" ht="12.75" customHeight="1">
      <c r="A652" s="3" t="s">
        <v>63</v>
      </c>
      <c r="B652" s="3" t="s">
        <v>3525</v>
      </c>
      <c r="C652" s="3"/>
      <c r="D652" s="3"/>
      <c r="E652" s="3"/>
      <c r="F652" s="3" t="s">
        <v>3526</v>
      </c>
      <c r="G652" s="3"/>
      <c r="H652" s="3"/>
      <c r="I652" s="3" t="s">
        <v>3527</v>
      </c>
      <c r="J652" s="3" t="s">
        <v>3528</v>
      </c>
      <c r="K652" s="3"/>
      <c r="L652" s="3"/>
      <c r="M652" s="3"/>
      <c r="N652" s="3"/>
      <c r="O652" s="3"/>
      <c r="P652" s="3"/>
      <c r="Q652" s="3"/>
      <c r="R652" s="3"/>
      <c r="S652" s="3"/>
      <c r="T652" s="3"/>
      <c r="U652" s="3"/>
      <c r="V652" s="3"/>
      <c r="W652" s="3"/>
      <c r="X652" s="3"/>
      <c r="Y652" s="3" t="s">
        <v>3529</v>
      </c>
      <c r="Z652" s="3"/>
      <c r="AA652" s="3"/>
      <c r="AB652" s="3"/>
      <c r="AC652" s="3"/>
      <c r="AD652" s="3"/>
      <c r="AE652" s="3"/>
      <c r="AF652" s="3"/>
      <c r="AG652" s="3"/>
      <c r="AH652" s="3"/>
      <c r="AI652" s="3"/>
      <c r="AJ652" s="3"/>
      <c r="AK652" s="3"/>
      <c r="AL652" s="3"/>
      <c r="AM652" s="3" t="s">
        <v>3530</v>
      </c>
      <c r="AN652" s="3" t="s">
        <v>3531</v>
      </c>
      <c r="AO652" s="3"/>
      <c r="AP652" s="3"/>
      <c r="AQ652" s="3"/>
      <c r="AR652" s="3" t="s">
        <v>66</v>
      </c>
      <c r="AS652" s="3">
        <v>2018</v>
      </c>
      <c r="AT652" s="3">
        <v>149</v>
      </c>
      <c r="AU652" s="3"/>
      <c r="AV652" s="3"/>
      <c r="AW652" s="3">
        <v>1</v>
      </c>
      <c r="AX652" s="3"/>
      <c r="AY652" s="3">
        <v>309</v>
      </c>
      <c r="AZ652" s="3">
        <v>139</v>
      </c>
      <c r="BA652" s="3">
        <v>139</v>
      </c>
      <c r="BB652" s="3"/>
      <c r="BC652" s="3" t="s">
        <v>3532</v>
      </c>
      <c r="BD652" s="15" t="str">
        <f>HYPERLINK("http://dx.doi.org/10.1016/j.ygyno.2018.04.319","http://dx.doi.org/10.1016/j.ygyno.2018.04.319")</f>
        <v>http://dx.doi.org/10.1016/j.ygyno.2018.04.319</v>
      </c>
      <c r="BE652" s="3"/>
      <c r="BF652" s="3"/>
      <c r="BG652" s="3"/>
      <c r="BH652" s="3"/>
      <c r="BI652" s="3"/>
      <c r="BJ652" s="3" t="s">
        <v>3533</v>
      </c>
      <c r="BK652" s="3"/>
      <c r="BL652" s="3"/>
      <c r="BM652" s="3"/>
      <c r="BN652" s="3"/>
      <c r="BO652" s="3"/>
      <c r="BP652" s="3"/>
      <c r="BQ652" s="3"/>
      <c r="BR652" s="3"/>
      <c r="BS652" s="3"/>
      <c r="BT652" s="3"/>
      <c r="BU652" s="1" t="s">
        <v>7462</v>
      </c>
      <c r="BV652" s="2" t="s">
        <v>7188</v>
      </c>
      <c r="BW652" s="2" t="s">
        <v>7189</v>
      </c>
    </row>
    <row r="653" spans="1:75" ht="12" customHeight="1">
      <c r="A653" s="6" t="s">
        <v>63</v>
      </c>
      <c r="B653" s="6" t="s">
        <v>5169</v>
      </c>
      <c r="C653" s="6"/>
      <c r="D653" s="6"/>
      <c r="E653" s="6"/>
      <c r="F653" s="6" t="s">
        <v>5170</v>
      </c>
      <c r="G653" s="6"/>
      <c r="H653" s="6"/>
      <c r="I653" s="6" t="s">
        <v>5171</v>
      </c>
      <c r="J653" s="6" t="s">
        <v>434</v>
      </c>
      <c r="K653" s="6"/>
      <c r="L653" s="6"/>
      <c r="M653" s="6"/>
      <c r="N653" s="6"/>
      <c r="O653" s="6"/>
      <c r="P653" s="6"/>
      <c r="Q653" s="6"/>
      <c r="R653" s="6"/>
      <c r="S653" s="6"/>
      <c r="T653" s="6" t="s">
        <v>5172</v>
      </c>
      <c r="U653" s="6"/>
      <c r="V653" s="6"/>
      <c r="W653" s="6"/>
      <c r="X653" s="6"/>
      <c r="Y653" s="6" t="s">
        <v>5173</v>
      </c>
      <c r="Z653" s="6" t="s">
        <v>5174</v>
      </c>
      <c r="AA653" s="6"/>
      <c r="AB653" s="6"/>
      <c r="AC653" s="6"/>
      <c r="AD653" s="6"/>
      <c r="AE653" s="6"/>
      <c r="AF653" s="6"/>
      <c r="AG653" s="6"/>
      <c r="AH653" s="6"/>
      <c r="AI653" s="6"/>
      <c r="AJ653" s="6"/>
      <c r="AK653" s="6"/>
      <c r="AL653" s="6"/>
      <c r="AM653" s="6" t="s">
        <v>436</v>
      </c>
      <c r="AN653" s="6" t="s">
        <v>568</v>
      </c>
      <c r="AO653" s="6"/>
      <c r="AP653" s="6"/>
      <c r="AQ653" s="6"/>
      <c r="AR653" s="6" t="s">
        <v>66</v>
      </c>
      <c r="AS653" s="6">
        <v>2021</v>
      </c>
      <c r="AT653" s="6">
        <v>131</v>
      </c>
      <c r="AU653" s="6"/>
      <c r="AV653" s="6"/>
      <c r="AW653" s="6"/>
      <c r="AX653" s="6"/>
      <c r="AY653" s="6"/>
      <c r="AZ653" s="6"/>
      <c r="BA653" s="6"/>
      <c r="BB653" s="6">
        <v>102461</v>
      </c>
      <c r="BC653" s="6" t="s">
        <v>5175</v>
      </c>
      <c r="BD653" s="9" t="str">
        <f>HYPERLINK("http://dx.doi.org/10.1016/j.apgeog.2021.102461","http://dx.doi.org/10.1016/j.apgeog.2021.102461")</f>
        <v>http://dx.doi.org/10.1016/j.apgeog.2021.102461</v>
      </c>
      <c r="BE653" s="6"/>
      <c r="BF653" s="6" t="s">
        <v>5176</v>
      </c>
      <c r="BG653" s="6"/>
      <c r="BH653" s="6"/>
      <c r="BI653" s="6"/>
      <c r="BJ653" s="6" t="s">
        <v>5177</v>
      </c>
      <c r="BK653" s="6"/>
      <c r="BL653" s="6"/>
      <c r="BM653" s="6"/>
      <c r="BN653" s="6"/>
      <c r="BO653" s="6"/>
      <c r="BP653" s="6"/>
      <c r="BQ653" s="6"/>
      <c r="BR653" s="6"/>
      <c r="BS653" s="6"/>
      <c r="BT653" s="6"/>
      <c r="BU653" s="8" t="s">
        <v>7273</v>
      </c>
      <c r="BV653" s="8" t="s">
        <v>7188</v>
      </c>
      <c r="BW653" s="8" t="s">
        <v>7189</v>
      </c>
    </row>
    <row r="654" spans="1:75" ht="12.75" customHeight="1">
      <c r="A654" s="6" t="s">
        <v>63</v>
      </c>
      <c r="B654" s="6" t="s">
        <v>6424</v>
      </c>
      <c r="C654" s="6"/>
      <c r="D654" s="6"/>
      <c r="E654" s="6"/>
      <c r="F654" s="6" t="s">
        <v>6425</v>
      </c>
      <c r="G654" s="6"/>
      <c r="H654" s="6"/>
      <c r="I654" s="6" t="s">
        <v>6426</v>
      </c>
      <c r="J654" s="6" t="s">
        <v>6427</v>
      </c>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t="s">
        <v>6428</v>
      </c>
      <c r="AN654" s="6" t="s">
        <v>6429</v>
      </c>
      <c r="AO654" s="6"/>
      <c r="AP654" s="6"/>
      <c r="AQ654" s="6"/>
      <c r="AR654" s="6" t="s">
        <v>64</v>
      </c>
      <c r="AS654" s="6">
        <v>2023</v>
      </c>
      <c r="AT654" s="6">
        <v>26</v>
      </c>
      <c r="AU654" s="6">
        <v>48</v>
      </c>
      <c r="AV654" s="6"/>
      <c r="AW654" s="6"/>
      <c r="AX654" s="6"/>
      <c r="AY654" s="6"/>
      <c r="AZ654" s="6">
        <v>7</v>
      </c>
      <c r="BA654" s="6">
        <v>7</v>
      </c>
      <c r="BB654" s="6"/>
      <c r="BC654" s="6"/>
      <c r="BD654" s="6"/>
      <c r="BE654" s="6"/>
      <c r="BF654" s="6"/>
      <c r="BG654" s="6"/>
      <c r="BH654" s="6"/>
      <c r="BI654" s="6"/>
      <c r="BJ654" s="6" t="s">
        <v>6430</v>
      </c>
      <c r="BK654" s="6"/>
      <c r="BL654" s="6"/>
      <c r="BM654" s="6"/>
      <c r="BN654" s="6"/>
      <c r="BO654" s="6"/>
      <c r="BP654" s="6"/>
      <c r="BQ654" s="6"/>
      <c r="BR654" s="6"/>
      <c r="BS654" s="6"/>
      <c r="BT654" s="6"/>
      <c r="BU654" s="8" t="s">
        <v>7463</v>
      </c>
      <c r="BV654" s="8" t="s">
        <v>6423</v>
      </c>
      <c r="BW654" s="8" t="s">
        <v>7196</v>
      </c>
    </row>
    <row r="655" spans="1:75" ht="12.75" customHeight="1">
      <c r="A655" s="6" t="s">
        <v>63</v>
      </c>
      <c r="B655" s="6" t="s">
        <v>4524</v>
      </c>
      <c r="C655" s="6"/>
      <c r="D655" s="6"/>
      <c r="E655" s="6"/>
      <c r="F655" s="6" t="s">
        <v>4525</v>
      </c>
      <c r="G655" s="6"/>
      <c r="H655" s="6"/>
      <c r="I655" s="6" t="s">
        <v>4526</v>
      </c>
      <c r="J655" s="6" t="s">
        <v>4527</v>
      </c>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t="s">
        <v>4528</v>
      </c>
      <c r="AN655" s="6" t="s">
        <v>4529</v>
      </c>
      <c r="AO655" s="6"/>
      <c r="AP655" s="6"/>
      <c r="AQ655" s="6"/>
      <c r="AR655" s="6" t="s">
        <v>937</v>
      </c>
      <c r="AS655" s="6">
        <v>2020</v>
      </c>
      <c r="AT655" s="6">
        <v>59</v>
      </c>
      <c r="AU655" s="6">
        <v>4</v>
      </c>
      <c r="AV655" s="6"/>
      <c r="AW655" s="6"/>
      <c r="AX655" s="6"/>
      <c r="AY655" s="6"/>
      <c r="AZ655" s="6">
        <v>80</v>
      </c>
      <c r="BA655" s="6">
        <v>93</v>
      </c>
      <c r="BB655" s="6"/>
      <c r="BC655" s="6"/>
      <c r="BD655" s="6"/>
      <c r="BE655" s="6"/>
      <c r="BF655" s="6"/>
      <c r="BG655" s="6"/>
      <c r="BH655" s="6"/>
      <c r="BI655" s="6"/>
      <c r="BJ655" s="6" t="s">
        <v>4530</v>
      </c>
      <c r="BK655" s="6"/>
      <c r="BL655" s="6"/>
      <c r="BM655" s="6"/>
      <c r="BN655" s="6"/>
      <c r="BO655" s="6"/>
      <c r="BP655" s="6"/>
      <c r="BQ655" s="6"/>
      <c r="BR655" s="6"/>
      <c r="BS655" s="6"/>
      <c r="BT655" s="6"/>
      <c r="BU655" s="8" t="s">
        <v>4523</v>
      </c>
      <c r="BV655" s="8" t="s">
        <v>7188</v>
      </c>
      <c r="BW655" s="8" t="s">
        <v>7189</v>
      </c>
    </row>
    <row r="656" spans="1:75" ht="12.75" customHeight="1">
      <c r="A656" s="4" t="s">
        <v>201</v>
      </c>
      <c r="B656" s="4" t="s">
        <v>3137</v>
      </c>
      <c r="C656" s="4"/>
      <c r="D656" s="4" t="s">
        <v>3138</v>
      </c>
      <c r="E656" s="4"/>
      <c r="F656" s="4" t="s">
        <v>3139</v>
      </c>
      <c r="G656" s="4"/>
      <c r="H656" s="4"/>
      <c r="I656" s="4" t="s">
        <v>3140</v>
      </c>
      <c r="J656" s="4" t="s">
        <v>3141</v>
      </c>
      <c r="K656" s="4"/>
      <c r="L656" s="4"/>
      <c r="M656" s="4"/>
      <c r="N656" s="4" t="s">
        <v>3142</v>
      </c>
      <c r="O656" s="4" t="s">
        <v>3143</v>
      </c>
      <c r="P656" s="4" t="s">
        <v>3144</v>
      </c>
      <c r="Q656" s="4"/>
      <c r="R656" s="4"/>
      <c r="S656" s="4"/>
      <c r="T656" s="4" t="s">
        <v>3145</v>
      </c>
      <c r="U656" s="4"/>
      <c r="V656" s="4"/>
      <c r="W656" s="4"/>
      <c r="X656" s="4"/>
      <c r="Y656" s="4" t="s">
        <v>3146</v>
      </c>
      <c r="Z656" s="4" t="s">
        <v>2617</v>
      </c>
      <c r="AA656" s="4"/>
      <c r="AB656" s="4"/>
      <c r="AC656" s="4"/>
      <c r="AD656" s="4"/>
      <c r="AE656" s="4"/>
      <c r="AF656" s="4"/>
      <c r="AG656" s="4"/>
      <c r="AH656" s="4"/>
      <c r="AI656" s="4"/>
      <c r="AJ656" s="4"/>
      <c r="AK656" s="4"/>
      <c r="AL656" s="4"/>
      <c r="AM656" s="4"/>
      <c r="AN656" s="4"/>
      <c r="AO656" s="4" t="s">
        <v>3147</v>
      </c>
      <c r="AP656" s="4"/>
      <c r="AQ656" s="4"/>
      <c r="AR656" s="4"/>
      <c r="AS656" s="4">
        <v>2017</v>
      </c>
      <c r="AT656" s="4"/>
      <c r="AU656" s="4"/>
      <c r="AV656" s="4"/>
      <c r="AW656" s="4"/>
      <c r="AX656" s="4"/>
      <c r="AY656" s="4"/>
      <c r="AZ656" s="4">
        <v>582</v>
      </c>
      <c r="BA656" s="4">
        <v>589</v>
      </c>
      <c r="BB656" s="4"/>
      <c r="BC656" s="4" t="s">
        <v>3148</v>
      </c>
      <c r="BD656" s="5" t="str">
        <f>HYPERLINK("http://dx.doi.org/10.5817/CZ.MUNI.P210-8587-2017-75","http://dx.doi.org/10.5817/CZ.MUNI.P210-8587-2017-75")</f>
        <v>http://dx.doi.org/10.5817/CZ.MUNI.P210-8587-2017-75</v>
      </c>
      <c r="BE656" s="4"/>
      <c r="BF656" s="4"/>
      <c r="BG656" s="4"/>
      <c r="BH656" s="4"/>
      <c r="BI656" s="4"/>
      <c r="BJ656" s="4" t="s">
        <v>3149</v>
      </c>
      <c r="BK656" s="4"/>
      <c r="BL656" s="4"/>
      <c r="BM656" s="4"/>
      <c r="BN656" s="4"/>
      <c r="BO656" s="4"/>
      <c r="BP656" s="4"/>
      <c r="BQ656" s="4"/>
      <c r="BR656" s="4"/>
      <c r="BS656" s="4"/>
      <c r="BT656" s="4"/>
      <c r="BU656" s="12" t="s">
        <v>7276</v>
      </c>
      <c r="BV656" s="12" t="s">
        <v>7204</v>
      </c>
      <c r="BW656" s="12" t="s">
        <v>7205</v>
      </c>
    </row>
    <row r="657" spans="1:75" ht="12.75" customHeight="1">
      <c r="A657" s="6" t="s">
        <v>63</v>
      </c>
      <c r="B657" s="6" t="s">
        <v>7009</v>
      </c>
      <c r="C657" s="6"/>
      <c r="D657" s="6"/>
      <c r="E657" s="6"/>
      <c r="F657" s="6" t="s">
        <v>7010</v>
      </c>
      <c r="G657" s="6"/>
      <c r="H657" s="6"/>
      <c r="I657" s="6" t="s">
        <v>7011</v>
      </c>
      <c r="J657" s="6" t="s">
        <v>4027</v>
      </c>
      <c r="K657" s="6"/>
      <c r="L657" s="6"/>
      <c r="M657" s="6"/>
      <c r="N657" s="6"/>
      <c r="O657" s="6"/>
      <c r="P657" s="6"/>
      <c r="Q657" s="6"/>
      <c r="R657" s="6"/>
      <c r="S657" s="6"/>
      <c r="T657" s="6" t="s">
        <v>7012</v>
      </c>
      <c r="U657" s="6"/>
      <c r="V657" s="6"/>
      <c r="W657" s="6"/>
      <c r="X657" s="6"/>
      <c r="Y657" s="6" t="s">
        <v>7013</v>
      </c>
      <c r="Z657" s="6"/>
      <c r="AA657" s="6"/>
      <c r="AB657" s="6"/>
      <c r="AC657" s="6"/>
      <c r="AD657" s="6"/>
      <c r="AE657" s="6"/>
      <c r="AF657" s="6"/>
      <c r="AG657" s="6"/>
      <c r="AH657" s="6"/>
      <c r="AI657" s="6"/>
      <c r="AJ657" s="6"/>
      <c r="AK657" s="6"/>
      <c r="AL657" s="6"/>
      <c r="AM657" s="6" t="s">
        <v>4031</v>
      </c>
      <c r="AN657" s="6" t="s">
        <v>4032</v>
      </c>
      <c r="AO657" s="6"/>
      <c r="AP657" s="6"/>
      <c r="AQ657" s="6"/>
      <c r="AR657" s="6" t="s">
        <v>7014</v>
      </c>
      <c r="AS657" s="6">
        <v>2024</v>
      </c>
      <c r="AT657" s="6"/>
      <c r="AU657" s="6"/>
      <c r="AV657" s="6"/>
      <c r="AW657" s="6"/>
      <c r="AX657" s="6"/>
      <c r="AY657" s="6"/>
      <c r="AZ657" s="6"/>
      <c r="BA657" s="6"/>
      <c r="BB657" s="6"/>
      <c r="BC657" s="6" t="s">
        <v>7015</v>
      </c>
      <c r="BD657" s="9" t="str">
        <f>HYPERLINK("http://dx.doi.org/10.1177/23998083241272101","http://dx.doi.org/10.1177/23998083241272101")</f>
        <v>http://dx.doi.org/10.1177/23998083241272101</v>
      </c>
      <c r="BE657" s="6"/>
      <c r="BF657" s="6" t="s">
        <v>6901</v>
      </c>
      <c r="BG657" s="6"/>
      <c r="BH657" s="6"/>
      <c r="BI657" s="6"/>
      <c r="BJ657" s="6" t="s">
        <v>7016</v>
      </c>
      <c r="BK657" s="6"/>
      <c r="BL657" s="6"/>
      <c r="BM657" s="6"/>
      <c r="BN657" s="6"/>
      <c r="BO657" s="6"/>
      <c r="BP657" s="6"/>
      <c r="BQ657" s="6"/>
      <c r="BR657" s="6"/>
      <c r="BS657" s="6"/>
      <c r="BT657" s="6"/>
      <c r="BU657" s="8" t="s">
        <v>7319</v>
      </c>
      <c r="BV657" s="8" t="s">
        <v>7320</v>
      </c>
      <c r="BW657" s="8" t="s">
        <v>7245</v>
      </c>
    </row>
    <row r="658" spans="1:75" ht="12.75" customHeight="1">
      <c r="A658" s="3" t="s">
        <v>63</v>
      </c>
      <c r="B658" s="3" t="s">
        <v>1630</v>
      </c>
      <c r="C658" s="3"/>
      <c r="D658" s="3"/>
      <c r="E658" s="3"/>
      <c r="F658" s="3" t="s">
        <v>1631</v>
      </c>
      <c r="G658" s="3"/>
      <c r="H658" s="3"/>
      <c r="I658" s="3" t="s">
        <v>1632</v>
      </c>
      <c r="J658" s="3" t="s">
        <v>1633</v>
      </c>
      <c r="K658" s="3"/>
      <c r="L658" s="3"/>
      <c r="M658" s="3"/>
      <c r="N658" s="3" t="s">
        <v>1634</v>
      </c>
      <c r="O658" s="3" t="s">
        <v>1134</v>
      </c>
      <c r="P658" s="3" t="s">
        <v>1635</v>
      </c>
      <c r="Q658" s="3"/>
      <c r="R658" s="3"/>
      <c r="S658" s="3"/>
      <c r="T658" s="3"/>
      <c r="U658" s="3"/>
      <c r="V658" s="3"/>
      <c r="W658" s="3"/>
      <c r="X658" s="3"/>
      <c r="Y658" s="3" t="s">
        <v>1432</v>
      </c>
      <c r="Z658" s="3"/>
      <c r="AA658" s="3"/>
      <c r="AB658" s="3"/>
      <c r="AC658" s="3"/>
      <c r="AD658" s="3"/>
      <c r="AE658" s="3"/>
      <c r="AF658" s="3"/>
      <c r="AG658" s="3"/>
      <c r="AH658" s="3"/>
      <c r="AI658" s="3"/>
      <c r="AJ658" s="3"/>
      <c r="AK658" s="3"/>
      <c r="AL658" s="3"/>
      <c r="AM658" s="3" t="s">
        <v>1636</v>
      </c>
      <c r="AN658" s="3" t="s">
        <v>1637</v>
      </c>
      <c r="AO658" s="3"/>
      <c r="AP658" s="3"/>
      <c r="AQ658" s="3"/>
      <c r="AR658" s="3" t="s">
        <v>68</v>
      </c>
      <c r="AS658" s="3">
        <v>2014</v>
      </c>
      <c r="AT658" s="3">
        <v>29</v>
      </c>
      <c r="AU658" s="3"/>
      <c r="AV658" s="3"/>
      <c r="AW658" s="3">
        <v>1</v>
      </c>
      <c r="AX658" s="3"/>
      <c r="AY658" s="3"/>
      <c r="AZ658" s="3" t="s">
        <v>1638</v>
      </c>
      <c r="BA658" s="3" t="s">
        <v>1638</v>
      </c>
      <c r="BB658" s="3"/>
      <c r="BC658" s="3"/>
      <c r="BD658" s="3"/>
      <c r="BE658" s="3"/>
      <c r="BF658" s="3"/>
      <c r="BG658" s="3"/>
      <c r="BH658" s="3"/>
      <c r="BI658" s="3"/>
      <c r="BJ658" s="3" t="s">
        <v>1639</v>
      </c>
      <c r="BK658" s="3"/>
      <c r="BL658" s="3"/>
      <c r="BM658" s="3"/>
      <c r="BN658" s="3"/>
      <c r="BO658" s="3"/>
      <c r="BP658" s="3"/>
      <c r="BQ658" s="3"/>
      <c r="BR658" s="3"/>
      <c r="BS658" s="3"/>
      <c r="BT658" s="3"/>
      <c r="BU658" s="2" t="s">
        <v>7272</v>
      </c>
      <c r="BV658" s="2" t="s">
        <v>7188</v>
      </c>
      <c r="BW658" s="2" t="s">
        <v>7189</v>
      </c>
    </row>
    <row r="659" spans="1:75" ht="12.75" customHeight="1">
      <c r="A659" s="4" t="s">
        <v>63</v>
      </c>
      <c r="B659" s="4" t="s">
        <v>5831</v>
      </c>
      <c r="C659" s="4"/>
      <c r="D659" s="4"/>
      <c r="E659" s="4"/>
      <c r="F659" s="4" t="s">
        <v>5832</v>
      </c>
      <c r="G659" s="4"/>
      <c r="H659" s="4"/>
      <c r="I659" s="4" t="s">
        <v>5833</v>
      </c>
      <c r="J659" s="4" t="s">
        <v>5834</v>
      </c>
      <c r="K659" s="4"/>
      <c r="L659" s="4"/>
      <c r="M659" s="4"/>
      <c r="N659" s="4"/>
      <c r="O659" s="4"/>
      <c r="P659" s="4"/>
      <c r="Q659" s="4"/>
      <c r="R659" s="4"/>
      <c r="S659" s="4"/>
      <c r="T659" s="4" t="s">
        <v>5835</v>
      </c>
      <c r="U659" s="4"/>
      <c r="V659" s="4"/>
      <c r="W659" s="4"/>
      <c r="X659" s="4"/>
      <c r="Y659" s="4" t="s">
        <v>5836</v>
      </c>
      <c r="Z659" s="4" t="s">
        <v>5837</v>
      </c>
      <c r="AA659" s="4"/>
      <c r="AB659" s="4"/>
      <c r="AC659" s="4"/>
      <c r="AD659" s="4"/>
      <c r="AE659" s="4"/>
      <c r="AF659" s="4"/>
      <c r="AG659" s="4"/>
      <c r="AH659" s="4"/>
      <c r="AI659" s="4"/>
      <c r="AJ659" s="4"/>
      <c r="AK659" s="4"/>
      <c r="AL659" s="4"/>
      <c r="AM659" s="4" t="s">
        <v>5838</v>
      </c>
      <c r="AN659" s="4" t="s">
        <v>5839</v>
      </c>
      <c r="AO659" s="4"/>
      <c r="AP659" s="4"/>
      <c r="AQ659" s="4"/>
      <c r="AR659" s="4" t="s">
        <v>5840</v>
      </c>
      <c r="AS659" s="4">
        <v>2022</v>
      </c>
      <c r="AT659" s="4">
        <v>12</v>
      </c>
      <c r="AU659" s="4">
        <v>4</v>
      </c>
      <c r="AV659" s="4"/>
      <c r="AW659" s="4"/>
      <c r="AX659" s="4"/>
      <c r="AY659" s="4"/>
      <c r="AZ659" s="4">
        <v>532</v>
      </c>
      <c r="BA659" s="4">
        <v>553</v>
      </c>
      <c r="BB659" s="4"/>
      <c r="BC659" s="4" t="s">
        <v>5841</v>
      </c>
      <c r="BD659" s="5" t="str">
        <f>HYPERLINK("http://dx.doi.org/10.1108/JHLSCM-02-2022-0029","http://dx.doi.org/10.1108/JHLSCM-02-2022-0029")</f>
        <v>http://dx.doi.org/10.1108/JHLSCM-02-2022-0029</v>
      </c>
      <c r="BE659" s="4"/>
      <c r="BF659" s="4" t="s">
        <v>5484</v>
      </c>
      <c r="BG659" s="4"/>
      <c r="BH659" s="4"/>
      <c r="BI659" s="4"/>
      <c r="BJ659" s="4" t="s">
        <v>5842</v>
      </c>
      <c r="BK659" s="4"/>
      <c r="BL659" s="4"/>
      <c r="BM659" s="4"/>
      <c r="BN659" s="4"/>
      <c r="BO659" s="4"/>
      <c r="BP659" s="4"/>
      <c r="BQ659" s="4"/>
      <c r="BR659" s="4"/>
      <c r="BS659" s="4"/>
      <c r="BT659" s="4"/>
      <c r="BU659" s="12" t="s">
        <v>7331</v>
      </c>
      <c r="BV659" s="12" t="s">
        <v>7188</v>
      </c>
      <c r="BW659" s="12" t="s">
        <v>7189</v>
      </c>
    </row>
    <row r="660" spans="1:75" ht="12.75" customHeight="1">
      <c r="A660" s="6" t="s">
        <v>63</v>
      </c>
      <c r="B660" s="6" t="s">
        <v>5844</v>
      </c>
      <c r="C660" s="6"/>
      <c r="D660" s="6"/>
      <c r="E660" s="6"/>
      <c r="F660" s="6" t="s">
        <v>5845</v>
      </c>
      <c r="G660" s="6"/>
      <c r="H660" s="6"/>
      <c r="I660" s="6" t="s">
        <v>5846</v>
      </c>
      <c r="J660" s="6" t="s">
        <v>149</v>
      </c>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t="s">
        <v>150</v>
      </c>
      <c r="AN660" s="6" t="s">
        <v>5847</v>
      </c>
      <c r="AO660" s="6"/>
      <c r="AP660" s="6"/>
      <c r="AQ660" s="6"/>
      <c r="AR660" s="6" t="s">
        <v>92</v>
      </c>
      <c r="AS660" s="6">
        <v>2022</v>
      </c>
      <c r="AT660" s="6">
        <v>32</v>
      </c>
      <c r="AU660" s="6"/>
      <c r="AV660" s="6"/>
      <c r="AW660" s="6">
        <v>3</v>
      </c>
      <c r="AX660" s="6"/>
      <c r="AY660" s="6" t="s">
        <v>5848</v>
      </c>
      <c r="AZ660" s="6"/>
      <c r="BA660" s="6"/>
      <c r="BB660" s="6"/>
      <c r="BC660" s="6"/>
      <c r="BD660" s="6"/>
      <c r="BE660" s="6"/>
      <c r="BF660" s="6"/>
      <c r="BG660" s="6"/>
      <c r="BH660" s="6"/>
      <c r="BI660" s="6"/>
      <c r="BJ660" s="6" t="s">
        <v>5849</v>
      </c>
      <c r="BK660" s="6"/>
      <c r="BL660" s="6"/>
      <c r="BM660" s="6"/>
      <c r="BN660" s="6"/>
      <c r="BO660" s="6"/>
      <c r="BP660" s="6"/>
      <c r="BQ660" s="6"/>
      <c r="BR660" s="6"/>
      <c r="BS660" s="6"/>
      <c r="BT660" s="6"/>
      <c r="BU660" s="8" t="s">
        <v>7220</v>
      </c>
      <c r="BV660" s="8" t="s">
        <v>5843</v>
      </c>
      <c r="BW660" s="8" t="s">
        <v>7205</v>
      </c>
    </row>
    <row r="661" spans="1:75" ht="12.75" customHeight="1">
      <c r="A661" s="3" t="s">
        <v>63</v>
      </c>
      <c r="B661" s="3" t="s">
        <v>2031</v>
      </c>
      <c r="C661" s="3"/>
      <c r="D661" s="3"/>
      <c r="E661" s="3"/>
      <c r="F661" s="3" t="s">
        <v>2032</v>
      </c>
      <c r="G661" s="3"/>
      <c r="H661" s="3"/>
      <c r="I661" s="3" t="s">
        <v>2033</v>
      </c>
      <c r="J661" s="3" t="s">
        <v>650</v>
      </c>
      <c r="K661" s="3"/>
      <c r="L661" s="3"/>
      <c r="M661" s="3"/>
      <c r="N661" s="3"/>
      <c r="O661" s="3"/>
      <c r="P661" s="3"/>
      <c r="Q661" s="3"/>
      <c r="R661" s="3"/>
      <c r="S661" s="3"/>
      <c r="T661" s="3" t="s">
        <v>2034</v>
      </c>
      <c r="U661" s="3"/>
      <c r="V661" s="3"/>
      <c r="W661" s="3"/>
      <c r="X661" s="3"/>
      <c r="Y661" s="3" t="s">
        <v>2035</v>
      </c>
      <c r="Z661" s="3" t="s">
        <v>2036</v>
      </c>
      <c r="AA661" s="3"/>
      <c r="AB661" s="3"/>
      <c r="AC661" s="3"/>
      <c r="AD661" s="3"/>
      <c r="AE661" s="3"/>
      <c r="AF661" s="3"/>
      <c r="AG661" s="3"/>
      <c r="AH661" s="3"/>
      <c r="AI661" s="3"/>
      <c r="AJ661" s="3"/>
      <c r="AK661" s="3"/>
      <c r="AL661" s="3"/>
      <c r="AM661" s="3" t="s">
        <v>654</v>
      </c>
      <c r="AN661" s="3" t="s">
        <v>655</v>
      </c>
      <c r="AO661" s="3"/>
      <c r="AP661" s="3"/>
      <c r="AQ661" s="3"/>
      <c r="AR661" s="3" t="s">
        <v>82</v>
      </c>
      <c r="AS661" s="3">
        <v>2015</v>
      </c>
      <c r="AT661" s="3">
        <v>48</v>
      </c>
      <c r="AU661" s="3">
        <v>3</v>
      </c>
      <c r="AV661" s="3"/>
      <c r="AW661" s="3"/>
      <c r="AX661" s="3"/>
      <c r="AY661" s="3"/>
      <c r="AZ661" s="3">
        <v>309</v>
      </c>
      <c r="BA661" s="3">
        <v>317</v>
      </c>
      <c r="BB661" s="3"/>
      <c r="BC661" s="3" t="s">
        <v>2037</v>
      </c>
      <c r="BD661" s="15" t="str">
        <f>HYPERLINK("http://dx.doi.org/10.1016/j.amepre.2014.08.020","http://dx.doi.org/10.1016/j.amepre.2014.08.020")</f>
        <v>http://dx.doi.org/10.1016/j.amepre.2014.08.020</v>
      </c>
      <c r="BE661" s="3"/>
      <c r="BF661" s="3"/>
      <c r="BG661" s="3"/>
      <c r="BH661" s="3"/>
      <c r="BI661" s="3">
        <v>25300734</v>
      </c>
      <c r="BJ661" s="3" t="s">
        <v>2038</v>
      </c>
      <c r="BK661" s="3"/>
      <c r="BL661" s="3"/>
      <c r="BM661" s="3"/>
      <c r="BN661" s="3"/>
      <c r="BO661" s="3"/>
      <c r="BP661" s="3"/>
      <c r="BQ661" s="3"/>
      <c r="BR661" s="3"/>
      <c r="BS661" s="3"/>
      <c r="BT661" s="3"/>
      <c r="BU661" s="1" t="s">
        <v>7411</v>
      </c>
      <c r="BV661" s="2" t="s">
        <v>7188</v>
      </c>
      <c r="BW661" s="2" t="s">
        <v>7189</v>
      </c>
    </row>
    <row r="662" spans="1:75" ht="12.75" customHeight="1">
      <c r="A662" s="4" t="s">
        <v>63</v>
      </c>
      <c r="B662" s="4" t="s">
        <v>7017</v>
      </c>
      <c r="C662" s="4"/>
      <c r="D662" s="4"/>
      <c r="E662" s="4"/>
      <c r="F662" s="4" t="s">
        <v>7018</v>
      </c>
      <c r="G662" s="4"/>
      <c r="H662" s="4"/>
      <c r="I662" s="4" t="s">
        <v>7019</v>
      </c>
      <c r="J662" s="4" t="s">
        <v>1326</v>
      </c>
      <c r="K662" s="4"/>
      <c r="L662" s="4"/>
      <c r="M662" s="4"/>
      <c r="N662" s="4"/>
      <c r="O662" s="4"/>
      <c r="P662" s="4"/>
      <c r="Q662" s="4"/>
      <c r="R662" s="4"/>
      <c r="S662" s="4"/>
      <c r="T662" s="4" t="s">
        <v>7020</v>
      </c>
      <c r="U662" s="4"/>
      <c r="V662" s="4"/>
      <c r="W662" s="4"/>
      <c r="X662" s="4"/>
      <c r="Y662" s="4" t="s">
        <v>7021</v>
      </c>
      <c r="Z662" s="4"/>
      <c r="AA662" s="4"/>
      <c r="AB662" s="4"/>
      <c r="AC662" s="4"/>
      <c r="AD662" s="4"/>
      <c r="AE662" s="4"/>
      <c r="AF662" s="4"/>
      <c r="AG662" s="4"/>
      <c r="AH662" s="4"/>
      <c r="AI662" s="4"/>
      <c r="AJ662" s="4"/>
      <c r="AK662" s="4"/>
      <c r="AL662" s="4"/>
      <c r="AM662" s="4" t="s">
        <v>1329</v>
      </c>
      <c r="AN662" s="4"/>
      <c r="AO662" s="4"/>
      <c r="AP662" s="4"/>
      <c r="AQ662" s="4"/>
      <c r="AR662" s="4" t="s">
        <v>78</v>
      </c>
      <c r="AS662" s="4">
        <v>2024</v>
      </c>
      <c r="AT662" s="4">
        <v>27</v>
      </c>
      <c r="AU662" s="4">
        <v>2</v>
      </c>
      <c r="AV662" s="4"/>
      <c r="AW662" s="4"/>
      <c r="AX662" s="4"/>
      <c r="AY662" s="4"/>
      <c r="AZ662" s="4">
        <v>237</v>
      </c>
      <c r="BA662" s="4">
        <v>255</v>
      </c>
      <c r="BB662" s="4"/>
      <c r="BC662" s="4" t="s">
        <v>7022</v>
      </c>
      <c r="BD662" s="5" t="str">
        <f>HYPERLINK("http://dx.doi.org/10.22434/IFAMR2023.0038","http://dx.doi.org/10.22434/IFAMR2023.0038")</f>
        <v>http://dx.doi.org/10.22434/IFAMR2023.0038</v>
      </c>
      <c r="BE662" s="4"/>
      <c r="BF662" s="4"/>
      <c r="BG662" s="4"/>
      <c r="BH662" s="4"/>
      <c r="BI662" s="4"/>
      <c r="BJ662" s="4" t="s">
        <v>7023</v>
      </c>
      <c r="BK662" s="4"/>
      <c r="BL662" s="4"/>
      <c r="BM662" s="4"/>
      <c r="BN662" s="4"/>
      <c r="BO662" s="4"/>
      <c r="BP662" s="4"/>
      <c r="BQ662" s="4"/>
      <c r="BR662" s="4"/>
      <c r="BS662" s="4"/>
      <c r="BT662" s="4"/>
      <c r="BU662" s="12" t="s">
        <v>7331</v>
      </c>
      <c r="BV662" s="12" t="s">
        <v>7188</v>
      </c>
      <c r="BW662" s="12" t="s">
        <v>7189</v>
      </c>
    </row>
    <row r="663" spans="1:75" ht="12.75" customHeight="1">
      <c r="A663" s="4" t="s">
        <v>63</v>
      </c>
      <c r="B663" s="4" t="s">
        <v>5178</v>
      </c>
      <c r="C663" s="4"/>
      <c r="D663" s="4"/>
      <c r="E663" s="4"/>
      <c r="F663" s="4" t="s">
        <v>5179</v>
      </c>
      <c r="G663" s="4"/>
      <c r="H663" s="4"/>
      <c r="I663" s="4" t="s">
        <v>5180</v>
      </c>
      <c r="J663" s="4" t="s">
        <v>712</v>
      </c>
      <c r="K663" s="4"/>
      <c r="L663" s="4"/>
      <c r="M663" s="4"/>
      <c r="N663" s="4"/>
      <c r="O663" s="4"/>
      <c r="P663" s="4"/>
      <c r="Q663" s="4"/>
      <c r="R663" s="4"/>
      <c r="S663" s="4"/>
      <c r="T663" s="4" t="s">
        <v>5181</v>
      </c>
      <c r="U663" s="4"/>
      <c r="V663" s="4"/>
      <c r="W663" s="4"/>
      <c r="X663" s="4"/>
      <c r="Y663" s="4" t="s">
        <v>5182</v>
      </c>
      <c r="Z663" s="4" t="s">
        <v>5183</v>
      </c>
      <c r="AA663" s="4"/>
      <c r="AB663" s="4"/>
      <c r="AC663" s="4"/>
      <c r="AD663" s="4"/>
      <c r="AE663" s="4"/>
      <c r="AF663" s="4"/>
      <c r="AG663" s="4"/>
      <c r="AH663" s="4"/>
      <c r="AI663" s="4"/>
      <c r="AJ663" s="4"/>
      <c r="AK663" s="4"/>
      <c r="AL663" s="4"/>
      <c r="AM663" s="4" t="s">
        <v>714</v>
      </c>
      <c r="AN663" s="4" t="s">
        <v>715</v>
      </c>
      <c r="AO663" s="4"/>
      <c r="AP663" s="4"/>
      <c r="AQ663" s="4"/>
      <c r="AR663" s="4" t="s">
        <v>67</v>
      </c>
      <c r="AS663" s="4">
        <v>2021</v>
      </c>
      <c r="AT663" s="4">
        <v>46</v>
      </c>
      <c r="AU663" s="4">
        <v>1</v>
      </c>
      <c r="AV663" s="4"/>
      <c r="AW663" s="4"/>
      <c r="AX663" s="4"/>
      <c r="AY663" s="4"/>
      <c r="AZ663" s="4">
        <v>1</v>
      </c>
      <c r="BA663" s="4">
        <v>12</v>
      </c>
      <c r="BB663" s="4"/>
      <c r="BC663" s="4" t="s">
        <v>5184</v>
      </c>
      <c r="BD663" s="5" t="str">
        <f>HYPERLINK("http://dx.doi.org/10.1007/s10900-020-00805-z","http://dx.doi.org/10.1007/s10900-020-00805-z")</f>
        <v>http://dx.doi.org/10.1007/s10900-020-00805-z</v>
      </c>
      <c r="BE663" s="4"/>
      <c r="BF663" s="4" t="s">
        <v>4288</v>
      </c>
      <c r="BG663" s="4"/>
      <c r="BH663" s="4"/>
      <c r="BI663" s="4">
        <v>32170531</v>
      </c>
      <c r="BJ663" s="4" t="s">
        <v>5185</v>
      </c>
      <c r="BK663" s="4"/>
      <c r="BL663" s="4"/>
      <c r="BM663" s="4"/>
      <c r="BN663" s="4"/>
      <c r="BO663" s="4"/>
      <c r="BP663" s="4"/>
      <c r="BQ663" s="4"/>
      <c r="BR663" s="4"/>
      <c r="BS663" s="4"/>
      <c r="BT663" s="4"/>
      <c r="BU663" s="12" t="s">
        <v>7221</v>
      </c>
      <c r="BV663" s="12" t="s">
        <v>7188</v>
      </c>
      <c r="BW663" s="12" t="s">
        <v>7189</v>
      </c>
    </row>
    <row r="664" spans="1:75" ht="12.75" customHeight="1">
      <c r="A664" s="6" t="s">
        <v>63</v>
      </c>
      <c r="B664" s="6" t="s">
        <v>3150</v>
      </c>
      <c r="C664" s="6"/>
      <c r="D664" s="6"/>
      <c r="E664" s="6"/>
      <c r="F664" s="6" t="s">
        <v>3151</v>
      </c>
      <c r="G664" s="6"/>
      <c r="H664" s="6"/>
      <c r="I664" s="6" t="s">
        <v>3152</v>
      </c>
      <c r="J664" s="6" t="s">
        <v>712</v>
      </c>
      <c r="K664" s="6"/>
      <c r="L664" s="6"/>
      <c r="M664" s="6"/>
      <c r="N664" s="6"/>
      <c r="O664" s="6"/>
      <c r="P664" s="6"/>
      <c r="Q664" s="6"/>
      <c r="R664" s="6"/>
      <c r="S664" s="6"/>
      <c r="T664" s="6" t="s">
        <v>3153</v>
      </c>
      <c r="U664" s="6"/>
      <c r="V664" s="6"/>
      <c r="W664" s="6"/>
      <c r="X664" s="6"/>
      <c r="Y664" s="6"/>
      <c r="Z664" s="6"/>
      <c r="AA664" s="6"/>
      <c r="AB664" s="6"/>
      <c r="AC664" s="6"/>
      <c r="AD664" s="6"/>
      <c r="AE664" s="6"/>
      <c r="AF664" s="6"/>
      <c r="AG664" s="6"/>
      <c r="AH664" s="6"/>
      <c r="AI664" s="6"/>
      <c r="AJ664" s="6"/>
      <c r="AK664" s="6"/>
      <c r="AL664" s="6"/>
      <c r="AM664" s="6" t="s">
        <v>714</v>
      </c>
      <c r="AN664" s="6" t="s">
        <v>715</v>
      </c>
      <c r="AO664" s="6"/>
      <c r="AP664" s="6"/>
      <c r="AQ664" s="6"/>
      <c r="AR664" s="6" t="s">
        <v>92</v>
      </c>
      <c r="AS664" s="6">
        <v>2017</v>
      </c>
      <c r="AT664" s="6">
        <v>42</v>
      </c>
      <c r="AU664" s="6">
        <v>5</v>
      </c>
      <c r="AV664" s="6"/>
      <c r="AW664" s="6"/>
      <c r="AX664" s="6"/>
      <c r="AY664" s="6"/>
      <c r="AZ664" s="6">
        <v>991</v>
      </c>
      <c r="BA664" s="6">
        <v>997</v>
      </c>
      <c r="BB664" s="6"/>
      <c r="BC664" s="6" t="s">
        <v>3154</v>
      </c>
      <c r="BD664" s="9" t="str">
        <f>HYPERLINK("http://dx.doi.org/10.1007/s10900-017-0346-3","http://dx.doi.org/10.1007/s10900-017-0346-3")</f>
        <v>http://dx.doi.org/10.1007/s10900-017-0346-3</v>
      </c>
      <c r="BE664" s="6"/>
      <c r="BF664" s="6"/>
      <c r="BG664" s="6"/>
      <c r="BH664" s="6"/>
      <c r="BI664" s="6">
        <v>28417432</v>
      </c>
      <c r="BJ664" s="6" t="s">
        <v>3155</v>
      </c>
      <c r="BK664" s="6"/>
      <c r="BL664" s="6"/>
      <c r="BM664" s="6"/>
      <c r="BN664" s="6"/>
      <c r="BO664" s="6"/>
      <c r="BP664" s="6"/>
      <c r="BQ664" s="6"/>
      <c r="BR664" s="6"/>
      <c r="BS664" s="6"/>
      <c r="BT664" s="6"/>
      <c r="BU664" s="8" t="s">
        <v>7306</v>
      </c>
      <c r="BV664" s="8" t="s">
        <v>7188</v>
      </c>
      <c r="BW664" s="8" t="s">
        <v>7189</v>
      </c>
    </row>
    <row r="665" spans="1:75" ht="12.75" customHeight="1">
      <c r="A665" s="3" t="s">
        <v>63</v>
      </c>
      <c r="B665" s="3" t="s">
        <v>2040</v>
      </c>
      <c r="C665" s="3"/>
      <c r="D665" s="3"/>
      <c r="E665" s="3"/>
      <c r="F665" s="3" t="s">
        <v>2041</v>
      </c>
      <c r="G665" s="3"/>
      <c r="H665" s="3"/>
      <c r="I665" s="3" t="s">
        <v>2042</v>
      </c>
      <c r="J665" s="3" t="s">
        <v>2043</v>
      </c>
      <c r="K665" s="3"/>
      <c r="L665" s="3"/>
      <c r="M665" s="3"/>
      <c r="N665" s="3"/>
      <c r="O665" s="3"/>
      <c r="P665" s="3"/>
      <c r="Q665" s="3"/>
      <c r="R665" s="3"/>
      <c r="S665" s="3"/>
      <c r="T665" s="3" t="s">
        <v>2044</v>
      </c>
      <c r="U665" s="3"/>
      <c r="V665" s="3"/>
      <c r="W665" s="3"/>
      <c r="X665" s="3"/>
      <c r="Y665" s="3" t="s">
        <v>2045</v>
      </c>
      <c r="Z665" s="3"/>
      <c r="AA665" s="3"/>
      <c r="AB665" s="3"/>
      <c r="AC665" s="3"/>
      <c r="AD665" s="3"/>
      <c r="AE665" s="3"/>
      <c r="AF665" s="3"/>
      <c r="AG665" s="3"/>
      <c r="AH665" s="3"/>
      <c r="AI665" s="3"/>
      <c r="AJ665" s="3"/>
      <c r="AK665" s="3"/>
      <c r="AL665" s="3"/>
      <c r="AM665" s="3" t="s">
        <v>2046</v>
      </c>
      <c r="AN665" s="3" t="s">
        <v>2047</v>
      </c>
      <c r="AO665" s="3"/>
      <c r="AP665" s="3"/>
      <c r="AQ665" s="3"/>
      <c r="AR665" s="3" t="s">
        <v>2048</v>
      </c>
      <c r="AS665" s="3">
        <v>2015</v>
      </c>
      <c r="AT665" s="3">
        <v>106</v>
      </c>
      <c r="AU665" s="3">
        <v>3</v>
      </c>
      <c r="AV665" s="3"/>
      <c r="AW665" s="3"/>
      <c r="AX665" s="3"/>
      <c r="AY665" s="3"/>
      <c r="AZ665" s="3" t="s">
        <v>2049</v>
      </c>
      <c r="BA665" s="3" t="s">
        <v>2050</v>
      </c>
      <c r="BB665" s="3"/>
      <c r="BC665" s="3" t="s">
        <v>2051</v>
      </c>
      <c r="BD665" s="15" t="str">
        <f>HYPERLINK("http://dx.doi.org/10.17269/CJPH.106.4710","http://dx.doi.org/10.17269/CJPH.106.4710")</f>
        <v>http://dx.doi.org/10.17269/CJPH.106.4710</v>
      </c>
      <c r="BE665" s="3"/>
      <c r="BF665" s="3"/>
      <c r="BG665" s="3"/>
      <c r="BH665" s="3"/>
      <c r="BI665" s="3">
        <v>26125241</v>
      </c>
      <c r="BJ665" s="3" t="s">
        <v>2052</v>
      </c>
      <c r="BK665" s="3"/>
      <c r="BL665" s="3"/>
      <c r="BM665" s="3"/>
      <c r="BN665" s="3"/>
      <c r="BO665" s="3"/>
      <c r="BP665" s="3"/>
      <c r="BQ665" s="3"/>
      <c r="BR665" s="3"/>
      <c r="BS665" s="3"/>
      <c r="BT665" s="3"/>
      <c r="BU665" s="13" t="s">
        <v>7450</v>
      </c>
      <c r="BV665" s="2" t="s">
        <v>2039</v>
      </c>
      <c r="BW665" s="2" t="s">
        <v>7189</v>
      </c>
    </row>
    <row r="666" spans="1:75" ht="12.75" customHeight="1">
      <c r="A666" s="3" t="s">
        <v>63</v>
      </c>
      <c r="B666" s="3" t="s">
        <v>5186</v>
      </c>
      <c r="C666" s="3"/>
      <c r="D666" s="3"/>
      <c r="E666" s="3"/>
      <c r="F666" s="3" t="s">
        <v>5187</v>
      </c>
      <c r="G666" s="3"/>
      <c r="H666" s="3"/>
      <c r="I666" s="3" t="s">
        <v>5188</v>
      </c>
      <c r="J666" s="3" t="s">
        <v>3374</v>
      </c>
      <c r="K666" s="3"/>
      <c r="L666" s="3"/>
      <c r="M666" s="3"/>
      <c r="N666" s="3"/>
      <c r="O666" s="3"/>
      <c r="P666" s="3"/>
      <c r="Q666" s="3"/>
      <c r="R666" s="3"/>
      <c r="S666" s="3"/>
      <c r="T666" s="3" t="s">
        <v>5189</v>
      </c>
      <c r="U666" s="3"/>
      <c r="V666" s="3"/>
      <c r="W666" s="3"/>
      <c r="X666" s="3"/>
      <c r="Y666" s="3" t="s">
        <v>5190</v>
      </c>
      <c r="Z666" s="3" t="s">
        <v>5191</v>
      </c>
      <c r="AA666" s="3"/>
      <c r="AB666" s="3"/>
      <c r="AC666" s="3"/>
      <c r="AD666" s="3"/>
      <c r="AE666" s="3"/>
      <c r="AF666" s="3"/>
      <c r="AG666" s="3"/>
      <c r="AH666" s="3"/>
      <c r="AI666" s="3"/>
      <c r="AJ666" s="3"/>
      <c r="AK666" s="3"/>
      <c r="AL666" s="3"/>
      <c r="AM666" s="3"/>
      <c r="AN666" s="3" t="s">
        <v>3377</v>
      </c>
      <c r="AO666" s="3"/>
      <c r="AP666" s="3"/>
      <c r="AQ666" s="3"/>
      <c r="AR666" s="3" t="s">
        <v>67</v>
      </c>
      <c r="AS666" s="3">
        <v>2021</v>
      </c>
      <c r="AT666" s="3">
        <v>13</v>
      </c>
      <c r="AU666" s="3">
        <v>3</v>
      </c>
      <c r="AV666" s="3"/>
      <c r="AW666" s="3"/>
      <c r="AX666" s="3"/>
      <c r="AY666" s="3"/>
      <c r="AZ666" s="3"/>
      <c r="BA666" s="3"/>
      <c r="BB666" s="3">
        <v>1267</v>
      </c>
      <c r="BC666" s="3" t="s">
        <v>5192</v>
      </c>
      <c r="BD666" s="15" t="str">
        <f>HYPERLINK("http://dx.doi.org/10.3390/su13031267","http://dx.doi.org/10.3390/su13031267")</f>
        <v>http://dx.doi.org/10.3390/su13031267</v>
      </c>
      <c r="BE666" s="3"/>
      <c r="BF666" s="3"/>
      <c r="BG666" s="3"/>
      <c r="BH666" s="3"/>
      <c r="BI666" s="3"/>
      <c r="BJ666" s="3" t="s">
        <v>5193</v>
      </c>
      <c r="BK666" s="3"/>
      <c r="BL666" s="3"/>
      <c r="BM666" s="3"/>
      <c r="BN666" s="3"/>
      <c r="BO666" s="3"/>
      <c r="BP666" s="3"/>
      <c r="BQ666" s="3"/>
      <c r="BR666" s="3"/>
      <c r="BS666" s="3"/>
      <c r="BT666" s="3"/>
      <c r="BU666" s="2" t="s">
        <v>7209</v>
      </c>
      <c r="BV666" s="2" t="s">
        <v>7209</v>
      </c>
      <c r="BW666" s="2" t="s">
        <v>7209</v>
      </c>
    </row>
    <row r="667" spans="1:75" ht="12.75" customHeight="1">
      <c r="A667" s="4" t="s">
        <v>63</v>
      </c>
      <c r="B667" s="4" t="s">
        <v>5194</v>
      </c>
      <c r="C667" s="4"/>
      <c r="D667" s="4"/>
      <c r="E667" s="4"/>
      <c r="F667" s="4" t="s">
        <v>5195</v>
      </c>
      <c r="G667" s="4"/>
      <c r="H667" s="4"/>
      <c r="I667" s="4" t="s">
        <v>5196</v>
      </c>
      <c r="J667" s="4" t="s">
        <v>3374</v>
      </c>
      <c r="K667" s="4"/>
      <c r="L667" s="4"/>
      <c r="M667" s="4"/>
      <c r="N667" s="4"/>
      <c r="O667" s="4"/>
      <c r="P667" s="4"/>
      <c r="Q667" s="4"/>
      <c r="R667" s="4"/>
      <c r="S667" s="4"/>
      <c r="T667" s="4" t="s">
        <v>5197</v>
      </c>
      <c r="U667" s="4"/>
      <c r="V667" s="4"/>
      <c r="W667" s="4"/>
      <c r="X667" s="4"/>
      <c r="Y667" s="4"/>
      <c r="Z667" s="4" t="s">
        <v>5198</v>
      </c>
      <c r="AA667" s="4"/>
      <c r="AB667" s="4"/>
      <c r="AC667" s="4"/>
      <c r="AD667" s="4"/>
      <c r="AE667" s="4"/>
      <c r="AF667" s="4"/>
      <c r="AG667" s="4"/>
      <c r="AH667" s="4"/>
      <c r="AI667" s="4"/>
      <c r="AJ667" s="4"/>
      <c r="AK667" s="4"/>
      <c r="AL667" s="4"/>
      <c r="AM667" s="4"/>
      <c r="AN667" s="4" t="s">
        <v>3377</v>
      </c>
      <c r="AO667" s="4"/>
      <c r="AP667" s="4"/>
      <c r="AQ667" s="4"/>
      <c r="AR667" s="4" t="s">
        <v>121</v>
      </c>
      <c r="AS667" s="4">
        <v>2021</v>
      </c>
      <c r="AT667" s="4">
        <v>13</v>
      </c>
      <c r="AU667" s="4">
        <v>15</v>
      </c>
      <c r="AV667" s="4"/>
      <c r="AW667" s="4"/>
      <c r="AX667" s="4"/>
      <c r="AY667" s="4"/>
      <c r="AZ667" s="4"/>
      <c r="BA667" s="4"/>
      <c r="BB667" s="4">
        <v>8390</v>
      </c>
      <c r="BC667" s="4" t="s">
        <v>5199</v>
      </c>
      <c r="BD667" s="5" t="str">
        <f>HYPERLINK("http://dx.doi.org/10.3390/su13158390","http://dx.doi.org/10.3390/su13158390")</f>
        <v>http://dx.doi.org/10.3390/su13158390</v>
      </c>
      <c r="BE667" s="4"/>
      <c r="BF667" s="4"/>
      <c r="BG667" s="4"/>
      <c r="BH667" s="4"/>
      <c r="BI667" s="4"/>
      <c r="BJ667" s="4" t="s">
        <v>5200</v>
      </c>
      <c r="BK667" s="4"/>
      <c r="BL667" s="4"/>
      <c r="BM667" s="4"/>
      <c r="BN667" s="4"/>
      <c r="BO667" s="4"/>
      <c r="BP667" s="4"/>
      <c r="BQ667" s="4"/>
      <c r="BR667" s="4"/>
      <c r="BS667" s="4"/>
      <c r="BT667" s="4"/>
      <c r="BU667" s="12" t="s">
        <v>7440</v>
      </c>
      <c r="BV667" s="12" t="s">
        <v>7188</v>
      </c>
      <c r="BW667" s="12" t="s">
        <v>7189</v>
      </c>
    </row>
    <row r="668" spans="1:75" ht="12.75" customHeight="1">
      <c r="A668" s="3" t="s">
        <v>63</v>
      </c>
      <c r="B668" s="3" t="s">
        <v>3999</v>
      </c>
      <c r="C668" s="3"/>
      <c r="D668" s="3"/>
      <c r="E668" s="3"/>
      <c r="F668" s="3" t="s">
        <v>4000</v>
      </c>
      <c r="G668" s="3"/>
      <c r="H668" s="3"/>
      <c r="I668" s="3" t="s">
        <v>4001</v>
      </c>
      <c r="J668" s="3" t="s">
        <v>2442</v>
      </c>
      <c r="K668" s="3"/>
      <c r="L668" s="3"/>
      <c r="M668" s="3"/>
      <c r="N668" s="3" t="s">
        <v>4002</v>
      </c>
      <c r="O668" s="3" t="s">
        <v>4003</v>
      </c>
      <c r="P668" s="3" t="s">
        <v>2533</v>
      </c>
      <c r="Q668" s="3"/>
      <c r="R668" s="3"/>
      <c r="S668" s="3"/>
      <c r="T668" s="3"/>
      <c r="U668" s="3"/>
      <c r="V668" s="3"/>
      <c r="W668" s="3"/>
      <c r="X668" s="3"/>
      <c r="Y668" s="3" t="s">
        <v>4004</v>
      </c>
      <c r="Z668" s="3"/>
      <c r="AA668" s="3"/>
      <c r="AB668" s="3"/>
      <c r="AC668" s="3"/>
      <c r="AD668" s="3"/>
      <c r="AE668" s="3"/>
      <c r="AF668" s="3"/>
      <c r="AG668" s="3"/>
      <c r="AH668" s="3"/>
      <c r="AI668" s="3"/>
      <c r="AJ668" s="3"/>
      <c r="AK668" s="3"/>
      <c r="AL668" s="3"/>
      <c r="AM668" s="3" t="s">
        <v>2445</v>
      </c>
      <c r="AN668" s="3" t="s">
        <v>2446</v>
      </c>
      <c r="AO668" s="3"/>
      <c r="AP668" s="3"/>
      <c r="AQ668" s="3"/>
      <c r="AR668" s="3" t="s">
        <v>3947</v>
      </c>
      <c r="AS668" s="3">
        <v>2019</v>
      </c>
      <c r="AT668" s="3">
        <v>140</v>
      </c>
      <c r="AU668" s="3"/>
      <c r="AV668" s="3"/>
      <c r="AW668" s="3">
        <v>1</v>
      </c>
      <c r="AX668" s="3"/>
      <c r="AY668" s="3" t="s">
        <v>4005</v>
      </c>
      <c r="AZ668" s="3"/>
      <c r="BA668" s="3"/>
      <c r="BB668" s="3"/>
      <c r="BC668" s="3"/>
      <c r="BD668" s="3"/>
      <c r="BE668" s="3"/>
      <c r="BF668" s="3"/>
      <c r="BG668" s="3"/>
      <c r="BH668" s="3"/>
      <c r="BI668" s="3"/>
      <c r="BJ668" s="3" t="s">
        <v>4006</v>
      </c>
      <c r="BK668" s="3"/>
      <c r="BL668" s="3"/>
      <c r="BM668" s="3"/>
      <c r="BN668" s="3"/>
      <c r="BO668" s="3"/>
      <c r="BP668" s="3"/>
      <c r="BQ668" s="3"/>
      <c r="BR668" s="3"/>
      <c r="BS668" s="3"/>
      <c r="BT668" s="3"/>
      <c r="BU668" s="2" t="s">
        <v>7193</v>
      </c>
      <c r="BV668" s="2" t="s">
        <v>7188</v>
      </c>
      <c r="BW668" s="2" t="s">
        <v>7189</v>
      </c>
    </row>
    <row r="669" spans="1:75" ht="12.75" customHeight="1">
      <c r="A669" s="3" t="s">
        <v>63</v>
      </c>
      <c r="B669" s="3" t="s">
        <v>1640</v>
      </c>
      <c r="C669" s="3"/>
      <c r="D669" s="3"/>
      <c r="E669" s="3"/>
      <c r="F669" s="3" t="s">
        <v>1641</v>
      </c>
      <c r="G669" s="3"/>
      <c r="H669" s="3"/>
      <c r="I669" s="3" t="s">
        <v>1642</v>
      </c>
      <c r="J669" s="3" t="s">
        <v>867</v>
      </c>
      <c r="K669" s="3"/>
      <c r="L669" s="3"/>
      <c r="M669" s="3"/>
      <c r="N669" s="3"/>
      <c r="O669" s="3"/>
      <c r="P669" s="3"/>
      <c r="Q669" s="3"/>
      <c r="R669" s="3"/>
      <c r="S669" s="3"/>
      <c r="T669" s="3" t="s">
        <v>1643</v>
      </c>
      <c r="U669" s="3"/>
      <c r="V669" s="3"/>
      <c r="W669" s="3"/>
      <c r="X669" s="3"/>
      <c r="Y669" s="3" t="s">
        <v>791</v>
      </c>
      <c r="Z669" s="3" t="s">
        <v>1644</v>
      </c>
      <c r="AA669" s="3"/>
      <c r="AB669" s="3"/>
      <c r="AC669" s="3"/>
      <c r="AD669" s="3"/>
      <c r="AE669" s="3"/>
      <c r="AF669" s="3"/>
      <c r="AG669" s="3"/>
      <c r="AH669" s="3"/>
      <c r="AI669" s="3"/>
      <c r="AJ669" s="3"/>
      <c r="AK669" s="3"/>
      <c r="AL669" s="3"/>
      <c r="AM669" s="3" t="s">
        <v>871</v>
      </c>
      <c r="AN669" s="3"/>
      <c r="AO669" s="3"/>
      <c r="AP669" s="3"/>
      <c r="AQ669" s="3"/>
      <c r="AR669" s="3" t="s">
        <v>65</v>
      </c>
      <c r="AS669" s="3">
        <v>2014</v>
      </c>
      <c r="AT669" s="3">
        <v>122</v>
      </c>
      <c r="AU669" s="3"/>
      <c r="AV669" s="3"/>
      <c r="AW669" s="3"/>
      <c r="AX669" s="3"/>
      <c r="AY669" s="3"/>
      <c r="AZ669" s="3">
        <v>13</v>
      </c>
      <c r="BA669" s="3">
        <v>20</v>
      </c>
      <c r="BB669" s="3"/>
      <c r="BC669" s="3" t="s">
        <v>1645</v>
      </c>
      <c r="BD669" s="15" t="str">
        <f>HYPERLINK("http://dx.doi.org/10.1016/j.socscimed.2014.10.005","http://dx.doi.org/10.1016/j.socscimed.2014.10.005")</f>
        <v>http://dx.doi.org/10.1016/j.socscimed.2014.10.005</v>
      </c>
      <c r="BE669" s="3"/>
      <c r="BF669" s="3"/>
      <c r="BG669" s="3"/>
      <c r="BH669" s="3"/>
      <c r="BI669" s="3">
        <v>25441313</v>
      </c>
      <c r="BJ669" s="3" t="s">
        <v>1646</v>
      </c>
      <c r="BK669" s="3"/>
      <c r="BL669" s="3"/>
      <c r="BM669" s="3"/>
      <c r="BN669" s="3"/>
      <c r="BO669" s="3"/>
      <c r="BP669" s="3"/>
      <c r="BQ669" s="3"/>
      <c r="BR669" s="3"/>
      <c r="BS669" s="3"/>
      <c r="BT669" s="3"/>
      <c r="BU669" s="1" t="s">
        <v>7347</v>
      </c>
      <c r="BV669" s="2" t="s">
        <v>7188</v>
      </c>
      <c r="BW669" s="2" t="s">
        <v>7189</v>
      </c>
    </row>
    <row r="670" spans="1:75" ht="12.75" customHeight="1">
      <c r="A670" s="3" t="s">
        <v>63</v>
      </c>
      <c r="B670" s="3" t="s">
        <v>5850</v>
      </c>
      <c r="C670" s="3"/>
      <c r="D670" s="3"/>
      <c r="E670" s="3"/>
      <c r="F670" s="3" t="s">
        <v>5851</v>
      </c>
      <c r="G670" s="3"/>
      <c r="H670" s="3"/>
      <c r="I670" s="3" t="s">
        <v>5852</v>
      </c>
      <c r="J670" s="3" t="s">
        <v>1142</v>
      </c>
      <c r="K670" s="3"/>
      <c r="L670" s="3"/>
      <c r="M670" s="3"/>
      <c r="N670" s="3"/>
      <c r="O670" s="3"/>
      <c r="P670" s="3"/>
      <c r="Q670" s="3"/>
      <c r="R670" s="3"/>
      <c r="S670" s="3"/>
      <c r="T670" s="3" t="s">
        <v>5853</v>
      </c>
      <c r="U670" s="3"/>
      <c r="V670" s="3"/>
      <c r="W670" s="3"/>
      <c r="X670" s="3"/>
      <c r="Y670" s="3"/>
      <c r="Z670" s="3" t="s">
        <v>5854</v>
      </c>
      <c r="AA670" s="3"/>
      <c r="AB670" s="3"/>
      <c r="AC670" s="3"/>
      <c r="AD670" s="3"/>
      <c r="AE670" s="3"/>
      <c r="AF670" s="3"/>
      <c r="AG670" s="3"/>
      <c r="AH670" s="3"/>
      <c r="AI670" s="3"/>
      <c r="AJ670" s="3"/>
      <c r="AK670" s="3"/>
      <c r="AL670" s="3"/>
      <c r="AM670" s="3"/>
      <c r="AN670" s="3" t="s">
        <v>1144</v>
      </c>
      <c r="AO670" s="3"/>
      <c r="AP670" s="3"/>
      <c r="AQ670" s="3"/>
      <c r="AR670" s="3" t="s">
        <v>133</v>
      </c>
      <c r="AS670" s="3">
        <v>2022</v>
      </c>
      <c r="AT670" s="3">
        <v>19</v>
      </c>
      <c r="AU670" s="3">
        <v>2</v>
      </c>
      <c r="AV670" s="3"/>
      <c r="AW670" s="3"/>
      <c r="AX670" s="3"/>
      <c r="AY670" s="3"/>
      <c r="AZ670" s="3"/>
      <c r="BA670" s="3"/>
      <c r="BB670" s="3">
        <v>871</v>
      </c>
      <c r="BC670" s="3" t="s">
        <v>5855</v>
      </c>
      <c r="BD670" s="15" t="str">
        <f>HYPERLINK("http://dx.doi.org/10.3390/ijerph19020871","http://dx.doi.org/10.3390/ijerph19020871")</f>
        <v>http://dx.doi.org/10.3390/ijerph19020871</v>
      </c>
      <c r="BE670" s="3"/>
      <c r="BF670" s="3"/>
      <c r="BG670" s="3"/>
      <c r="BH670" s="3"/>
      <c r="BI670" s="3">
        <v>35055688</v>
      </c>
      <c r="BJ670" s="3" t="s">
        <v>5856</v>
      </c>
      <c r="BK670" s="3"/>
      <c r="BL670" s="3"/>
      <c r="BM670" s="3"/>
      <c r="BN670" s="3"/>
      <c r="BO670" s="3"/>
      <c r="BP670" s="3"/>
      <c r="BQ670" s="3"/>
      <c r="BR670" s="3"/>
      <c r="BS670" s="3"/>
      <c r="BT670" s="3"/>
      <c r="BU670" s="1" t="s">
        <v>7464</v>
      </c>
      <c r="BV670" s="2" t="s">
        <v>7188</v>
      </c>
      <c r="BW670" s="2" t="s">
        <v>7189</v>
      </c>
    </row>
    <row r="671" spans="1:75" ht="12.75" customHeight="1">
      <c r="A671" s="3" t="s">
        <v>63</v>
      </c>
      <c r="B671" s="3" t="s">
        <v>2053</v>
      </c>
      <c r="C671" s="3"/>
      <c r="D671" s="3"/>
      <c r="E671" s="3"/>
      <c r="F671" s="3" t="s">
        <v>2054</v>
      </c>
      <c r="G671" s="3"/>
      <c r="H671" s="3"/>
      <c r="I671" s="3" t="s">
        <v>2055</v>
      </c>
      <c r="J671" s="3" t="s">
        <v>712</v>
      </c>
      <c r="K671" s="3"/>
      <c r="L671" s="3"/>
      <c r="M671" s="3"/>
      <c r="N671" s="3"/>
      <c r="O671" s="3"/>
      <c r="P671" s="3"/>
      <c r="Q671" s="3"/>
      <c r="R671" s="3"/>
      <c r="S671" s="3"/>
      <c r="T671" s="3" t="s">
        <v>2056</v>
      </c>
      <c r="U671" s="3"/>
      <c r="V671" s="3"/>
      <c r="W671" s="3"/>
      <c r="X671" s="3"/>
      <c r="Y671" s="3" t="s">
        <v>2057</v>
      </c>
      <c r="Z671" s="3" t="s">
        <v>2058</v>
      </c>
      <c r="AA671" s="3"/>
      <c r="AB671" s="3"/>
      <c r="AC671" s="3"/>
      <c r="AD671" s="3"/>
      <c r="AE671" s="3"/>
      <c r="AF671" s="3"/>
      <c r="AG671" s="3"/>
      <c r="AH671" s="3"/>
      <c r="AI671" s="3"/>
      <c r="AJ671" s="3"/>
      <c r="AK671" s="3"/>
      <c r="AL671" s="3"/>
      <c r="AM671" s="3" t="s">
        <v>714</v>
      </c>
      <c r="AN671" s="3" t="s">
        <v>715</v>
      </c>
      <c r="AO671" s="3"/>
      <c r="AP671" s="3"/>
      <c r="AQ671" s="3"/>
      <c r="AR671" s="3" t="s">
        <v>68</v>
      </c>
      <c r="AS671" s="3">
        <v>2015</v>
      </c>
      <c r="AT671" s="3">
        <v>40</v>
      </c>
      <c r="AU671" s="3">
        <v>2</v>
      </c>
      <c r="AV671" s="3"/>
      <c r="AW671" s="3"/>
      <c r="AX671" s="3"/>
      <c r="AY671" s="3"/>
      <c r="AZ671" s="3">
        <v>347</v>
      </c>
      <c r="BA671" s="3">
        <v>356</v>
      </c>
      <c r="BB671" s="3"/>
      <c r="BC671" s="3" t="s">
        <v>2059</v>
      </c>
      <c r="BD671" s="15" t="str">
        <f>HYPERLINK("http://dx.doi.org/10.1007/s10900-014-9941-8","http://dx.doi.org/10.1007/s10900-014-9941-8")</f>
        <v>http://dx.doi.org/10.1007/s10900-014-9941-8</v>
      </c>
      <c r="BE671" s="3"/>
      <c r="BF671" s="3"/>
      <c r="BG671" s="3"/>
      <c r="BH671" s="3"/>
      <c r="BI671" s="3">
        <v>25209600</v>
      </c>
      <c r="BJ671" s="3" t="s">
        <v>2060</v>
      </c>
      <c r="BK671" s="3"/>
      <c r="BL671" s="3"/>
      <c r="BM671" s="3"/>
      <c r="BN671" s="3"/>
      <c r="BO671" s="3"/>
      <c r="BP671" s="3"/>
      <c r="BQ671" s="3"/>
      <c r="BR671" s="3"/>
      <c r="BS671" s="3"/>
      <c r="BT671" s="3"/>
      <c r="BU671" s="13" t="s">
        <v>7187</v>
      </c>
      <c r="BV671" s="2" t="s">
        <v>7188</v>
      </c>
      <c r="BW671" s="2" t="s">
        <v>7189</v>
      </c>
    </row>
    <row r="672" spans="1:75" ht="12.75" customHeight="1">
      <c r="A672" s="6" t="s">
        <v>63</v>
      </c>
      <c r="B672" s="6" t="s">
        <v>6431</v>
      </c>
      <c r="C672" s="6"/>
      <c r="D672" s="6"/>
      <c r="E672" s="6"/>
      <c r="F672" s="6" t="s">
        <v>6432</v>
      </c>
      <c r="G672" s="6"/>
      <c r="H672" s="6"/>
      <c r="I672" s="6" t="s">
        <v>6433</v>
      </c>
      <c r="J672" s="6" t="s">
        <v>3528</v>
      </c>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t="s">
        <v>3530</v>
      </c>
      <c r="AN672" s="6" t="s">
        <v>3531</v>
      </c>
      <c r="AO672" s="6"/>
      <c r="AP672" s="6"/>
      <c r="AQ672" s="6"/>
      <c r="AR672" s="6" t="s">
        <v>445</v>
      </c>
      <c r="AS672" s="6">
        <v>2023</v>
      </c>
      <c r="AT672" s="6">
        <v>176</v>
      </c>
      <c r="AU672" s="6"/>
      <c r="AV672" s="6"/>
      <c r="AW672" s="6">
        <v>1</v>
      </c>
      <c r="AX672" s="6"/>
      <c r="AY672" s="6">
        <v>2127</v>
      </c>
      <c r="AZ672" s="6" t="s">
        <v>6434</v>
      </c>
      <c r="BA672" s="6" t="s">
        <v>6435</v>
      </c>
      <c r="BB672" s="6"/>
      <c r="BC672" s="6"/>
      <c r="BD672" s="6"/>
      <c r="BE672" s="6"/>
      <c r="BF672" s="6"/>
      <c r="BG672" s="6"/>
      <c r="BH672" s="6"/>
      <c r="BI672" s="6"/>
      <c r="BJ672" s="6" t="s">
        <v>6436</v>
      </c>
      <c r="BK672" s="6"/>
      <c r="BL672" s="6"/>
      <c r="BM672" s="6"/>
      <c r="BN672" s="6"/>
      <c r="BO672" s="6"/>
      <c r="BP672" s="6"/>
      <c r="BQ672" s="6"/>
      <c r="BR672" s="6"/>
      <c r="BS672" s="6"/>
      <c r="BT672" s="6"/>
      <c r="BU672" s="8" t="s">
        <v>7193</v>
      </c>
      <c r="BV672" s="8" t="s">
        <v>7188</v>
      </c>
      <c r="BW672" s="8" t="s">
        <v>7189</v>
      </c>
    </row>
    <row r="673" spans="1:75" ht="12.75" customHeight="1">
      <c r="A673" s="4" t="s">
        <v>63</v>
      </c>
      <c r="B673" s="4" t="s">
        <v>3534</v>
      </c>
      <c r="C673" s="4"/>
      <c r="D673" s="4"/>
      <c r="E673" s="4"/>
      <c r="F673" s="4" t="s">
        <v>3535</v>
      </c>
      <c r="G673" s="4"/>
      <c r="H673" s="4"/>
      <c r="I673" s="4" t="s">
        <v>3536</v>
      </c>
      <c r="J673" s="4" t="s">
        <v>3537</v>
      </c>
      <c r="K673" s="4"/>
      <c r="L673" s="4"/>
      <c r="M673" s="4"/>
      <c r="N673" s="4"/>
      <c r="O673" s="4"/>
      <c r="P673" s="4"/>
      <c r="Q673" s="4"/>
      <c r="R673" s="4"/>
      <c r="S673" s="4"/>
      <c r="T673" s="4" t="s">
        <v>3538</v>
      </c>
      <c r="U673" s="4"/>
      <c r="V673" s="4"/>
      <c r="W673" s="4"/>
      <c r="X673" s="4"/>
      <c r="Y673" s="4" t="s">
        <v>3539</v>
      </c>
      <c r="Z673" s="4" t="s">
        <v>3540</v>
      </c>
      <c r="AA673" s="4"/>
      <c r="AB673" s="4"/>
      <c r="AC673" s="4"/>
      <c r="AD673" s="4"/>
      <c r="AE673" s="4"/>
      <c r="AF673" s="4"/>
      <c r="AG673" s="4"/>
      <c r="AH673" s="4"/>
      <c r="AI673" s="4"/>
      <c r="AJ673" s="4"/>
      <c r="AK673" s="4"/>
      <c r="AL673" s="4"/>
      <c r="AM673" s="4" t="s">
        <v>3541</v>
      </c>
      <c r="AN673" s="4" t="s">
        <v>3542</v>
      </c>
      <c r="AO673" s="4"/>
      <c r="AP673" s="4"/>
      <c r="AQ673" s="4"/>
      <c r="AR673" s="4" t="s">
        <v>65</v>
      </c>
      <c r="AS673" s="4">
        <v>2018</v>
      </c>
      <c r="AT673" s="4">
        <v>33</v>
      </c>
      <c r="AU673" s="4">
        <v>6</v>
      </c>
      <c r="AV673" s="4"/>
      <c r="AW673" s="4"/>
      <c r="AX673" s="4" t="s">
        <v>569</v>
      </c>
      <c r="AY673" s="4"/>
      <c r="AZ673" s="4">
        <v>548</v>
      </c>
      <c r="BA673" s="4">
        <v>557</v>
      </c>
      <c r="BB673" s="4"/>
      <c r="BC673" s="4" t="s">
        <v>3543</v>
      </c>
      <c r="BD673" s="5" t="str">
        <f>HYPERLINK("http://dx.doi.org/10.1017/S1742170517000291","http://dx.doi.org/10.1017/S1742170517000291")</f>
        <v>http://dx.doi.org/10.1017/S1742170517000291</v>
      </c>
      <c r="BE673" s="4"/>
      <c r="BF673" s="4"/>
      <c r="BG673" s="4"/>
      <c r="BH673" s="4"/>
      <c r="BI673" s="4"/>
      <c r="BJ673" s="4" t="s">
        <v>3544</v>
      </c>
      <c r="BK673" s="4"/>
      <c r="BL673" s="4"/>
      <c r="BM673" s="4"/>
      <c r="BN673" s="4"/>
      <c r="BO673" s="4"/>
      <c r="BP673" s="4"/>
      <c r="BQ673" s="4"/>
      <c r="BR673" s="4"/>
      <c r="BS673" s="4"/>
      <c r="BT673" s="4"/>
      <c r="BU673" s="12" t="s">
        <v>7465</v>
      </c>
      <c r="BV673" s="12" t="s">
        <v>7214</v>
      </c>
      <c r="BW673" s="12" t="s">
        <v>7205</v>
      </c>
    </row>
    <row r="674" spans="1:75" ht="12.75" customHeight="1">
      <c r="A674" s="3" t="s">
        <v>63</v>
      </c>
      <c r="B674" s="3" t="s">
        <v>6437</v>
      </c>
      <c r="C674" s="3"/>
      <c r="D674" s="3"/>
      <c r="E674" s="3"/>
      <c r="F674" s="3" t="s">
        <v>6438</v>
      </c>
      <c r="G674" s="3"/>
      <c r="H674" s="3"/>
      <c r="I674" s="3" t="s">
        <v>6439</v>
      </c>
      <c r="J674" s="3" t="s">
        <v>650</v>
      </c>
      <c r="K674" s="3"/>
      <c r="L674" s="3"/>
      <c r="M674" s="3"/>
      <c r="N674" s="3"/>
      <c r="O674" s="3"/>
      <c r="P674" s="3"/>
      <c r="Q674" s="3"/>
      <c r="R674" s="3"/>
      <c r="S674" s="3"/>
      <c r="T674" s="3" t="s">
        <v>6440</v>
      </c>
      <c r="U674" s="3"/>
      <c r="V674" s="3"/>
      <c r="W674" s="3"/>
      <c r="X674" s="3"/>
      <c r="Y674" s="3" t="s">
        <v>6441</v>
      </c>
      <c r="Z674" s="3" t="s">
        <v>6442</v>
      </c>
      <c r="AA674" s="3"/>
      <c r="AB674" s="3"/>
      <c r="AC674" s="3"/>
      <c r="AD674" s="3"/>
      <c r="AE674" s="3"/>
      <c r="AF674" s="3"/>
      <c r="AG674" s="3"/>
      <c r="AH674" s="3"/>
      <c r="AI674" s="3"/>
      <c r="AJ674" s="3"/>
      <c r="AK674" s="3"/>
      <c r="AL674" s="3"/>
      <c r="AM674" s="3" t="s">
        <v>654</v>
      </c>
      <c r="AN674" s="3" t="s">
        <v>655</v>
      </c>
      <c r="AO674" s="3"/>
      <c r="AP674" s="3"/>
      <c r="AQ674" s="3"/>
      <c r="AR674" s="3" t="s">
        <v>67</v>
      </c>
      <c r="AS674" s="3">
        <v>2023</v>
      </c>
      <c r="AT674" s="3">
        <v>64</v>
      </c>
      <c r="AU674" s="3">
        <v>2</v>
      </c>
      <c r="AV674" s="3"/>
      <c r="AW674" s="3"/>
      <c r="AX674" s="3"/>
      <c r="AY674" s="3"/>
      <c r="AZ674" s="3">
        <v>285</v>
      </c>
      <c r="BA674" s="3">
        <v>292</v>
      </c>
      <c r="BB674" s="3"/>
      <c r="BC674" s="3" t="s">
        <v>6443</v>
      </c>
      <c r="BD674" s="15" t="str">
        <f>HYPERLINK("http://dx.doi.org/10.1016/j.amepre.2022.09.018","http://dx.doi.org/10.1016/j.amepre.2022.09.018")</f>
        <v>http://dx.doi.org/10.1016/j.amepre.2022.09.018</v>
      </c>
      <c r="BE674" s="3"/>
      <c r="BF674" s="3" t="s">
        <v>6444</v>
      </c>
      <c r="BG674" s="3"/>
      <c r="BH674" s="3"/>
      <c r="BI674" s="3">
        <v>36437143</v>
      </c>
      <c r="BJ674" s="3" t="s">
        <v>6445</v>
      </c>
      <c r="BK674" s="3"/>
      <c r="BL674" s="3"/>
      <c r="BM674" s="3"/>
      <c r="BN674" s="3"/>
      <c r="BO674" s="3"/>
      <c r="BP674" s="3"/>
      <c r="BQ674" s="3"/>
      <c r="BR674" s="3"/>
      <c r="BS674" s="3"/>
      <c r="BT674" s="3"/>
      <c r="BU674" s="2" t="s">
        <v>7201</v>
      </c>
      <c r="BV674" s="2" t="s">
        <v>3516</v>
      </c>
      <c r="BW674" s="2" t="s">
        <v>7196</v>
      </c>
    </row>
    <row r="675" spans="1:75" ht="12.75" customHeight="1">
      <c r="A675" s="4" t="s">
        <v>63</v>
      </c>
      <c r="B675" s="4" t="s">
        <v>1263</v>
      </c>
      <c r="C675" s="4"/>
      <c r="D675" s="4"/>
      <c r="E675" s="4"/>
      <c r="F675" s="4" t="s">
        <v>1264</v>
      </c>
      <c r="G675" s="4"/>
      <c r="H675" s="4"/>
      <c r="I675" s="4" t="s">
        <v>1265</v>
      </c>
      <c r="J675" s="4" t="s">
        <v>532</v>
      </c>
      <c r="K675" s="4"/>
      <c r="L675" s="4"/>
      <c r="M675" s="4"/>
      <c r="N675" s="4"/>
      <c r="O675" s="4"/>
      <c r="P675" s="4"/>
      <c r="Q675" s="4"/>
      <c r="R675" s="4"/>
      <c r="S675" s="4"/>
      <c r="T675" s="4" t="s">
        <v>1266</v>
      </c>
      <c r="U675" s="4"/>
      <c r="V675" s="4"/>
      <c r="W675" s="4"/>
      <c r="X675" s="4"/>
      <c r="Y675" s="4"/>
      <c r="Z675" s="4"/>
      <c r="AA675" s="4"/>
      <c r="AB675" s="4"/>
      <c r="AC675" s="4"/>
      <c r="AD675" s="4"/>
      <c r="AE675" s="4"/>
      <c r="AF675" s="4"/>
      <c r="AG675" s="4"/>
      <c r="AH675" s="4"/>
      <c r="AI675" s="4"/>
      <c r="AJ675" s="4"/>
      <c r="AK675" s="4"/>
      <c r="AL675" s="4"/>
      <c r="AM675" s="4" t="s">
        <v>534</v>
      </c>
      <c r="AN675" s="4" t="s">
        <v>535</v>
      </c>
      <c r="AO675" s="4"/>
      <c r="AP675" s="4"/>
      <c r="AQ675" s="4"/>
      <c r="AR675" s="4" t="s">
        <v>279</v>
      </c>
      <c r="AS675" s="4">
        <v>2013</v>
      </c>
      <c r="AT675" s="4">
        <v>3</v>
      </c>
      <c r="AU675" s="4">
        <v>4</v>
      </c>
      <c r="AV675" s="4"/>
      <c r="AW675" s="4"/>
      <c r="AX675" s="4"/>
      <c r="AY675" s="4"/>
      <c r="AZ675" s="4">
        <v>43</v>
      </c>
      <c r="BA675" s="4">
        <v>47</v>
      </c>
      <c r="BB675" s="4"/>
      <c r="BC675" s="4" t="s">
        <v>1267</v>
      </c>
      <c r="BD675" s="5" t="str">
        <f>HYPERLINK("http://dx.doi.org/10.5304/jafscd.2013.034.004","http://dx.doi.org/10.5304/jafscd.2013.034.004")</f>
        <v>http://dx.doi.org/10.5304/jafscd.2013.034.004</v>
      </c>
      <c r="BE675" s="4"/>
      <c r="BF675" s="4"/>
      <c r="BG675" s="4"/>
      <c r="BH675" s="4"/>
      <c r="BI675" s="4"/>
      <c r="BJ675" s="4" t="s">
        <v>1268</v>
      </c>
      <c r="BK675" s="4"/>
      <c r="BL675" s="4"/>
      <c r="BM675" s="4"/>
      <c r="BN675" s="4"/>
      <c r="BO675" s="4"/>
      <c r="BP675" s="4"/>
      <c r="BQ675" s="4"/>
      <c r="BR675" s="4"/>
      <c r="BS675" s="4"/>
      <c r="BT675" s="4"/>
      <c r="BU675" s="12" t="s">
        <v>7331</v>
      </c>
      <c r="BV675" s="12" t="s">
        <v>7188</v>
      </c>
      <c r="BW675" s="12" t="s">
        <v>7189</v>
      </c>
    </row>
    <row r="676" spans="1:75" ht="12.75" customHeight="1">
      <c r="A676" s="4" t="s">
        <v>63</v>
      </c>
      <c r="B676" s="4" t="s">
        <v>1269</v>
      </c>
      <c r="C676" s="4"/>
      <c r="D676" s="4"/>
      <c r="E676" s="4"/>
      <c r="F676" s="4" t="s">
        <v>1270</v>
      </c>
      <c r="G676" s="4"/>
      <c r="H676" s="4"/>
      <c r="I676" s="4" t="s">
        <v>1271</v>
      </c>
      <c r="J676" s="4" t="s">
        <v>1272</v>
      </c>
      <c r="K676" s="4"/>
      <c r="L676" s="4"/>
      <c r="M676" s="4"/>
      <c r="N676" s="4"/>
      <c r="O676" s="4"/>
      <c r="P676" s="4"/>
      <c r="Q676" s="4"/>
      <c r="R676" s="4"/>
      <c r="S676" s="4"/>
      <c r="T676" s="4" t="s">
        <v>1273</v>
      </c>
      <c r="U676" s="4"/>
      <c r="V676" s="4"/>
      <c r="W676" s="4"/>
      <c r="X676" s="4"/>
      <c r="Y676" s="4"/>
      <c r="Z676" s="4"/>
      <c r="AA676" s="4"/>
      <c r="AB676" s="4"/>
      <c r="AC676" s="4"/>
      <c r="AD676" s="4"/>
      <c r="AE676" s="4"/>
      <c r="AF676" s="4"/>
      <c r="AG676" s="4"/>
      <c r="AH676" s="4"/>
      <c r="AI676" s="4"/>
      <c r="AJ676" s="4"/>
      <c r="AK676" s="4"/>
      <c r="AL676" s="4"/>
      <c r="AM676" s="4" t="s">
        <v>1274</v>
      </c>
      <c r="AN676" s="4" t="s">
        <v>1275</v>
      </c>
      <c r="AO676" s="4"/>
      <c r="AP676" s="4"/>
      <c r="AQ676" s="4"/>
      <c r="AR676" s="4" t="s">
        <v>65</v>
      </c>
      <c r="AS676" s="4">
        <v>2013</v>
      </c>
      <c r="AT676" s="4">
        <v>11</v>
      </c>
      <c r="AU676" s="4">
        <v>3</v>
      </c>
      <c r="AV676" s="4"/>
      <c r="AW676" s="4"/>
      <c r="AX676" s="4"/>
      <c r="AY676" s="4"/>
      <c r="AZ676" s="4">
        <v>253</v>
      </c>
      <c r="BA676" s="4">
        <v>261</v>
      </c>
      <c r="BB676" s="4"/>
      <c r="BC676" s="4" t="s">
        <v>1276</v>
      </c>
      <c r="BD676" s="5" t="str">
        <f>HYPERLINK("http://dx.doi.org/10.1386/tear.11.3.253_1","http://dx.doi.org/10.1386/tear.11.3.253_1")</f>
        <v>http://dx.doi.org/10.1386/tear.11.3.253_1</v>
      </c>
      <c r="BE676" s="4"/>
      <c r="BF676" s="4"/>
      <c r="BG676" s="4"/>
      <c r="BH676" s="4"/>
      <c r="BI676" s="4"/>
      <c r="BJ676" s="4" t="s">
        <v>1277</v>
      </c>
      <c r="BK676" s="4"/>
      <c r="BL676" s="4"/>
      <c r="BM676" s="4"/>
      <c r="BN676" s="4"/>
      <c r="BO676" s="4"/>
      <c r="BP676" s="4"/>
      <c r="BQ676" s="4"/>
      <c r="BR676" s="4"/>
      <c r="BS676" s="4"/>
      <c r="BT676" s="4"/>
      <c r="BU676" s="12" t="s">
        <v>7331</v>
      </c>
      <c r="BV676" s="12" t="s">
        <v>7188</v>
      </c>
      <c r="BW676" s="12" t="s">
        <v>7189</v>
      </c>
    </row>
    <row r="677" spans="1:75" ht="12.75" customHeight="1">
      <c r="A677" s="3" t="s">
        <v>63</v>
      </c>
      <c r="B677" s="3" t="s">
        <v>482</v>
      </c>
      <c r="C677" s="3"/>
      <c r="D677" s="3"/>
      <c r="E677" s="3"/>
      <c r="F677" s="3" t="s">
        <v>710</v>
      </c>
      <c r="G677" s="3"/>
      <c r="H677" s="3"/>
      <c r="I677" s="3" t="s">
        <v>711</v>
      </c>
      <c r="J677" s="3" t="s">
        <v>712</v>
      </c>
      <c r="K677" s="3"/>
      <c r="L677" s="3"/>
      <c r="M677" s="3"/>
      <c r="N677" s="3"/>
      <c r="O677" s="3"/>
      <c r="P677" s="3"/>
      <c r="Q677" s="3"/>
      <c r="R677" s="3"/>
      <c r="S677" s="3"/>
      <c r="T677" s="3" t="s">
        <v>713</v>
      </c>
      <c r="U677" s="3"/>
      <c r="V677" s="3"/>
      <c r="W677" s="3"/>
      <c r="X677" s="3"/>
      <c r="Y677" s="3" t="s">
        <v>486</v>
      </c>
      <c r="Z677" s="3" t="s">
        <v>487</v>
      </c>
      <c r="AA677" s="3"/>
      <c r="AB677" s="3"/>
      <c r="AC677" s="3"/>
      <c r="AD677" s="3"/>
      <c r="AE677" s="3"/>
      <c r="AF677" s="3"/>
      <c r="AG677" s="3"/>
      <c r="AH677" s="3"/>
      <c r="AI677" s="3"/>
      <c r="AJ677" s="3"/>
      <c r="AK677" s="3"/>
      <c r="AL677" s="3"/>
      <c r="AM677" s="3" t="s">
        <v>714</v>
      </c>
      <c r="AN677" s="3" t="s">
        <v>715</v>
      </c>
      <c r="AO677" s="3"/>
      <c r="AP677" s="3"/>
      <c r="AQ677" s="3"/>
      <c r="AR677" s="3" t="s">
        <v>92</v>
      </c>
      <c r="AS677" s="3">
        <v>2011</v>
      </c>
      <c r="AT677" s="3">
        <v>36</v>
      </c>
      <c r="AU677" s="3">
        <v>5</v>
      </c>
      <c r="AV677" s="3"/>
      <c r="AW677" s="3"/>
      <c r="AX677" s="3"/>
      <c r="AY677" s="3"/>
      <c r="AZ677" s="3">
        <v>785</v>
      </c>
      <c r="BA677" s="3">
        <v>796</v>
      </c>
      <c r="BB677" s="3"/>
      <c r="BC677" s="3" t="s">
        <v>716</v>
      </c>
      <c r="BD677" s="15" t="str">
        <f>HYPERLINK("http://dx.doi.org/10.1007/s10900-011-9377-3","http://dx.doi.org/10.1007/s10900-011-9377-3")</f>
        <v>http://dx.doi.org/10.1007/s10900-011-9377-3</v>
      </c>
      <c r="BE677" s="3"/>
      <c r="BF677" s="3"/>
      <c r="BG677" s="3"/>
      <c r="BH677" s="3"/>
      <c r="BI677" s="3">
        <v>21547411</v>
      </c>
      <c r="BJ677" s="3" t="s">
        <v>717</v>
      </c>
      <c r="BK677" s="3"/>
      <c r="BL677" s="3"/>
      <c r="BM677" s="3"/>
      <c r="BN677" s="3"/>
      <c r="BO677" s="3"/>
      <c r="BP677" s="3"/>
      <c r="BQ677" s="3"/>
      <c r="BR677" s="3"/>
      <c r="BS677" s="3"/>
      <c r="BT677" s="3"/>
      <c r="BU677" s="1" t="s">
        <v>7466</v>
      </c>
      <c r="BV677" s="2" t="s">
        <v>7188</v>
      </c>
      <c r="BW677" s="2" t="s">
        <v>7189</v>
      </c>
    </row>
    <row r="678" spans="1:75" ht="12.75" customHeight="1">
      <c r="A678" s="3" t="s">
        <v>63</v>
      </c>
      <c r="B678" s="3" t="s">
        <v>4531</v>
      </c>
      <c r="C678" s="3"/>
      <c r="D678" s="3"/>
      <c r="E678" s="3"/>
      <c r="F678" s="3" t="s">
        <v>4532</v>
      </c>
      <c r="G678" s="3"/>
      <c r="H678" s="3"/>
      <c r="I678" s="3" t="s">
        <v>4533</v>
      </c>
      <c r="J678" s="3" t="s">
        <v>4534</v>
      </c>
      <c r="K678" s="3"/>
      <c r="L678" s="3"/>
      <c r="M678" s="3"/>
      <c r="N678" s="3"/>
      <c r="O678" s="3"/>
      <c r="P678" s="3"/>
      <c r="Q678" s="3"/>
      <c r="R678" s="3"/>
      <c r="S678" s="3"/>
      <c r="T678" s="3" t="s">
        <v>4535</v>
      </c>
      <c r="U678" s="3"/>
      <c r="V678" s="3"/>
      <c r="W678" s="3"/>
      <c r="X678" s="3"/>
      <c r="Y678" s="3" t="s">
        <v>4536</v>
      </c>
      <c r="Z678" s="3" t="s">
        <v>4537</v>
      </c>
      <c r="AA678" s="3"/>
      <c r="AB678" s="3"/>
      <c r="AC678" s="3"/>
      <c r="AD678" s="3"/>
      <c r="AE678" s="3"/>
      <c r="AF678" s="3"/>
      <c r="AG678" s="3"/>
      <c r="AH678" s="3"/>
      <c r="AI678" s="3"/>
      <c r="AJ678" s="3"/>
      <c r="AK678" s="3"/>
      <c r="AL678" s="3"/>
      <c r="AM678" s="3" t="s">
        <v>4538</v>
      </c>
      <c r="AN678" s="3" t="s">
        <v>4539</v>
      </c>
      <c r="AO678" s="3"/>
      <c r="AP678" s="3"/>
      <c r="AQ678" s="3"/>
      <c r="AR678" s="3" t="s">
        <v>4540</v>
      </c>
      <c r="AS678" s="3">
        <v>2020</v>
      </c>
      <c r="AT678" s="3">
        <v>27</v>
      </c>
      <c r="AU678" s="3">
        <v>5</v>
      </c>
      <c r="AV678" s="3"/>
      <c r="AW678" s="3"/>
      <c r="AX678" s="3"/>
      <c r="AY678" s="3"/>
      <c r="AZ678" s="3">
        <v>419</v>
      </c>
      <c r="BA678" s="3">
        <v>423</v>
      </c>
      <c r="BB678" s="3"/>
      <c r="BC678" s="3" t="s">
        <v>4541</v>
      </c>
      <c r="BD678" s="15" t="str">
        <f>HYPERLINK("http://dx.doi.org/10.1080/13504509.2020.1712558","http://dx.doi.org/10.1080/13504509.2020.1712558")</f>
        <v>http://dx.doi.org/10.1080/13504509.2020.1712558</v>
      </c>
      <c r="BE678" s="3"/>
      <c r="BF678" s="3" t="s">
        <v>4403</v>
      </c>
      <c r="BG678" s="3"/>
      <c r="BH678" s="3"/>
      <c r="BI678" s="3"/>
      <c r="BJ678" s="3" t="s">
        <v>4542</v>
      </c>
      <c r="BK678" s="3"/>
      <c r="BL678" s="3"/>
      <c r="BM678" s="3"/>
      <c r="BN678" s="3"/>
      <c r="BO678" s="3"/>
      <c r="BP678" s="3"/>
      <c r="BQ678" s="3"/>
      <c r="BR678" s="3"/>
      <c r="BS678" s="3"/>
      <c r="BT678" s="3"/>
      <c r="BU678" s="2" t="s">
        <v>7209</v>
      </c>
      <c r="BV678" s="2" t="s">
        <v>7209</v>
      </c>
      <c r="BW678" s="2" t="s">
        <v>7209</v>
      </c>
    </row>
    <row r="679" spans="1:75" ht="12.75" customHeight="1">
      <c r="A679" s="4" t="s">
        <v>63</v>
      </c>
      <c r="B679" s="4" t="s">
        <v>7024</v>
      </c>
      <c r="C679" s="4"/>
      <c r="D679" s="4"/>
      <c r="E679" s="4"/>
      <c r="F679" s="4" t="s">
        <v>7025</v>
      </c>
      <c r="G679" s="4"/>
      <c r="H679" s="4"/>
      <c r="I679" s="4" t="s">
        <v>7026</v>
      </c>
      <c r="J679" s="4" t="s">
        <v>3721</v>
      </c>
      <c r="K679" s="4"/>
      <c r="L679" s="4"/>
      <c r="M679" s="4"/>
      <c r="N679" s="4"/>
      <c r="O679" s="4"/>
      <c r="P679" s="4"/>
      <c r="Q679" s="4"/>
      <c r="R679" s="4"/>
      <c r="S679" s="4"/>
      <c r="T679" s="4" t="s">
        <v>7027</v>
      </c>
      <c r="U679" s="4"/>
      <c r="V679" s="4"/>
      <c r="W679" s="4"/>
      <c r="X679" s="4"/>
      <c r="Y679" s="4" t="s">
        <v>7028</v>
      </c>
      <c r="Z679" s="4" t="s">
        <v>7029</v>
      </c>
      <c r="AA679" s="4"/>
      <c r="AB679" s="4"/>
      <c r="AC679" s="4"/>
      <c r="AD679" s="4"/>
      <c r="AE679" s="4"/>
      <c r="AF679" s="4"/>
      <c r="AG679" s="4"/>
      <c r="AH679" s="4"/>
      <c r="AI679" s="4"/>
      <c r="AJ679" s="4"/>
      <c r="AK679" s="4"/>
      <c r="AL679" s="4"/>
      <c r="AM679" s="4"/>
      <c r="AN679" s="4" t="s">
        <v>3723</v>
      </c>
      <c r="AO679" s="4"/>
      <c r="AP679" s="4"/>
      <c r="AQ679" s="4"/>
      <c r="AR679" s="4" t="s">
        <v>82</v>
      </c>
      <c r="AS679" s="4">
        <v>2024</v>
      </c>
      <c r="AT679" s="4">
        <v>16</v>
      </c>
      <c r="AU679" s="4">
        <v>6</v>
      </c>
      <c r="AV679" s="4"/>
      <c r="AW679" s="4"/>
      <c r="AX679" s="4"/>
      <c r="AY679" s="4"/>
      <c r="AZ679" s="4"/>
      <c r="BA679" s="4"/>
      <c r="BB679" s="4">
        <v>781</v>
      </c>
      <c r="BC679" s="4" t="s">
        <v>7030</v>
      </c>
      <c r="BD679" s="5" t="str">
        <f>HYPERLINK("http://dx.doi.org/10.3390/nu16060781","http://dx.doi.org/10.3390/nu16060781")</f>
        <v>http://dx.doi.org/10.3390/nu16060781</v>
      </c>
      <c r="BE679" s="4"/>
      <c r="BF679" s="4"/>
      <c r="BG679" s="4"/>
      <c r="BH679" s="4"/>
      <c r="BI679" s="4">
        <v>38542692</v>
      </c>
      <c r="BJ679" s="4" t="s">
        <v>7031</v>
      </c>
      <c r="BK679" s="4"/>
      <c r="BL679" s="4"/>
      <c r="BM679" s="4"/>
      <c r="BN679" s="4"/>
      <c r="BO679" s="4"/>
      <c r="BP679" s="4"/>
      <c r="BQ679" s="4"/>
      <c r="BR679" s="4"/>
      <c r="BS679" s="4"/>
      <c r="BT679" s="4"/>
      <c r="BU679" s="12" t="s">
        <v>7271</v>
      </c>
      <c r="BV679" s="12" t="s">
        <v>7188</v>
      </c>
      <c r="BW679" s="12" t="s">
        <v>7189</v>
      </c>
    </row>
    <row r="680" spans="1:75" ht="12.75" customHeight="1">
      <c r="A680" s="3" t="s">
        <v>63</v>
      </c>
      <c r="B680" s="3" t="s">
        <v>4543</v>
      </c>
      <c r="C680" s="3"/>
      <c r="D680" s="3"/>
      <c r="E680" s="3"/>
      <c r="F680" s="3" t="s">
        <v>4544</v>
      </c>
      <c r="G680" s="3"/>
      <c r="H680" s="3"/>
      <c r="I680" s="3" t="s">
        <v>4545</v>
      </c>
      <c r="J680" s="3" t="s">
        <v>1142</v>
      </c>
      <c r="K680" s="3"/>
      <c r="L680" s="3"/>
      <c r="M680" s="3"/>
      <c r="N680" s="3"/>
      <c r="O680" s="3"/>
      <c r="P680" s="3"/>
      <c r="Q680" s="3"/>
      <c r="R680" s="3"/>
      <c r="S680" s="3"/>
      <c r="T680" s="3" t="s">
        <v>4546</v>
      </c>
      <c r="U680" s="3"/>
      <c r="V680" s="3"/>
      <c r="W680" s="3"/>
      <c r="X680" s="3"/>
      <c r="Y680" s="3" t="s">
        <v>4547</v>
      </c>
      <c r="Z680" s="3" t="s">
        <v>4548</v>
      </c>
      <c r="AA680" s="3"/>
      <c r="AB680" s="3"/>
      <c r="AC680" s="3"/>
      <c r="AD680" s="3"/>
      <c r="AE680" s="3"/>
      <c r="AF680" s="3"/>
      <c r="AG680" s="3"/>
      <c r="AH680" s="3"/>
      <c r="AI680" s="3"/>
      <c r="AJ680" s="3"/>
      <c r="AK680" s="3"/>
      <c r="AL680" s="3"/>
      <c r="AM680" s="3"/>
      <c r="AN680" s="3" t="s">
        <v>1144</v>
      </c>
      <c r="AO680" s="3"/>
      <c r="AP680" s="3"/>
      <c r="AQ680" s="3"/>
      <c r="AR680" s="3" t="s">
        <v>67</v>
      </c>
      <c r="AS680" s="3">
        <v>2020</v>
      </c>
      <c r="AT680" s="3">
        <v>17</v>
      </c>
      <c r="AU680" s="3">
        <v>4</v>
      </c>
      <c r="AV680" s="3"/>
      <c r="AW680" s="3"/>
      <c r="AX680" s="3"/>
      <c r="AY680" s="3"/>
      <c r="AZ680" s="3"/>
      <c r="BA680" s="3"/>
      <c r="BB680" s="3">
        <v>1263</v>
      </c>
      <c r="BC680" s="3" t="s">
        <v>4549</v>
      </c>
      <c r="BD680" s="15" t="str">
        <f>HYPERLINK("http://dx.doi.org/10.3390/ijerph17041263","http://dx.doi.org/10.3390/ijerph17041263")</f>
        <v>http://dx.doi.org/10.3390/ijerph17041263</v>
      </c>
      <c r="BE680" s="3"/>
      <c r="BF680" s="3"/>
      <c r="BG680" s="3"/>
      <c r="BH680" s="3"/>
      <c r="BI680" s="3">
        <v>32079089</v>
      </c>
      <c r="BJ680" s="3" t="s">
        <v>4550</v>
      </c>
      <c r="BK680" s="3"/>
      <c r="BL680" s="3"/>
      <c r="BM680" s="3"/>
      <c r="BN680" s="3"/>
      <c r="BO680" s="3"/>
      <c r="BP680" s="3"/>
      <c r="BQ680" s="3"/>
      <c r="BR680" s="3"/>
      <c r="BS680" s="3"/>
      <c r="BT680" s="3"/>
      <c r="BU680" s="2" t="s">
        <v>7193</v>
      </c>
      <c r="BV680" s="2" t="s">
        <v>7188</v>
      </c>
      <c r="BW680" s="2" t="s">
        <v>7189</v>
      </c>
    </row>
    <row r="681" spans="1:75" ht="12.75" customHeight="1">
      <c r="A681" s="3" t="s">
        <v>63</v>
      </c>
      <c r="B681" s="3" t="s">
        <v>2570</v>
      </c>
      <c r="C681" s="3"/>
      <c r="D681" s="3"/>
      <c r="E681" s="3"/>
      <c r="F681" s="3" t="s">
        <v>2571</v>
      </c>
      <c r="G681" s="3"/>
      <c r="H681" s="3"/>
      <c r="I681" s="3" t="s">
        <v>2572</v>
      </c>
      <c r="J681" s="3" t="s">
        <v>2573</v>
      </c>
      <c r="K681" s="3"/>
      <c r="L681" s="3"/>
      <c r="M681" s="3"/>
      <c r="N681" s="3"/>
      <c r="O681" s="3"/>
      <c r="P681" s="3"/>
      <c r="Q681" s="3"/>
      <c r="R681" s="3"/>
      <c r="S681" s="3"/>
      <c r="T681" s="3" t="s">
        <v>2574</v>
      </c>
      <c r="U681" s="3"/>
      <c r="V681" s="3"/>
      <c r="W681" s="3"/>
      <c r="X681" s="3"/>
      <c r="Y681" s="3"/>
      <c r="Z681" s="3"/>
      <c r="AA681" s="3"/>
      <c r="AB681" s="3"/>
      <c r="AC681" s="3"/>
      <c r="AD681" s="3"/>
      <c r="AE681" s="3"/>
      <c r="AF681" s="3"/>
      <c r="AG681" s="3"/>
      <c r="AH681" s="3"/>
      <c r="AI681" s="3"/>
      <c r="AJ681" s="3"/>
      <c r="AK681" s="3"/>
      <c r="AL681" s="3"/>
      <c r="AM681" s="3" t="s">
        <v>2575</v>
      </c>
      <c r="AN681" s="3" t="s">
        <v>2576</v>
      </c>
      <c r="AO681" s="3"/>
      <c r="AP681" s="3"/>
      <c r="AQ681" s="3"/>
      <c r="AR681" s="3" t="s">
        <v>254</v>
      </c>
      <c r="AS681" s="3">
        <v>2016</v>
      </c>
      <c r="AT681" s="3">
        <v>26</v>
      </c>
      <c r="AU681" s="3">
        <v>2</v>
      </c>
      <c r="AV681" s="3"/>
      <c r="AW681" s="3"/>
      <c r="AX681" s="3"/>
      <c r="AY681" s="3"/>
      <c r="AZ681" s="3">
        <v>181</v>
      </c>
      <c r="BA681" s="3">
        <v>190</v>
      </c>
      <c r="BB681" s="3"/>
      <c r="BC681" s="3" t="s">
        <v>2577</v>
      </c>
      <c r="BD681" s="15" t="str">
        <f>HYPERLINK("http://dx.doi.org/10.18865/ed.26.2.181","http://dx.doi.org/10.18865/ed.26.2.181")</f>
        <v>http://dx.doi.org/10.18865/ed.26.2.181</v>
      </c>
      <c r="BE681" s="3"/>
      <c r="BF681" s="3"/>
      <c r="BG681" s="3"/>
      <c r="BH681" s="3"/>
      <c r="BI681" s="3">
        <v>27103768</v>
      </c>
      <c r="BJ681" s="3" t="s">
        <v>2578</v>
      </c>
      <c r="BK681" s="3"/>
      <c r="BL681" s="3"/>
      <c r="BM681" s="3"/>
      <c r="BN681" s="3"/>
      <c r="BO681" s="3"/>
      <c r="BP681" s="3"/>
      <c r="BQ681" s="3"/>
      <c r="BR681" s="3"/>
      <c r="BS681" s="3"/>
      <c r="BT681" s="3"/>
      <c r="BU681" s="2" t="s">
        <v>7193</v>
      </c>
      <c r="BV681" s="2" t="s">
        <v>7188</v>
      </c>
      <c r="BW681" s="2" t="s">
        <v>7189</v>
      </c>
    </row>
    <row r="682" spans="1:75" ht="12.75" customHeight="1">
      <c r="A682" s="6" t="s">
        <v>63</v>
      </c>
      <c r="B682" s="6" t="s">
        <v>3156</v>
      </c>
      <c r="C682" s="6"/>
      <c r="D682" s="6"/>
      <c r="E682" s="6"/>
      <c r="F682" s="6" t="s">
        <v>3157</v>
      </c>
      <c r="G682" s="6"/>
      <c r="H682" s="6"/>
      <c r="I682" s="6" t="s">
        <v>3158</v>
      </c>
      <c r="J682" s="6" t="s">
        <v>3159</v>
      </c>
      <c r="K682" s="6"/>
      <c r="L682" s="6"/>
      <c r="M682" s="6"/>
      <c r="N682" s="6"/>
      <c r="O682" s="6"/>
      <c r="P682" s="6"/>
      <c r="Q682" s="6"/>
      <c r="R682" s="6"/>
      <c r="S682" s="6"/>
      <c r="T682" s="6" t="s">
        <v>3160</v>
      </c>
      <c r="U682" s="6"/>
      <c r="V682" s="6"/>
      <c r="W682" s="6"/>
      <c r="X682" s="6"/>
      <c r="Y682" s="6" t="s">
        <v>1651</v>
      </c>
      <c r="Z682" s="6" t="s">
        <v>3161</v>
      </c>
      <c r="AA682" s="6"/>
      <c r="AB682" s="6"/>
      <c r="AC682" s="6"/>
      <c r="AD682" s="6"/>
      <c r="AE682" s="6"/>
      <c r="AF682" s="6"/>
      <c r="AG682" s="6"/>
      <c r="AH682" s="6"/>
      <c r="AI682" s="6"/>
      <c r="AJ682" s="6"/>
      <c r="AK682" s="6"/>
      <c r="AL682" s="6"/>
      <c r="AM682" s="6" t="s">
        <v>3162</v>
      </c>
      <c r="AN682" s="6"/>
      <c r="AO682" s="6"/>
      <c r="AP682" s="6"/>
      <c r="AQ682" s="6"/>
      <c r="AR682" s="6" t="s">
        <v>64</v>
      </c>
      <c r="AS682" s="6">
        <v>2017</v>
      </c>
      <c r="AT682" s="6">
        <v>1</v>
      </c>
      <c r="AU682" s="6">
        <v>11</v>
      </c>
      <c r="AV682" s="6"/>
      <c r="AW682" s="6"/>
      <c r="AX682" s="6"/>
      <c r="AY682" s="6"/>
      <c r="AZ682" s="6"/>
      <c r="BA682" s="6"/>
      <c r="BB682" s="6" t="s">
        <v>3163</v>
      </c>
      <c r="BC682" s="6" t="s">
        <v>3164</v>
      </c>
      <c r="BD682" s="9" t="str">
        <f>HYPERLINK("http://dx.doi.org/10.3945/cdn.117.001446","http://dx.doi.org/10.3945/cdn.117.001446")</f>
        <v>http://dx.doi.org/10.3945/cdn.117.001446</v>
      </c>
      <c r="BE682" s="6"/>
      <c r="BF682" s="6"/>
      <c r="BG682" s="6"/>
      <c r="BH682" s="6"/>
      <c r="BI682" s="6">
        <v>29955686</v>
      </c>
      <c r="BJ682" s="6" t="s">
        <v>3165</v>
      </c>
      <c r="BK682" s="6"/>
      <c r="BL682" s="6"/>
      <c r="BM682" s="6"/>
      <c r="BN682" s="6"/>
      <c r="BO682" s="6"/>
      <c r="BP682" s="6"/>
      <c r="BQ682" s="6"/>
      <c r="BR682" s="6"/>
      <c r="BS682" s="6"/>
      <c r="BT682" s="6"/>
      <c r="BU682" s="8" t="s">
        <v>7201</v>
      </c>
      <c r="BV682" s="8" t="s">
        <v>7188</v>
      </c>
      <c r="BW682" s="8" t="s">
        <v>7189</v>
      </c>
    </row>
    <row r="683" spans="1:75" ht="12.75" customHeight="1">
      <c r="A683" s="3" t="s">
        <v>63</v>
      </c>
      <c r="B683" s="3" t="s">
        <v>1654</v>
      </c>
      <c r="C683" s="3"/>
      <c r="D683" s="3"/>
      <c r="E683" s="3"/>
      <c r="F683" s="3" t="s">
        <v>1655</v>
      </c>
      <c r="G683" s="3"/>
      <c r="H683" s="3"/>
      <c r="I683" s="3" t="s">
        <v>2061</v>
      </c>
      <c r="J683" s="3" t="s">
        <v>373</v>
      </c>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t="s">
        <v>376</v>
      </c>
      <c r="AN683" s="3"/>
      <c r="AO683" s="3"/>
      <c r="AP683" s="3"/>
      <c r="AQ683" s="3"/>
      <c r="AR683" s="3" t="s">
        <v>445</v>
      </c>
      <c r="AS683" s="3">
        <v>2015</v>
      </c>
      <c r="AT683" s="3">
        <v>12</v>
      </c>
      <c r="AU683" s="3"/>
      <c r="AV683" s="3"/>
      <c r="AW683" s="3"/>
      <c r="AX683" s="3"/>
      <c r="AY683" s="3"/>
      <c r="AZ683" s="3"/>
      <c r="BA683" s="3"/>
      <c r="BB683" s="3" t="s">
        <v>2062</v>
      </c>
      <c r="BC683" s="3" t="s">
        <v>2063</v>
      </c>
      <c r="BD683" s="15" t="str">
        <f>HYPERLINK("http://dx.doi.org/10.5888/pcd12.150352e","http://dx.doi.org/10.5888/pcd12.150352e")</f>
        <v>http://dx.doi.org/10.5888/pcd12.150352e</v>
      </c>
      <c r="BE683" s="3"/>
      <c r="BF683" s="3"/>
      <c r="BG683" s="3"/>
      <c r="BH683" s="3"/>
      <c r="BI683" s="3"/>
      <c r="BJ683" s="3" t="s">
        <v>2064</v>
      </c>
      <c r="BK683" s="3"/>
      <c r="BL683" s="3"/>
      <c r="BM683" s="3"/>
      <c r="BN683" s="3"/>
      <c r="BO683" s="3"/>
      <c r="BP683" s="3"/>
      <c r="BQ683" s="3"/>
      <c r="BR683" s="3"/>
      <c r="BS683" s="3"/>
      <c r="BT683" s="3"/>
      <c r="BU683" s="2" t="s">
        <v>7193</v>
      </c>
      <c r="BV683" s="2" t="s">
        <v>7193</v>
      </c>
      <c r="BW683" s="2" t="s">
        <v>7193</v>
      </c>
    </row>
    <row r="684" spans="1:75" ht="12.75" customHeight="1">
      <c r="A684" s="3" t="s">
        <v>63</v>
      </c>
      <c r="B684" s="3" t="s">
        <v>5857</v>
      </c>
      <c r="C684" s="3"/>
      <c r="D684" s="3"/>
      <c r="E684" s="3"/>
      <c r="F684" s="3" t="s">
        <v>5858</v>
      </c>
      <c r="G684" s="3"/>
      <c r="H684" s="3"/>
      <c r="I684" s="3" t="s">
        <v>5859</v>
      </c>
      <c r="J684" s="3" t="s">
        <v>1004</v>
      </c>
      <c r="K684" s="3"/>
      <c r="L684" s="3"/>
      <c r="M684" s="3"/>
      <c r="N684" s="3"/>
      <c r="O684" s="3"/>
      <c r="P684" s="3"/>
      <c r="Q684" s="3"/>
      <c r="R684" s="3"/>
      <c r="S684" s="3"/>
      <c r="T684" s="3" t="s">
        <v>5860</v>
      </c>
      <c r="U684" s="3"/>
      <c r="V684" s="3"/>
      <c r="W684" s="3"/>
      <c r="X684" s="3"/>
      <c r="Y684" s="3" t="s">
        <v>5861</v>
      </c>
      <c r="Z684" s="3" t="s">
        <v>5862</v>
      </c>
      <c r="AA684" s="3"/>
      <c r="AB684" s="3"/>
      <c r="AC684" s="3"/>
      <c r="AD684" s="3"/>
      <c r="AE684" s="3"/>
      <c r="AF684" s="3"/>
      <c r="AG684" s="3"/>
      <c r="AH684" s="3"/>
      <c r="AI684" s="3"/>
      <c r="AJ684" s="3"/>
      <c r="AK684" s="3"/>
      <c r="AL684" s="3"/>
      <c r="AM684" s="3" t="s">
        <v>1006</v>
      </c>
      <c r="AN684" s="3" t="s">
        <v>1007</v>
      </c>
      <c r="AO684" s="3"/>
      <c r="AP684" s="3"/>
      <c r="AQ684" s="3"/>
      <c r="AR684" s="3" t="s">
        <v>65</v>
      </c>
      <c r="AS684" s="3">
        <v>2022</v>
      </c>
      <c r="AT684" s="3">
        <v>25</v>
      </c>
      <c r="AU684" s="3">
        <v>12</v>
      </c>
      <c r="AV684" s="3"/>
      <c r="AW684" s="3"/>
      <c r="AX684" s="3"/>
      <c r="AY684" s="3"/>
      <c r="AZ684" s="3">
        <v>3538</v>
      </c>
      <c r="BA684" s="3">
        <v>3547</v>
      </c>
      <c r="BB684" s="3" t="s">
        <v>5863</v>
      </c>
      <c r="BC684" s="3" t="s">
        <v>5864</v>
      </c>
      <c r="BD684" s="15" t="str">
        <f>HYPERLINK("http://dx.doi.org/10.1017/S1368980022002130","http://dx.doi.org/10.1017/S1368980022002130")</f>
        <v>http://dx.doi.org/10.1017/S1368980022002130</v>
      </c>
      <c r="BE684" s="3"/>
      <c r="BF684" s="3" t="s">
        <v>5683</v>
      </c>
      <c r="BG684" s="3"/>
      <c r="BH684" s="3"/>
      <c r="BI684" s="3">
        <v>36210770</v>
      </c>
      <c r="BJ684" s="3" t="s">
        <v>5865</v>
      </c>
      <c r="BK684" s="3"/>
      <c r="BL684" s="3"/>
      <c r="BM684" s="3"/>
      <c r="BN684" s="3"/>
      <c r="BO684" s="3"/>
      <c r="BP684" s="3"/>
      <c r="BQ684" s="3"/>
      <c r="BR684" s="3"/>
      <c r="BS684" s="3"/>
      <c r="BT684" s="3"/>
      <c r="BU684" s="1" t="s">
        <v>7467</v>
      </c>
      <c r="BV684" s="2" t="s">
        <v>7188</v>
      </c>
      <c r="BW684" s="2" t="s">
        <v>7189</v>
      </c>
    </row>
    <row r="685" spans="1:75" ht="12.75" customHeight="1">
      <c r="A685" s="4" t="s">
        <v>63</v>
      </c>
      <c r="B685" s="4" t="s">
        <v>5201</v>
      </c>
      <c r="C685" s="4"/>
      <c r="D685" s="4"/>
      <c r="E685" s="4"/>
      <c r="F685" s="4" t="s">
        <v>5202</v>
      </c>
      <c r="G685" s="4"/>
      <c r="H685" s="4"/>
      <c r="I685" s="4" t="s">
        <v>5203</v>
      </c>
      <c r="J685" s="4" t="s">
        <v>779</v>
      </c>
      <c r="K685" s="4"/>
      <c r="L685" s="4"/>
      <c r="M685" s="4"/>
      <c r="N685" s="4"/>
      <c r="O685" s="4"/>
      <c r="P685" s="4"/>
      <c r="Q685" s="4"/>
      <c r="R685" s="4"/>
      <c r="S685" s="4"/>
      <c r="T685" s="4" t="s">
        <v>5204</v>
      </c>
      <c r="U685" s="4"/>
      <c r="V685" s="4"/>
      <c r="W685" s="4"/>
      <c r="X685" s="4"/>
      <c r="Y685" s="4" t="s">
        <v>5205</v>
      </c>
      <c r="Z685" s="4" t="s">
        <v>5206</v>
      </c>
      <c r="AA685" s="4"/>
      <c r="AB685" s="4"/>
      <c r="AC685" s="4"/>
      <c r="AD685" s="4"/>
      <c r="AE685" s="4"/>
      <c r="AF685" s="4"/>
      <c r="AG685" s="4"/>
      <c r="AH685" s="4"/>
      <c r="AI685" s="4"/>
      <c r="AJ685" s="4"/>
      <c r="AK685" s="4"/>
      <c r="AL685" s="4"/>
      <c r="AM685" s="4"/>
      <c r="AN685" s="4" t="s">
        <v>782</v>
      </c>
      <c r="AO685" s="4"/>
      <c r="AP685" s="4"/>
      <c r="AQ685" s="4"/>
      <c r="AR685" s="4" t="s">
        <v>5207</v>
      </c>
      <c r="AS685" s="4">
        <v>2021</v>
      </c>
      <c r="AT685" s="4">
        <v>18</v>
      </c>
      <c r="AU685" s="4">
        <v>1</v>
      </c>
      <c r="AV685" s="4"/>
      <c r="AW685" s="4"/>
      <c r="AX685" s="4"/>
      <c r="AY685" s="4"/>
      <c r="AZ685" s="4"/>
      <c r="BA685" s="4"/>
      <c r="BB685" s="4">
        <v>44</v>
      </c>
      <c r="BC685" s="4" t="s">
        <v>5208</v>
      </c>
      <c r="BD685" s="5" t="str">
        <f>HYPERLINK("http://dx.doi.org/10.1186/s12966-021-01109-8","http://dx.doi.org/10.1186/s12966-021-01109-8")</f>
        <v>http://dx.doi.org/10.1186/s12966-021-01109-8</v>
      </c>
      <c r="BE685" s="4"/>
      <c r="BF685" s="4"/>
      <c r="BG685" s="4"/>
      <c r="BH685" s="4"/>
      <c r="BI685" s="4">
        <v>33761952</v>
      </c>
      <c r="BJ685" s="4" t="s">
        <v>5209</v>
      </c>
      <c r="BK685" s="4"/>
      <c r="BL685" s="4"/>
      <c r="BM685" s="4"/>
      <c r="BN685" s="4"/>
      <c r="BO685" s="4"/>
      <c r="BP685" s="4"/>
      <c r="BQ685" s="4"/>
      <c r="BR685" s="4"/>
      <c r="BS685" s="4"/>
      <c r="BT685" s="4"/>
      <c r="BU685" s="12" t="s">
        <v>7225</v>
      </c>
      <c r="BV685" s="12" t="s">
        <v>7188</v>
      </c>
      <c r="BW685" s="12" t="s">
        <v>7189</v>
      </c>
    </row>
    <row r="686" spans="1:75" ht="12.75" customHeight="1">
      <c r="A686" s="3" t="s">
        <v>63</v>
      </c>
      <c r="B686" s="3" t="s">
        <v>1278</v>
      </c>
      <c r="C686" s="3"/>
      <c r="D686" s="3"/>
      <c r="E686" s="3"/>
      <c r="F686" s="3" t="s">
        <v>1279</v>
      </c>
      <c r="G686" s="3"/>
      <c r="H686" s="3"/>
      <c r="I686" s="3" t="s">
        <v>1280</v>
      </c>
      <c r="J686" s="3" t="s">
        <v>1281</v>
      </c>
      <c r="K686" s="3"/>
      <c r="L686" s="3"/>
      <c r="M686" s="3"/>
      <c r="N686" s="3"/>
      <c r="O686" s="3"/>
      <c r="P686" s="3"/>
      <c r="Q686" s="3"/>
      <c r="R686" s="3"/>
      <c r="S686" s="3"/>
      <c r="T686" s="3" t="s">
        <v>1282</v>
      </c>
      <c r="U686" s="3"/>
      <c r="V686" s="3"/>
      <c r="W686" s="3"/>
      <c r="X686" s="3"/>
      <c r="Y686" s="3" t="s">
        <v>1283</v>
      </c>
      <c r="Z686" s="3"/>
      <c r="AA686" s="3"/>
      <c r="AB686" s="3"/>
      <c r="AC686" s="3"/>
      <c r="AD686" s="3"/>
      <c r="AE686" s="3"/>
      <c r="AF686" s="3"/>
      <c r="AG686" s="3"/>
      <c r="AH686" s="3"/>
      <c r="AI686" s="3"/>
      <c r="AJ686" s="3"/>
      <c r="AK686" s="3"/>
      <c r="AL686" s="3"/>
      <c r="AM686" s="3" t="s">
        <v>1284</v>
      </c>
      <c r="AN686" s="3"/>
      <c r="AO686" s="3"/>
      <c r="AP686" s="3"/>
      <c r="AQ686" s="3"/>
      <c r="AR686" s="3"/>
      <c r="AS686" s="3">
        <v>2013</v>
      </c>
      <c r="AT686" s="3">
        <v>115</v>
      </c>
      <c r="AU686" s="3">
        <v>2</v>
      </c>
      <c r="AV686" s="3"/>
      <c r="AW686" s="3"/>
      <c r="AX686" s="3"/>
      <c r="AY686" s="3"/>
      <c r="AZ686" s="3">
        <v>92</v>
      </c>
      <c r="BA686" s="3">
        <v>97</v>
      </c>
      <c r="BB686" s="3"/>
      <c r="BC686" s="3" t="s">
        <v>1285</v>
      </c>
      <c r="BD686" s="15" t="str">
        <f>HYPERLINK("http://dx.doi.org/10.7896/j.1229","http://dx.doi.org/10.7896/j.1229")</f>
        <v>http://dx.doi.org/10.7896/j.1229</v>
      </c>
      <c r="BE686" s="3"/>
      <c r="BF686" s="3"/>
      <c r="BG686" s="3"/>
      <c r="BH686" s="3"/>
      <c r="BI686" s="3"/>
      <c r="BJ686" s="3" t="s">
        <v>1286</v>
      </c>
      <c r="BK686" s="3"/>
      <c r="BL686" s="3"/>
      <c r="BM686" s="3"/>
      <c r="BN686" s="3"/>
      <c r="BO686" s="3"/>
      <c r="BP686" s="3"/>
      <c r="BQ686" s="3"/>
      <c r="BR686" s="3"/>
      <c r="BS686" s="3"/>
      <c r="BT686" s="3"/>
      <c r="BU686" s="1" t="s">
        <v>7468</v>
      </c>
      <c r="BV686" s="2" t="s">
        <v>7234</v>
      </c>
      <c r="BW686" s="2" t="s">
        <v>7205</v>
      </c>
    </row>
    <row r="687" spans="1:75" ht="12.75" customHeight="1">
      <c r="A687" s="4" t="s">
        <v>63</v>
      </c>
      <c r="B687" s="4" t="s">
        <v>4513</v>
      </c>
      <c r="C687" s="4"/>
      <c r="D687" s="4"/>
      <c r="E687" s="4"/>
      <c r="F687" s="4" t="s">
        <v>4514</v>
      </c>
      <c r="G687" s="4"/>
      <c r="H687" s="4"/>
      <c r="I687" s="4" t="s">
        <v>4551</v>
      </c>
      <c r="J687" s="4" t="s">
        <v>4552</v>
      </c>
      <c r="K687" s="4"/>
      <c r="L687" s="4"/>
      <c r="M687" s="4"/>
      <c r="N687" s="4"/>
      <c r="O687" s="4"/>
      <c r="P687" s="4"/>
      <c r="Q687" s="4"/>
      <c r="R687" s="4"/>
      <c r="S687" s="4"/>
      <c r="T687" s="4" t="s">
        <v>4553</v>
      </c>
      <c r="U687" s="4"/>
      <c r="V687" s="4"/>
      <c r="W687" s="4"/>
      <c r="X687" s="4"/>
      <c r="Y687" s="4"/>
      <c r="Z687" s="4" t="s">
        <v>4518</v>
      </c>
      <c r="AA687" s="4"/>
      <c r="AB687" s="4"/>
      <c r="AC687" s="4"/>
      <c r="AD687" s="4"/>
      <c r="AE687" s="4"/>
      <c r="AF687" s="4"/>
      <c r="AG687" s="4"/>
      <c r="AH687" s="4"/>
      <c r="AI687" s="4"/>
      <c r="AJ687" s="4"/>
      <c r="AK687" s="4"/>
      <c r="AL687" s="4"/>
      <c r="AM687" s="4" t="s">
        <v>4554</v>
      </c>
      <c r="AN687" s="4" t="s">
        <v>4555</v>
      </c>
      <c r="AO687" s="4"/>
      <c r="AP687" s="4"/>
      <c r="AQ687" s="4"/>
      <c r="AR687" s="4" t="s">
        <v>66</v>
      </c>
      <c r="AS687" s="4">
        <v>2020</v>
      </c>
      <c r="AT687" s="4">
        <v>104</v>
      </c>
      <c r="AU687" s="4"/>
      <c r="AV687" s="4"/>
      <c r="AW687" s="4"/>
      <c r="AX687" s="4"/>
      <c r="AY687" s="4"/>
      <c r="AZ687" s="4"/>
      <c r="BA687" s="4"/>
      <c r="BB687" s="4">
        <v>104472</v>
      </c>
      <c r="BC687" s="4" t="s">
        <v>4556</v>
      </c>
      <c r="BD687" s="5" t="str">
        <f>HYPERLINK("http://dx.doi.org/10.1016/j.chiabu.2020.104472","http://dx.doi.org/10.1016/j.chiabu.2020.104472")</f>
        <v>http://dx.doi.org/10.1016/j.chiabu.2020.104472</v>
      </c>
      <c r="BE687" s="4"/>
      <c r="BF687" s="4"/>
      <c r="BG687" s="4"/>
      <c r="BH687" s="4"/>
      <c r="BI687" s="4">
        <v>32276150</v>
      </c>
      <c r="BJ687" s="4" t="s">
        <v>4557</v>
      </c>
      <c r="BK687" s="4"/>
      <c r="BL687" s="4"/>
      <c r="BM687" s="4"/>
      <c r="BN687" s="4"/>
      <c r="BO687" s="4"/>
      <c r="BP687" s="4"/>
      <c r="BQ687" s="4"/>
      <c r="BR687" s="4"/>
      <c r="BS687" s="4"/>
      <c r="BT687" s="4"/>
      <c r="BU687" s="12" t="s">
        <v>7469</v>
      </c>
      <c r="BV687" s="12" t="s">
        <v>7188</v>
      </c>
      <c r="BW687" s="12" t="s">
        <v>7189</v>
      </c>
    </row>
    <row r="688" spans="1:75" ht="12.75" customHeight="1">
      <c r="A688" s="7" t="s">
        <v>63</v>
      </c>
      <c r="B688" s="7" t="s">
        <v>3166</v>
      </c>
      <c r="C688" s="7"/>
      <c r="D688" s="7"/>
      <c r="E688" s="7"/>
      <c r="F688" s="7" t="s">
        <v>3167</v>
      </c>
      <c r="G688" s="7"/>
      <c r="H688" s="7"/>
      <c r="I688" s="7" t="s">
        <v>3168</v>
      </c>
      <c r="J688" s="7" t="s">
        <v>373</v>
      </c>
      <c r="K688" s="7"/>
      <c r="L688" s="7"/>
      <c r="M688" s="7"/>
      <c r="N688" s="7"/>
      <c r="O688" s="7"/>
      <c r="P688" s="7"/>
      <c r="Q688" s="7"/>
      <c r="R688" s="7"/>
      <c r="S688" s="7"/>
      <c r="T688" s="7"/>
      <c r="U688" s="7"/>
      <c r="V688" s="7"/>
      <c r="W688" s="7"/>
      <c r="X688" s="7"/>
      <c r="Y688" s="7" t="s">
        <v>3169</v>
      </c>
      <c r="Z688" s="7" t="s">
        <v>3170</v>
      </c>
      <c r="AA688" s="7"/>
      <c r="AB688" s="7"/>
      <c r="AC688" s="7"/>
      <c r="AD688" s="7"/>
      <c r="AE688" s="7"/>
      <c r="AF688" s="7"/>
      <c r="AG688" s="7"/>
      <c r="AH688" s="7"/>
      <c r="AI688" s="7"/>
      <c r="AJ688" s="7"/>
      <c r="AK688" s="7"/>
      <c r="AL688" s="7"/>
      <c r="AM688" s="7" t="s">
        <v>376</v>
      </c>
      <c r="AN688" s="7"/>
      <c r="AO688" s="7"/>
      <c r="AP688" s="7"/>
      <c r="AQ688" s="7"/>
      <c r="AR688" s="7" t="s">
        <v>92</v>
      </c>
      <c r="AS688" s="7">
        <v>2017</v>
      </c>
      <c r="AT688" s="7">
        <v>14</v>
      </c>
      <c r="AU688" s="7"/>
      <c r="AV688" s="7"/>
      <c r="AW688" s="7"/>
      <c r="AX688" s="7"/>
      <c r="AY688" s="7"/>
      <c r="AZ688" s="7"/>
      <c r="BA688" s="7"/>
      <c r="BB688" s="7" t="s">
        <v>3171</v>
      </c>
      <c r="BC688" s="7" t="s">
        <v>3172</v>
      </c>
      <c r="BD688" s="11" t="str">
        <f>HYPERLINK("http://dx.doi.org/10.5888/pcd14.160408","http://dx.doi.org/10.5888/pcd14.160408")</f>
        <v>http://dx.doi.org/10.5888/pcd14.160408</v>
      </c>
      <c r="BE688" s="7"/>
      <c r="BF688" s="7"/>
      <c r="BG688" s="7"/>
      <c r="BH688" s="7"/>
      <c r="BI688" s="7">
        <v>28981402</v>
      </c>
      <c r="BJ688" s="7" t="s">
        <v>3173</v>
      </c>
      <c r="BK688" s="7"/>
      <c r="BL688" s="7"/>
      <c r="BM688" s="7"/>
      <c r="BN688" s="7"/>
      <c r="BO688" s="7"/>
      <c r="BP688" s="7"/>
      <c r="BQ688" s="7"/>
      <c r="BR688" s="7"/>
      <c r="BS688" s="7"/>
      <c r="BT688" s="7"/>
      <c r="BU688" s="10" t="s">
        <v>7221</v>
      </c>
      <c r="BV688" s="10" t="s">
        <v>7188</v>
      </c>
      <c r="BW688" s="10" t="s">
        <v>7189</v>
      </c>
    </row>
    <row r="689" spans="1:75" ht="12.75" customHeight="1">
      <c r="A689" s="3" t="s">
        <v>63</v>
      </c>
      <c r="B689" s="3" t="s">
        <v>1287</v>
      </c>
      <c r="C689" s="3"/>
      <c r="D689" s="3"/>
      <c r="E689" s="3"/>
      <c r="F689" s="3" t="s">
        <v>1288</v>
      </c>
      <c r="G689" s="3"/>
      <c r="H689" s="3"/>
      <c r="I689" s="3" t="s">
        <v>1289</v>
      </c>
      <c r="J689" s="3" t="s">
        <v>177</v>
      </c>
      <c r="K689" s="3"/>
      <c r="L689" s="3"/>
      <c r="M689" s="3"/>
      <c r="N689" s="3" t="s">
        <v>1133</v>
      </c>
      <c r="O689" s="3" t="s">
        <v>1134</v>
      </c>
      <c r="P689" s="3" t="s">
        <v>1135</v>
      </c>
      <c r="Q689" s="3"/>
      <c r="R689" s="3"/>
      <c r="S689" s="3"/>
      <c r="T689" s="3"/>
      <c r="U689" s="3"/>
      <c r="V689" s="3"/>
      <c r="W689" s="3"/>
      <c r="X689" s="3"/>
      <c r="Y689" s="3" t="s">
        <v>1290</v>
      </c>
      <c r="Z689" s="3"/>
      <c r="AA689" s="3"/>
      <c r="AB689" s="3"/>
      <c r="AC689" s="3"/>
      <c r="AD689" s="3"/>
      <c r="AE689" s="3"/>
      <c r="AF689" s="3"/>
      <c r="AG689" s="3"/>
      <c r="AH689" s="3"/>
      <c r="AI689" s="3"/>
      <c r="AJ689" s="3"/>
      <c r="AK689" s="3"/>
      <c r="AL689" s="3"/>
      <c r="AM689" s="3" t="s">
        <v>179</v>
      </c>
      <c r="AN689" s="3" t="s">
        <v>1136</v>
      </c>
      <c r="AO689" s="3"/>
      <c r="AP689" s="3"/>
      <c r="AQ689" s="3"/>
      <c r="AR689" s="3" t="s">
        <v>92</v>
      </c>
      <c r="AS689" s="3">
        <v>2013</v>
      </c>
      <c r="AT689" s="3">
        <v>95</v>
      </c>
      <c r="AU689" s="3">
        <v>5</v>
      </c>
      <c r="AV689" s="3"/>
      <c r="AW689" s="3"/>
      <c r="AX689" s="3"/>
      <c r="AY689" s="3"/>
      <c r="AZ689" s="3">
        <v>1273</v>
      </c>
      <c r="BA689" s="3">
        <v>1279</v>
      </c>
      <c r="BB689" s="3"/>
      <c r="BC689" s="3" t="s">
        <v>1291</v>
      </c>
      <c r="BD689" s="15" t="str">
        <f>HYPERLINK("http://dx.doi.org/10.1093/ajae/aat031","http://dx.doi.org/10.1093/ajae/aat031")</f>
        <v>http://dx.doi.org/10.1093/ajae/aat031</v>
      </c>
      <c r="BE689" s="3"/>
      <c r="BF689" s="3"/>
      <c r="BG689" s="3"/>
      <c r="BH689" s="3"/>
      <c r="BI689" s="3"/>
      <c r="BJ689" s="3" t="s">
        <v>1292</v>
      </c>
      <c r="BK689" s="3"/>
      <c r="BL689" s="3"/>
      <c r="BM689" s="3"/>
      <c r="BN689" s="3"/>
      <c r="BO689" s="3"/>
      <c r="BP689" s="3"/>
      <c r="BQ689" s="3"/>
      <c r="BR689" s="3"/>
      <c r="BS689" s="3"/>
      <c r="BT689" s="3"/>
      <c r="BU689" s="1" t="s">
        <v>7470</v>
      </c>
      <c r="BV689" s="10" t="s">
        <v>7188</v>
      </c>
      <c r="BW689" s="10" t="s">
        <v>7189</v>
      </c>
    </row>
    <row r="690" spans="1:75" ht="12.75" customHeight="1">
      <c r="A690" s="7" t="s">
        <v>63</v>
      </c>
      <c r="B690" s="7" t="s">
        <v>896</v>
      </c>
      <c r="C690" s="7"/>
      <c r="D690" s="7"/>
      <c r="E690" s="7"/>
      <c r="F690" s="7" t="s">
        <v>897</v>
      </c>
      <c r="G690" s="7"/>
      <c r="H690" s="7"/>
      <c r="I690" s="7" t="s">
        <v>898</v>
      </c>
      <c r="J690" s="7" t="s">
        <v>789</v>
      </c>
      <c r="K690" s="7"/>
      <c r="L690" s="7"/>
      <c r="M690" s="7"/>
      <c r="N690" s="7"/>
      <c r="O690" s="7"/>
      <c r="P690" s="7"/>
      <c r="Q690" s="7"/>
      <c r="R690" s="7"/>
      <c r="S690" s="7"/>
      <c r="T690" s="7"/>
      <c r="U690" s="7"/>
      <c r="V690" s="7"/>
      <c r="W690" s="7"/>
      <c r="X690" s="7"/>
      <c r="Y690" s="7" t="s">
        <v>899</v>
      </c>
      <c r="Z690" s="7"/>
      <c r="AA690" s="7"/>
      <c r="AB690" s="7"/>
      <c r="AC690" s="7"/>
      <c r="AD690" s="7"/>
      <c r="AE690" s="7"/>
      <c r="AF690" s="7"/>
      <c r="AG690" s="7"/>
      <c r="AH690" s="7"/>
      <c r="AI690" s="7"/>
      <c r="AJ690" s="7"/>
      <c r="AK690" s="7"/>
      <c r="AL690" s="7"/>
      <c r="AM690" s="7" t="s">
        <v>793</v>
      </c>
      <c r="AN690" s="7" t="s">
        <v>794</v>
      </c>
      <c r="AO690" s="7"/>
      <c r="AP690" s="7"/>
      <c r="AQ690" s="7"/>
      <c r="AR690" s="7" t="s">
        <v>92</v>
      </c>
      <c r="AS690" s="7">
        <v>2012</v>
      </c>
      <c r="AT690" s="7">
        <v>8</v>
      </c>
      <c r="AU690" s="7">
        <v>5</v>
      </c>
      <c r="AV690" s="7"/>
      <c r="AW690" s="7"/>
      <c r="AX690" s="7"/>
      <c r="AY690" s="7"/>
      <c r="AZ690" s="7">
        <v>486</v>
      </c>
      <c r="BA690" s="7">
        <v>487</v>
      </c>
      <c r="BB690" s="7"/>
      <c r="BC690" s="7" t="s">
        <v>900</v>
      </c>
      <c r="BD690" s="11" t="str">
        <f>HYPERLINK("http://dx.doi.org/10.1089/chi.2012.0069","http://dx.doi.org/10.1089/chi.2012.0069")</f>
        <v>http://dx.doi.org/10.1089/chi.2012.0069</v>
      </c>
      <c r="BE690" s="7"/>
      <c r="BF690" s="7"/>
      <c r="BG690" s="7"/>
      <c r="BH690" s="7"/>
      <c r="BI690" s="7"/>
      <c r="BJ690" s="7" t="s">
        <v>901</v>
      </c>
      <c r="BK690" s="7"/>
      <c r="BL690" s="7"/>
      <c r="BM690" s="7"/>
      <c r="BN690" s="7"/>
      <c r="BO690" s="7"/>
      <c r="BP690" s="7"/>
      <c r="BQ690" s="7"/>
      <c r="BR690" s="7"/>
      <c r="BS690" s="7"/>
      <c r="BT690" s="7"/>
      <c r="BU690" s="1" t="s">
        <v>7471</v>
      </c>
      <c r="BV690" s="10" t="s">
        <v>7188</v>
      </c>
      <c r="BW690" s="10" t="s">
        <v>7189</v>
      </c>
    </row>
    <row r="691" spans="1:75" ht="12.75" customHeight="1">
      <c r="A691" s="4" t="s">
        <v>63</v>
      </c>
      <c r="B691" s="4" t="s">
        <v>2065</v>
      </c>
      <c r="C691" s="4"/>
      <c r="D691" s="4"/>
      <c r="E691" s="4"/>
      <c r="F691" s="4" t="s">
        <v>2066</v>
      </c>
      <c r="G691" s="4"/>
      <c r="H691" s="4"/>
      <c r="I691" s="4" t="s">
        <v>2067</v>
      </c>
      <c r="J691" s="4" t="s">
        <v>2068</v>
      </c>
      <c r="K691" s="4"/>
      <c r="L691" s="4"/>
      <c r="M691" s="4"/>
      <c r="N691" s="4"/>
      <c r="O691" s="4"/>
      <c r="P691" s="4"/>
      <c r="Q691" s="4"/>
      <c r="R691" s="4"/>
      <c r="S691" s="4"/>
      <c r="T691" s="4" t="s">
        <v>2069</v>
      </c>
      <c r="U691" s="4"/>
      <c r="V691" s="4"/>
      <c r="W691" s="4"/>
      <c r="X691" s="4"/>
      <c r="Y691" s="4" t="s">
        <v>2070</v>
      </c>
      <c r="Z691" s="4" t="s">
        <v>2071</v>
      </c>
      <c r="AA691" s="4"/>
      <c r="AB691" s="4"/>
      <c r="AC691" s="4"/>
      <c r="AD691" s="4"/>
      <c r="AE691" s="4"/>
      <c r="AF691" s="4"/>
      <c r="AG691" s="4"/>
      <c r="AH691" s="4"/>
      <c r="AI691" s="4"/>
      <c r="AJ691" s="4"/>
      <c r="AK691" s="4"/>
      <c r="AL691" s="4"/>
      <c r="AM691" s="4" t="s">
        <v>2072</v>
      </c>
      <c r="AN691" s="4" t="s">
        <v>2073</v>
      </c>
      <c r="AO691" s="4"/>
      <c r="AP691" s="4"/>
      <c r="AQ691" s="4"/>
      <c r="AR691" s="4"/>
      <c r="AS691" s="4">
        <v>2015</v>
      </c>
      <c r="AT691" s="4">
        <v>55</v>
      </c>
      <c r="AU691" s="4">
        <v>14</v>
      </c>
      <c r="AV691" s="4"/>
      <c r="AW691" s="4"/>
      <c r="AX691" s="4"/>
      <c r="AY691" s="4"/>
      <c r="AZ691" s="4">
        <v>2014</v>
      </c>
      <c r="BA691" s="4">
        <v>2053</v>
      </c>
      <c r="BB691" s="4"/>
      <c r="BC691" s="4" t="s">
        <v>2074</v>
      </c>
      <c r="BD691" s="5" t="str">
        <f>HYPERLINK("http://dx.doi.org/10.1080/10408398.2014.922044","http://dx.doi.org/10.1080/10408398.2014.922044")</f>
        <v>http://dx.doi.org/10.1080/10408398.2014.922044</v>
      </c>
      <c r="BE691" s="4"/>
      <c r="BF691" s="4"/>
      <c r="BG691" s="4"/>
      <c r="BH691" s="4"/>
      <c r="BI691" s="4">
        <v>24950157</v>
      </c>
      <c r="BJ691" s="4" t="s">
        <v>2075</v>
      </c>
      <c r="BK691" s="4"/>
      <c r="BL691" s="4"/>
      <c r="BM691" s="4"/>
      <c r="BN691" s="4"/>
      <c r="BO691" s="4"/>
      <c r="BP691" s="4"/>
      <c r="BQ691" s="4"/>
      <c r="BR691" s="4"/>
      <c r="BS691" s="4"/>
      <c r="BT691" s="4"/>
      <c r="BU691" s="12" t="s">
        <v>7209</v>
      </c>
      <c r="BV691" s="12" t="s">
        <v>7209</v>
      </c>
      <c r="BW691" s="12" t="s">
        <v>7209</v>
      </c>
    </row>
    <row r="692" spans="1:75" ht="12.75" customHeight="1">
      <c r="A692" s="4" t="s">
        <v>63</v>
      </c>
      <c r="B692" s="4" t="s">
        <v>2076</v>
      </c>
      <c r="C692" s="4"/>
      <c r="D692" s="4"/>
      <c r="E692" s="4"/>
      <c r="F692" s="4" t="s">
        <v>2077</v>
      </c>
      <c r="G692" s="4"/>
      <c r="H692" s="4"/>
      <c r="I692" s="4" t="s">
        <v>2078</v>
      </c>
      <c r="J692" s="4" t="s">
        <v>2079</v>
      </c>
      <c r="K692" s="4"/>
      <c r="L692" s="4"/>
      <c r="M692" s="4"/>
      <c r="N692" s="4"/>
      <c r="O692" s="4"/>
      <c r="P692" s="4"/>
      <c r="Q692" s="4"/>
      <c r="R692" s="4"/>
      <c r="S692" s="4"/>
      <c r="T692" s="4" t="s">
        <v>2080</v>
      </c>
      <c r="U692" s="4"/>
      <c r="V692" s="4"/>
      <c r="W692" s="4"/>
      <c r="X692" s="4"/>
      <c r="Y692" s="4"/>
      <c r="Z692" s="4"/>
      <c r="AA692" s="4"/>
      <c r="AB692" s="4"/>
      <c r="AC692" s="4"/>
      <c r="AD692" s="4"/>
      <c r="AE692" s="4"/>
      <c r="AF692" s="4"/>
      <c r="AG692" s="4"/>
      <c r="AH692" s="4"/>
      <c r="AI692" s="4"/>
      <c r="AJ692" s="4"/>
      <c r="AK692" s="4"/>
      <c r="AL692" s="4"/>
      <c r="AM692" s="4" t="s">
        <v>2081</v>
      </c>
      <c r="AN692" s="4" t="s">
        <v>2082</v>
      </c>
      <c r="AO692" s="4"/>
      <c r="AP692" s="4"/>
      <c r="AQ692" s="4"/>
      <c r="AR692" s="4" t="s">
        <v>2083</v>
      </c>
      <c r="AS692" s="4">
        <v>2015</v>
      </c>
      <c r="AT692" s="4">
        <v>8</v>
      </c>
      <c r="AU692" s="4">
        <v>3</v>
      </c>
      <c r="AV692" s="4"/>
      <c r="AW692" s="4"/>
      <c r="AX692" s="4"/>
      <c r="AY692" s="4"/>
      <c r="AZ692" s="4">
        <v>65</v>
      </c>
      <c r="BA692" s="4">
        <v>71</v>
      </c>
      <c r="BB692" s="4"/>
      <c r="BC692" s="4" t="s">
        <v>2084</v>
      </c>
      <c r="BD692" s="5" t="str">
        <f>HYPERLINK("http://dx.doi.org/10.1089/env.2015.0003","http://dx.doi.org/10.1089/env.2015.0003")</f>
        <v>http://dx.doi.org/10.1089/env.2015.0003</v>
      </c>
      <c r="BE692" s="4"/>
      <c r="BF692" s="4"/>
      <c r="BG692" s="4"/>
      <c r="BH692" s="4"/>
      <c r="BI692" s="4"/>
      <c r="BJ692" s="4" t="s">
        <v>2085</v>
      </c>
      <c r="BK692" s="4"/>
      <c r="BL692" s="4"/>
      <c r="BM692" s="4"/>
      <c r="BN692" s="4"/>
      <c r="BO692" s="4"/>
      <c r="BP692" s="4"/>
      <c r="BQ692" s="4"/>
      <c r="BR692" s="4"/>
      <c r="BS692" s="4"/>
      <c r="BT692" s="4"/>
      <c r="BU692" s="12" t="s">
        <v>7354</v>
      </c>
      <c r="BV692" s="12" t="s">
        <v>7188</v>
      </c>
      <c r="BW692" s="12" t="s">
        <v>7189</v>
      </c>
    </row>
    <row r="693" spans="1:75" ht="12.75" customHeight="1">
      <c r="A693" s="3" t="s">
        <v>63</v>
      </c>
      <c r="B693" s="3" t="s">
        <v>5210</v>
      </c>
      <c r="C693" s="3"/>
      <c r="D693" s="3"/>
      <c r="E693" s="3"/>
      <c r="F693" s="3" t="s">
        <v>5211</v>
      </c>
      <c r="G693" s="3"/>
      <c r="H693" s="3"/>
      <c r="I693" s="3" t="s">
        <v>5212</v>
      </c>
      <c r="J693" s="3" t="s">
        <v>4766</v>
      </c>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t="s">
        <v>4769</v>
      </c>
      <c r="AN693" s="3" t="s">
        <v>4770</v>
      </c>
      <c r="AO693" s="3"/>
      <c r="AP693" s="3"/>
      <c r="AQ693" s="3"/>
      <c r="AR693" s="3" t="s">
        <v>78</v>
      </c>
      <c r="AS693" s="3">
        <v>2021</v>
      </c>
      <c r="AT693" s="3">
        <v>28</v>
      </c>
      <c r="AU693" s="3">
        <v>5</v>
      </c>
      <c r="AV693" s="3"/>
      <c r="AW693" s="3"/>
      <c r="AX693" s="3"/>
      <c r="AY693" s="3"/>
      <c r="AZ693" s="3">
        <v>2508</v>
      </c>
      <c r="BA693" s="3">
        <v>2509</v>
      </c>
      <c r="BB693" s="3"/>
      <c r="BC693" s="3" t="s">
        <v>5213</v>
      </c>
      <c r="BD693" s="15" t="str">
        <f>HYPERLINK("http://dx.doi.org/10.1245/s10434-020-09059-4","http://dx.doi.org/10.1245/s10434-020-09059-4")</f>
        <v>http://dx.doi.org/10.1245/s10434-020-09059-4</v>
      </c>
      <c r="BE693" s="3"/>
      <c r="BF693" s="3" t="s">
        <v>4372</v>
      </c>
      <c r="BG693" s="3"/>
      <c r="BH693" s="3"/>
      <c r="BI693" s="3">
        <v>32910279</v>
      </c>
      <c r="BJ693" s="3" t="s">
        <v>5214</v>
      </c>
      <c r="BK693" s="3"/>
      <c r="BL693" s="3"/>
      <c r="BM693" s="3"/>
      <c r="BN693" s="3"/>
      <c r="BO693" s="3"/>
      <c r="BP693" s="3"/>
      <c r="BQ693" s="3"/>
      <c r="BR693" s="3"/>
      <c r="BS693" s="3"/>
      <c r="BT693" s="3"/>
      <c r="BU693" s="1" t="s">
        <v>7472</v>
      </c>
      <c r="BV693" s="10" t="s">
        <v>7188</v>
      </c>
      <c r="BW693" s="10" t="s">
        <v>7189</v>
      </c>
    </row>
    <row r="694" spans="1:75" ht="12.75" customHeight="1">
      <c r="A694" s="3" t="s">
        <v>63</v>
      </c>
      <c r="B694" s="3" t="s">
        <v>1647</v>
      </c>
      <c r="C694" s="3"/>
      <c r="D694" s="3"/>
      <c r="E694" s="3"/>
      <c r="F694" s="3" t="s">
        <v>1648</v>
      </c>
      <c r="G694" s="3"/>
      <c r="H694" s="3"/>
      <c r="I694" s="3" t="s">
        <v>1649</v>
      </c>
      <c r="J694" s="3" t="s">
        <v>1326</v>
      </c>
      <c r="K694" s="3"/>
      <c r="L694" s="3"/>
      <c r="M694" s="3"/>
      <c r="N694" s="3"/>
      <c r="O694" s="3"/>
      <c r="P694" s="3"/>
      <c r="Q694" s="3"/>
      <c r="R694" s="3"/>
      <c r="S694" s="3"/>
      <c r="T694" s="3" t="s">
        <v>1650</v>
      </c>
      <c r="U694" s="3"/>
      <c r="V694" s="3"/>
      <c r="W694" s="3"/>
      <c r="X694" s="3"/>
      <c r="Y694" s="3" t="s">
        <v>1651</v>
      </c>
      <c r="Z694" s="3" t="s">
        <v>1652</v>
      </c>
      <c r="AA694" s="3"/>
      <c r="AB694" s="3"/>
      <c r="AC694" s="3"/>
      <c r="AD694" s="3"/>
      <c r="AE694" s="3"/>
      <c r="AF694" s="3"/>
      <c r="AG694" s="3"/>
      <c r="AH694" s="3"/>
      <c r="AI694" s="3"/>
      <c r="AJ694" s="3"/>
      <c r="AK694" s="3"/>
      <c r="AL694" s="3"/>
      <c r="AM694" s="3" t="s">
        <v>1329</v>
      </c>
      <c r="AN694" s="3"/>
      <c r="AO694" s="3"/>
      <c r="AP694" s="3"/>
      <c r="AQ694" s="3"/>
      <c r="AR694" s="3"/>
      <c r="AS694" s="3">
        <v>2014</v>
      </c>
      <c r="AT694" s="3">
        <v>17</v>
      </c>
      <c r="AU694" s="3" t="s">
        <v>1330</v>
      </c>
      <c r="AV694" s="3"/>
      <c r="AW694" s="3"/>
      <c r="AX694" s="3" t="s">
        <v>569</v>
      </c>
      <c r="AY694" s="3"/>
      <c r="AZ694" s="3">
        <v>171</v>
      </c>
      <c r="BA694" s="3">
        <v>186</v>
      </c>
      <c r="BB694" s="3"/>
      <c r="BC694" s="3"/>
      <c r="BD694" s="3"/>
      <c r="BE694" s="3"/>
      <c r="BF694" s="3"/>
      <c r="BG694" s="3"/>
      <c r="BH694" s="3"/>
      <c r="BI694" s="3"/>
      <c r="BJ694" s="3" t="s">
        <v>1653</v>
      </c>
      <c r="BK694" s="3"/>
      <c r="BL694" s="3"/>
      <c r="BM694" s="3"/>
      <c r="BN694" s="3"/>
      <c r="BO694" s="3"/>
      <c r="BP694" s="3"/>
      <c r="BQ694" s="3"/>
      <c r="BR694" s="3"/>
      <c r="BS694" s="3"/>
      <c r="BT694" s="3"/>
      <c r="BU694" s="1" t="s">
        <v>7473</v>
      </c>
      <c r="BV694" s="10" t="s">
        <v>7188</v>
      </c>
      <c r="BW694" s="10" t="s">
        <v>7189</v>
      </c>
    </row>
    <row r="695" spans="1:75" ht="12.75" customHeight="1">
      <c r="A695" s="6" t="s">
        <v>63</v>
      </c>
      <c r="B695" s="6" t="s">
        <v>1293</v>
      </c>
      <c r="C695" s="6"/>
      <c r="D695" s="6"/>
      <c r="E695" s="6"/>
      <c r="F695" s="6" t="s">
        <v>1294</v>
      </c>
      <c r="G695" s="6"/>
      <c r="H695" s="6"/>
      <c r="I695" s="6" t="s">
        <v>1295</v>
      </c>
      <c r="J695" s="6" t="s">
        <v>380</v>
      </c>
      <c r="K695" s="6"/>
      <c r="L695" s="6"/>
      <c r="M695" s="6"/>
      <c r="N695" s="6"/>
      <c r="O695" s="6"/>
      <c r="P695" s="6"/>
      <c r="Q695" s="6"/>
      <c r="R695" s="6"/>
      <c r="S695" s="6"/>
      <c r="T695" s="6" t="s">
        <v>1296</v>
      </c>
      <c r="U695" s="6"/>
      <c r="V695" s="6"/>
      <c r="W695" s="6"/>
      <c r="X695" s="6"/>
      <c r="Y695" s="6" t="s">
        <v>1297</v>
      </c>
      <c r="Z695" s="6" t="s">
        <v>1298</v>
      </c>
      <c r="AA695" s="6"/>
      <c r="AB695" s="6"/>
      <c r="AC695" s="6"/>
      <c r="AD695" s="6"/>
      <c r="AE695" s="6"/>
      <c r="AF695" s="6"/>
      <c r="AG695" s="6"/>
      <c r="AH695" s="6"/>
      <c r="AI695" s="6"/>
      <c r="AJ695" s="6"/>
      <c r="AK695" s="6"/>
      <c r="AL695" s="6"/>
      <c r="AM695" s="6" t="s">
        <v>382</v>
      </c>
      <c r="AN695" s="6" t="s">
        <v>383</v>
      </c>
      <c r="AO695" s="6"/>
      <c r="AP695" s="6"/>
      <c r="AQ695" s="6"/>
      <c r="AR695" s="6" t="s">
        <v>78</v>
      </c>
      <c r="AS695" s="6">
        <v>2013</v>
      </c>
      <c r="AT695" s="6">
        <v>21</v>
      </c>
      <c r="AU695" s="6"/>
      <c r="AV695" s="6"/>
      <c r="AW695" s="6"/>
      <c r="AX695" s="6"/>
      <c r="AY695" s="6"/>
      <c r="AZ695" s="6">
        <v>1</v>
      </c>
      <c r="BA695" s="6">
        <v>9</v>
      </c>
      <c r="BB695" s="6"/>
      <c r="BC695" s="6" t="s">
        <v>1299</v>
      </c>
      <c r="BD695" s="9" t="str">
        <f>HYPERLINK("http://dx.doi.org/10.1016/j.healthplace.2013.01.004","http://dx.doi.org/10.1016/j.healthplace.2013.01.004")</f>
        <v>http://dx.doi.org/10.1016/j.healthplace.2013.01.004</v>
      </c>
      <c r="BE695" s="6"/>
      <c r="BF695" s="6"/>
      <c r="BG695" s="6"/>
      <c r="BH695" s="6"/>
      <c r="BI695" s="6">
        <v>23395918</v>
      </c>
      <c r="BJ695" s="6" t="s">
        <v>1300</v>
      </c>
      <c r="BK695" s="6"/>
      <c r="BL695" s="6"/>
      <c r="BM695" s="6"/>
      <c r="BN695" s="6"/>
      <c r="BO695" s="6"/>
      <c r="BP695" s="6"/>
      <c r="BQ695" s="6"/>
      <c r="BR695" s="6"/>
      <c r="BS695" s="6"/>
      <c r="BT695" s="6"/>
      <c r="BU695" s="8" t="s">
        <v>7310</v>
      </c>
      <c r="BV695" s="8" t="s">
        <v>7188</v>
      </c>
      <c r="BW695" s="8" t="s">
        <v>7189</v>
      </c>
    </row>
    <row r="696" spans="1:75" ht="12.75" customHeight="1">
      <c r="A696" s="4" t="s">
        <v>63</v>
      </c>
      <c r="B696" s="4" t="s">
        <v>3545</v>
      </c>
      <c r="C696" s="4"/>
      <c r="D696" s="4"/>
      <c r="E696" s="4"/>
      <c r="F696" s="4" t="s">
        <v>3546</v>
      </c>
      <c r="G696" s="4"/>
      <c r="H696" s="4"/>
      <c r="I696" s="4" t="s">
        <v>3547</v>
      </c>
      <c r="J696" s="4" t="s">
        <v>1142</v>
      </c>
      <c r="K696" s="4"/>
      <c r="L696" s="4"/>
      <c r="M696" s="4"/>
      <c r="N696" s="4"/>
      <c r="O696" s="4"/>
      <c r="P696" s="4"/>
      <c r="Q696" s="4"/>
      <c r="R696" s="4"/>
      <c r="S696" s="4"/>
      <c r="T696" s="4" t="s">
        <v>3548</v>
      </c>
      <c r="U696" s="4"/>
      <c r="V696" s="4"/>
      <c r="W696" s="4"/>
      <c r="X696" s="4"/>
      <c r="Y696" s="4" t="s">
        <v>3549</v>
      </c>
      <c r="Z696" s="4" t="s">
        <v>3550</v>
      </c>
      <c r="AA696" s="4"/>
      <c r="AB696" s="4"/>
      <c r="AC696" s="4"/>
      <c r="AD696" s="4"/>
      <c r="AE696" s="4"/>
      <c r="AF696" s="4"/>
      <c r="AG696" s="4"/>
      <c r="AH696" s="4"/>
      <c r="AI696" s="4"/>
      <c r="AJ696" s="4"/>
      <c r="AK696" s="4"/>
      <c r="AL696" s="4"/>
      <c r="AM696" s="4"/>
      <c r="AN696" s="4" t="s">
        <v>1144</v>
      </c>
      <c r="AO696" s="4"/>
      <c r="AP696" s="4"/>
      <c r="AQ696" s="4"/>
      <c r="AR696" s="4" t="s">
        <v>445</v>
      </c>
      <c r="AS696" s="4">
        <v>2018</v>
      </c>
      <c r="AT696" s="4">
        <v>15</v>
      </c>
      <c r="AU696" s="4">
        <v>9</v>
      </c>
      <c r="AV696" s="4"/>
      <c r="AW696" s="4"/>
      <c r="AX696" s="4"/>
      <c r="AY696" s="4"/>
      <c r="AZ696" s="4"/>
      <c r="BA696" s="4"/>
      <c r="BB696" s="4">
        <v>1991</v>
      </c>
      <c r="BC696" s="4" t="s">
        <v>3551</v>
      </c>
      <c r="BD696" s="5" t="str">
        <f>HYPERLINK("http://dx.doi.org/10.3390/ijerph15091991","http://dx.doi.org/10.3390/ijerph15091991")</f>
        <v>http://dx.doi.org/10.3390/ijerph15091991</v>
      </c>
      <c r="BE696" s="4"/>
      <c r="BF696" s="4"/>
      <c r="BG696" s="4"/>
      <c r="BH696" s="4"/>
      <c r="BI696" s="4">
        <v>30216995</v>
      </c>
      <c r="BJ696" s="4" t="s">
        <v>3552</v>
      </c>
      <c r="BK696" s="4"/>
      <c r="BL696" s="4"/>
      <c r="BM696" s="4"/>
      <c r="BN696" s="4"/>
      <c r="BO696" s="4"/>
      <c r="BP696" s="4"/>
      <c r="BQ696" s="4"/>
      <c r="BR696" s="4"/>
      <c r="BS696" s="4"/>
      <c r="BT696" s="4"/>
      <c r="BU696" s="12" t="s">
        <v>7247</v>
      </c>
      <c r="BV696" s="12" t="s">
        <v>7188</v>
      </c>
      <c r="BW696" s="12" t="s">
        <v>7189</v>
      </c>
    </row>
    <row r="697" spans="1:75" ht="12.75" customHeight="1">
      <c r="A697" s="7" t="s">
        <v>63</v>
      </c>
      <c r="B697" s="7" t="s">
        <v>5216</v>
      </c>
      <c r="C697" s="7"/>
      <c r="D697" s="7"/>
      <c r="E697" s="7"/>
      <c r="F697" s="7" t="s">
        <v>5217</v>
      </c>
      <c r="G697" s="7"/>
      <c r="H697" s="7"/>
      <c r="I697" s="7" t="s">
        <v>5218</v>
      </c>
      <c r="J697" s="7" t="s">
        <v>87</v>
      </c>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t="s">
        <v>91</v>
      </c>
      <c r="AN697" s="7" t="s">
        <v>113</v>
      </c>
      <c r="AO697" s="7"/>
      <c r="AP697" s="7"/>
      <c r="AQ697" s="7"/>
      <c r="AR697" s="7" t="s">
        <v>64</v>
      </c>
      <c r="AS697" s="7">
        <v>2021</v>
      </c>
      <c r="AT697" s="7">
        <v>58</v>
      </c>
      <c r="AU697" s="7">
        <v>14</v>
      </c>
      <c r="AV697" s="7"/>
      <c r="AW697" s="7"/>
      <c r="AX697" s="7"/>
      <c r="AY697" s="7"/>
      <c r="AZ697" s="7" t="s">
        <v>5219</v>
      </c>
      <c r="BA697" s="7" t="s">
        <v>5219</v>
      </c>
      <c r="BB697" s="7"/>
      <c r="BC697" s="7" t="s">
        <v>5220</v>
      </c>
      <c r="BD697" s="11" t="str">
        <f>HYPERLINK("http://dx.doi.org/10.1177/0042098018821280","http://dx.doi.org/10.1177/0042098018821280")</f>
        <v>http://dx.doi.org/10.1177/0042098018821280</v>
      </c>
      <c r="BE697" s="7"/>
      <c r="BF697" s="7"/>
      <c r="BG697" s="7"/>
      <c r="BH697" s="7"/>
      <c r="BI697" s="7"/>
      <c r="BJ697" s="7" t="s">
        <v>5221</v>
      </c>
      <c r="BK697" s="7"/>
      <c r="BL697" s="7"/>
      <c r="BM697" s="7"/>
      <c r="BN697" s="7"/>
      <c r="BO697" s="7"/>
      <c r="BP697" s="7"/>
      <c r="BQ697" s="7"/>
      <c r="BR697" s="7"/>
      <c r="BS697" s="7"/>
      <c r="BT697" s="7"/>
      <c r="BU697" s="10" t="s">
        <v>7193</v>
      </c>
      <c r="BV697" s="10" t="s">
        <v>5215</v>
      </c>
      <c r="BW697" s="10" t="s">
        <v>7245</v>
      </c>
    </row>
    <row r="698" spans="1:75" ht="12.75" customHeight="1">
      <c r="A698" s="3" t="s">
        <v>63</v>
      </c>
      <c r="B698" s="3" t="s">
        <v>1654</v>
      </c>
      <c r="C698" s="3"/>
      <c r="D698" s="3"/>
      <c r="E698" s="3"/>
      <c r="F698" s="3" t="s">
        <v>1655</v>
      </c>
      <c r="G698" s="3"/>
      <c r="H698" s="3"/>
      <c r="I698" s="3" t="s">
        <v>1656</v>
      </c>
      <c r="J698" s="3" t="s">
        <v>373</v>
      </c>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t="s">
        <v>376</v>
      </c>
      <c r="AN698" s="3"/>
      <c r="AO698" s="3"/>
      <c r="AP698" s="3"/>
      <c r="AQ698" s="3"/>
      <c r="AR698" s="3" t="s">
        <v>445</v>
      </c>
      <c r="AS698" s="3">
        <v>2014</v>
      </c>
      <c r="AT698" s="3">
        <v>11</v>
      </c>
      <c r="AU698" s="3"/>
      <c r="AV698" s="3"/>
      <c r="AW698" s="3"/>
      <c r="AX698" s="3"/>
      <c r="AY698" s="3"/>
      <c r="AZ698" s="3"/>
      <c r="BA698" s="3"/>
      <c r="BB698" s="3" t="s">
        <v>1657</v>
      </c>
      <c r="BC698" s="3" t="s">
        <v>1658</v>
      </c>
      <c r="BD698" s="15" t="str">
        <f>HYPERLINK("http://dx.doi.org/10.5888/pcd11.140338","http://dx.doi.org/10.5888/pcd11.140338")</f>
        <v>http://dx.doi.org/10.5888/pcd11.140338</v>
      </c>
      <c r="BE698" s="3"/>
      <c r="BF698" s="3"/>
      <c r="BG698" s="3"/>
      <c r="BH698" s="3"/>
      <c r="BI698" s="3">
        <v>25211505</v>
      </c>
      <c r="BJ698" s="3" t="s">
        <v>1659</v>
      </c>
      <c r="BK698" s="3"/>
      <c r="BL698" s="3"/>
      <c r="BM698" s="3"/>
      <c r="BN698" s="3"/>
      <c r="BO698" s="3"/>
      <c r="BP698" s="3"/>
      <c r="BQ698" s="3"/>
      <c r="BR698" s="3"/>
      <c r="BS698" s="3"/>
      <c r="BT698" s="3"/>
      <c r="BU698" s="1" t="s">
        <v>7376</v>
      </c>
      <c r="BV698" s="10" t="s">
        <v>7188</v>
      </c>
      <c r="BW698" s="10" t="s">
        <v>7189</v>
      </c>
    </row>
    <row r="699" spans="1:75" ht="12.75" customHeight="1">
      <c r="A699" s="4" t="s">
        <v>63</v>
      </c>
      <c r="B699" s="4" t="s">
        <v>5866</v>
      </c>
      <c r="C699" s="4"/>
      <c r="D699" s="4"/>
      <c r="E699" s="4"/>
      <c r="F699" s="4" t="s">
        <v>5867</v>
      </c>
      <c r="G699" s="4"/>
      <c r="H699" s="4"/>
      <c r="I699" s="4" t="s">
        <v>5868</v>
      </c>
      <c r="J699" s="4" t="s">
        <v>5869</v>
      </c>
      <c r="K699" s="4"/>
      <c r="L699" s="4"/>
      <c r="M699" s="4"/>
      <c r="N699" s="4"/>
      <c r="O699" s="4"/>
      <c r="P699" s="4"/>
      <c r="Q699" s="4"/>
      <c r="R699" s="4"/>
      <c r="S699" s="4"/>
      <c r="T699" s="4" t="s">
        <v>5870</v>
      </c>
      <c r="U699" s="4"/>
      <c r="V699" s="4"/>
      <c r="W699" s="4"/>
      <c r="X699" s="4"/>
      <c r="Y699" s="4"/>
      <c r="Z699" s="4" t="s">
        <v>5871</v>
      </c>
      <c r="AA699" s="4"/>
      <c r="AB699" s="4"/>
      <c r="AC699" s="4"/>
      <c r="AD699" s="4"/>
      <c r="AE699" s="4"/>
      <c r="AF699" s="4"/>
      <c r="AG699" s="4"/>
      <c r="AH699" s="4"/>
      <c r="AI699" s="4"/>
      <c r="AJ699" s="4"/>
      <c r="AK699" s="4"/>
      <c r="AL699" s="4"/>
      <c r="AM699" s="4" t="s">
        <v>5872</v>
      </c>
      <c r="AN699" s="4"/>
      <c r="AO699" s="4"/>
      <c r="AP699" s="4"/>
      <c r="AQ699" s="4"/>
      <c r="AR699" s="4"/>
      <c r="AS699" s="4">
        <v>2022</v>
      </c>
      <c r="AT699" s="4">
        <v>7</v>
      </c>
      <c r="AU699" s="4">
        <v>2</v>
      </c>
      <c r="AV699" s="4"/>
      <c r="AW699" s="4"/>
      <c r="AX699" s="4"/>
      <c r="AY699" s="4"/>
      <c r="AZ699" s="4">
        <v>139</v>
      </c>
      <c r="BA699" s="4">
        <v>154</v>
      </c>
      <c r="BB699" s="4"/>
      <c r="BC699" s="4" t="s">
        <v>5873</v>
      </c>
      <c r="BD699" s="5" t="str">
        <f>HYPERLINK("http://dx.doi.org/10.17645/up.v7i2.5135","http://dx.doi.org/10.17645/up.v7i2.5135")</f>
        <v>http://dx.doi.org/10.17645/up.v7i2.5135</v>
      </c>
      <c r="BE699" s="4"/>
      <c r="BF699" s="4"/>
      <c r="BG699" s="4"/>
      <c r="BH699" s="4"/>
      <c r="BI699" s="4"/>
      <c r="BJ699" s="4" t="s">
        <v>5874</v>
      </c>
      <c r="BK699" s="4"/>
      <c r="BL699" s="4"/>
      <c r="BM699" s="4"/>
      <c r="BN699" s="4"/>
      <c r="BO699" s="4"/>
      <c r="BP699" s="4"/>
      <c r="BQ699" s="4"/>
      <c r="BR699" s="4"/>
      <c r="BS699" s="4"/>
      <c r="BT699" s="4"/>
      <c r="BU699" s="12" t="s">
        <v>7474</v>
      </c>
      <c r="BV699" s="12" t="s">
        <v>7188</v>
      </c>
      <c r="BW699" s="12" t="s">
        <v>7189</v>
      </c>
    </row>
    <row r="700" spans="1:75" ht="12.75" customHeight="1">
      <c r="A700" s="4" t="s">
        <v>63</v>
      </c>
      <c r="B700" s="4" t="s">
        <v>3174</v>
      </c>
      <c r="C700" s="4"/>
      <c r="D700" s="4"/>
      <c r="E700" s="4"/>
      <c r="F700" s="4" t="s">
        <v>3175</v>
      </c>
      <c r="G700" s="4"/>
      <c r="H700" s="4"/>
      <c r="I700" s="4" t="s">
        <v>3176</v>
      </c>
      <c r="J700" s="4" t="s">
        <v>3177</v>
      </c>
      <c r="K700" s="4"/>
      <c r="L700" s="4"/>
      <c r="M700" s="4"/>
      <c r="N700" s="4"/>
      <c r="O700" s="4"/>
      <c r="P700" s="4"/>
      <c r="Q700" s="4"/>
      <c r="R700" s="4"/>
      <c r="S700" s="4"/>
      <c r="T700" s="4" t="s">
        <v>3178</v>
      </c>
      <c r="U700" s="4"/>
      <c r="V700" s="4"/>
      <c r="W700" s="4"/>
      <c r="X700" s="4"/>
      <c r="Y700" s="4" t="s">
        <v>3179</v>
      </c>
      <c r="Z700" s="4" t="s">
        <v>3180</v>
      </c>
      <c r="AA700" s="4"/>
      <c r="AB700" s="4"/>
      <c r="AC700" s="4"/>
      <c r="AD700" s="4"/>
      <c r="AE700" s="4"/>
      <c r="AF700" s="4"/>
      <c r="AG700" s="4"/>
      <c r="AH700" s="4"/>
      <c r="AI700" s="4"/>
      <c r="AJ700" s="4"/>
      <c r="AK700" s="4"/>
      <c r="AL700" s="4"/>
      <c r="AM700" s="4" t="s">
        <v>3181</v>
      </c>
      <c r="AN700" s="4" t="s">
        <v>3182</v>
      </c>
      <c r="AO700" s="4"/>
      <c r="AP700" s="4"/>
      <c r="AQ700" s="4"/>
      <c r="AR700" s="4"/>
      <c r="AS700" s="4">
        <v>2017</v>
      </c>
      <c r="AT700" s="4">
        <v>22</v>
      </c>
      <c r="AU700" s="4">
        <v>1</v>
      </c>
      <c r="AV700" s="4"/>
      <c r="AW700" s="4"/>
      <c r="AX700" s="4" t="s">
        <v>569</v>
      </c>
      <c r="AY700" s="4"/>
      <c r="AZ700" s="4">
        <v>56</v>
      </c>
      <c r="BA700" s="4">
        <v>65</v>
      </c>
      <c r="BB700" s="4"/>
      <c r="BC700" s="4" t="s">
        <v>3183</v>
      </c>
      <c r="BD700" s="5" t="str">
        <f>HYPERLINK("http://dx.doi.org/10.1080/1059924X.2016.1251368","http://dx.doi.org/10.1080/1059924X.2016.1251368")</f>
        <v>http://dx.doi.org/10.1080/1059924X.2016.1251368</v>
      </c>
      <c r="BE700" s="4"/>
      <c r="BF700" s="4"/>
      <c r="BG700" s="4"/>
      <c r="BH700" s="4"/>
      <c r="BI700" s="4">
        <v>27782783</v>
      </c>
      <c r="BJ700" s="4" t="s">
        <v>3184</v>
      </c>
      <c r="BK700" s="4"/>
      <c r="BL700" s="4"/>
      <c r="BM700" s="4"/>
      <c r="BN700" s="4"/>
      <c r="BO700" s="4"/>
      <c r="BP700" s="4"/>
      <c r="BQ700" s="4"/>
      <c r="BR700" s="4"/>
      <c r="BS700" s="4"/>
      <c r="BT700" s="4"/>
      <c r="BU700" s="12" t="s">
        <v>7331</v>
      </c>
      <c r="BV700" s="12" t="s">
        <v>7188</v>
      </c>
      <c r="BW700" s="12" t="s">
        <v>7189</v>
      </c>
    </row>
    <row r="701" spans="1:75" ht="12.75" customHeight="1">
      <c r="A701" s="6" t="s">
        <v>63</v>
      </c>
      <c r="B701" s="6" t="s">
        <v>320</v>
      </c>
      <c r="C701" s="6"/>
      <c r="D701" s="6"/>
      <c r="E701" s="6"/>
      <c r="F701" s="6" t="s">
        <v>321</v>
      </c>
      <c r="G701" s="6"/>
      <c r="H701" s="6"/>
      <c r="I701" s="6" t="s">
        <v>322</v>
      </c>
      <c r="J701" s="6" t="s">
        <v>323</v>
      </c>
      <c r="K701" s="6"/>
      <c r="L701" s="6"/>
      <c r="M701" s="6"/>
      <c r="N701" s="6"/>
      <c r="O701" s="6"/>
      <c r="P701" s="6"/>
      <c r="Q701" s="6"/>
      <c r="R701" s="6"/>
      <c r="S701" s="6"/>
      <c r="T701" s="6" t="s">
        <v>324</v>
      </c>
      <c r="U701" s="6"/>
      <c r="V701" s="6"/>
      <c r="W701" s="6"/>
      <c r="X701" s="6"/>
      <c r="Y701" s="6"/>
      <c r="Z701" s="6"/>
      <c r="AA701" s="6"/>
      <c r="AB701" s="6"/>
      <c r="AC701" s="6"/>
      <c r="AD701" s="6"/>
      <c r="AE701" s="6"/>
      <c r="AF701" s="6"/>
      <c r="AG701" s="6"/>
      <c r="AH701" s="6"/>
      <c r="AI701" s="6"/>
      <c r="AJ701" s="6"/>
      <c r="AK701" s="6"/>
      <c r="AL701" s="6"/>
      <c r="AM701" s="6" t="s">
        <v>325</v>
      </c>
      <c r="AN701" s="6" t="s">
        <v>326</v>
      </c>
      <c r="AO701" s="6"/>
      <c r="AP701" s="6"/>
      <c r="AQ701" s="6"/>
      <c r="AR701" s="6" t="s">
        <v>64</v>
      </c>
      <c r="AS701" s="6">
        <v>2008</v>
      </c>
      <c r="AT701" s="6">
        <v>26</v>
      </c>
      <c r="AU701" s="6">
        <v>6</v>
      </c>
      <c r="AV701" s="6"/>
      <c r="AW701" s="6"/>
      <c r="AX701" s="6"/>
      <c r="AY701" s="6"/>
      <c r="AZ701" s="6">
        <v>657</v>
      </c>
      <c r="BA701" s="6">
        <v>692</v>
      </c>
      <c r="BB701" s="6"/>
      <c r="BC701" s="6" t="s">
        <v>327</v>
      </c>
      <c r="BD701" s="9" t="str">
        <f>HYPERLINK("http://dx.doi.org/10.1111/j.1467-7679.2008.00428.x","http://dx.doi.org/10.1111/j.1467-7679.2008.00428.x")</f>
        <v>http://dx.doi.org/10.1111/j.1467-7679.2008.00428.x</v>
      </c>
      <c r="BE701" s="6"/>
      <c r="BF701" s="6"/>
      <c r="BG701" s="6"/>
      <c r="BH701" s="6"/>
      <c r="BI701" s="6"/>
      <c r="BJ701" s="6" t="s">
        <v>328</v>
      </c>
      <c r="BK701" s="6"/>
      <c r="BL701" s="6"/>
      <c r="BM701" s="6"/>
      <c r="BN701" s="6"/>
      <c r="BO701" s="6"/>
      <c r="BP701" s="6"/>
      <c r="BQ701" s="6"/>
      <c r="BR701" s="6"/>
      <c r="BS701" s="6"/>
      <c r="BT701" s="6"/>
      <c r="BU701" s="8" t="s">
        <v>7209</v>
      </c>
      <c r="BV701" s="8" t="s">
        <v>7209</v>
      </c>
      <c r="BW701" s="8" t="s">
        <v>7209</v>
      </c>
    </row>
    <row r="702" spans="1:75" ht="12.75" customHeight="1">
      <c r="A702" s="3" t="s">
        <v>63</v>
      </c>
      <c r="B702" s="3" t="s">
        <v>5222</v>
      </c>
      <c r="C702" s="3"/>
      <c r="D702" s="3"/>
      <c r="E702" s="3"/>
      <c r="F702" s="3" t="s">
        <v>5223</v>
      </c>
      <c r="G702" s="3"/>
      <c r="H702" s="3"/>
      <c r="I702" s="3" t="s">
        <v>5224</v>
      </c>
      <c r="J702" s="3" t="s">
        <v>2442</v>
      </c>
      <c r="K702" s="3"/>
      <c r="L702" s="3"/>
      <c r="M702" s="3"/>
      <c r="N702" s="3" t="s">
        <v>5225</v>
      </c>
      <c r="O702" s="3" t="s">
        <v>1223</v>
      </c>
      <c r="P702" s="3" t="s">
        <v>2533</v>
      </c>
      <c r="Q702" s="3"/>
      <c r="R702" s="3"/>
      <c r="S702" s="3"/>
      <c r="T702" s="3"/>
      <c r="U702" s="3"/>
      <c r="V702" s="3"/>
      <c r="W702" s="3"/>
      <c r="X702" s="3"/>
      <c r="Y702" s="3"/>
      <c r="Z702" s="3"/>
      <c r="AA702" s="3"/>
      <c r="AB702" s="3"/>
      <c r="AC702" s="3"/>
      <c r="AD702" s="3"/>
      <c r="AE702" s="3"/>
      <c r="AF702" s="3"/>
      <c r="AG702" s="3"/>
      <c r="AH702" s="3"/>
      <c r="AI702" s="3"/>
      <c r="AJ702" s="3"/>
      <c r="AK702" s="3"/>
      <c r="AL702" s="3"/>
      <c r="AM702" s="3" t="s">
        <v>2445</v>
      </c>
      <c r="AN702" s="3" t="s">
        <v>2446</v>
      </c>
      <c r="AO702" s="3"/>
      <c r="AP702" s="3"/>
      <c r="AQ702" s="3"/>
      <c r="AR702" s="3" t="s">
        <v>4270</v>
      </c>
      <c r="AS702" s="3">
        <v>2021</v>
      </c>
      <c r="AT702" s="3">
        <v>144</v>
      </c>
      <c r="AU702" s="3"/>
      <c r="AV702" s="3"/>
      <c r="AW702" s="3">
        <v>1</v>
      </c>
      <c r="AX702" s="3"/>
      <c r="AY702" s="3" t="s">
        <v>5226</v>
      </c>
      <c r="AZ702" s="3"/>
      <c r="BA702" s="3"/>
      <c r="BB702" s="3"/>
      <c r="BC702" s="3"/>
      <c r="BD702" s="3"/>
      <c r="BE702" s="3"/>
      <c r="BF702" s="3"/>
      <c r="BG702" s="3"/>
      <c r="BH702" s="3"/>
      <c r="BI702" s="3"/>
      <c r="BJ702" s="3" t="s">
        <v>5227</v>
      </c>
      <c r="BK702" s="3"/>
      <c r="BL702" s="3"/>
      <c r="BM702" s="3"/>
      <c r="BN702" s="3"/>
      <c r="BO702" s="3"/>
      <c r="BP702" s="3"/>
      <c r="BQ702" s="3"/>
      <c r="BR702" s="3"/>
      <c r="BS702" s="3"/>
      <c r="BT702" s="3"/>
      <c r="BU702" s="13" t="s">
        <v>7225</v>
      </c>
      <c r="BV702" s="2" t="s">
        <v>7188</v>
      </c>
      <c r="BW702" s="2" t="s">
        <v>7189</v>
      </c>
    </row>
    <row r="703" spans="1:75" ht="12.75" customHeight="1">
      <c r="A703" s="4" t="s">
        <v>63</v>
      </c>
      <c r="B703" s="4" t="s">
        <v>2087</v>
      </c>
      <c r="C703" s="4"/>
      <c r="D703" s="4"/>
      <c r="E703" s="4"/>
      <c r="F703" s="4" t="s">
        <v>2088</v>
      </c>
      <c r="G703" s="4"/>
      <c r="H703" s="4"/>
      <c r="I703" s="4" t="s">
        <v>2089</v>
      </c>
      <c r="J703" s="4" t="s">
        <v>423</v>
      </c>
      <c r="K703" s="4"/>
      <c r="L703" s="4"/>
      <c r="M703" s="4"/>
      <c r="N703" s="4"/>
      <c r="O703" s="4"/>
      <c r="P703" s="4"/>
      <c r="Q703" s="4"/>
      <c r="R703" s="4"/>
      <c r="S703" s="4"/>
      <c r="T703" s="4" t="s">
        <v>2090</v>
      </c>
      <c r="U703" s="4"/>
      <c r="V703" s="4"/>
      <c r="W703" s="4"/>
      <c r="X703" s="4"/>
      <c r="Y703" s="4"/>
      <c r="Z703" s="4"/>
      <c r="AA703" s="4"/>
      <c r="AB703" s="4"/>
      <c r="AC703" s="4"/>
      <c r="AD703" s="4"/>
      <c r="AE703" s="4"/>
      <c r="AF703" s="4"/>
      <c r="AG703" s="4"/>
      <c r="AH703" s="4"/>
      <c r="AI703" s="4"/>
      <c r="AJ703" s="4"/>
      <c r="AK703" s="4"/>
      <c r="AL703" s="4"/>
      <c r="AM703" s="4" t="s">
        <v>427</v>
      </c>
      <c r="AN703" s="4" t="s">
        <v>428</v>
      </c>
      <c r="AO703" s="4"/>
      <c r="AP703" s="4"/>
      <c r="AQ703" s="4"/>
      <c r="AR703" s="4"/>
      <c r="AS703" s="4">
        <v>2015</v>
      </c>
      <c r="AT703" s="4">
        <v>10</v>
      </c>
      <c r="AU703" s="4">
        <v>4</v>
      </c>
      <c r="AV703" s="4"/>
      <c r="AW703" s="4"/>
      <c r="AX703" s="4"/>
      <c r="AY703" s="4"/>
      <c r="AZ703" s="4">
        <v>456</v>
      </c>
      <c r="BA703" s="4">
        <v>466</v>
      </c>
      <c r="BB703" s="4"/>
      <c r="BC703" s="4" t="s">
        <v>2091</v>
      </c>
      <c r="BD703" s="5" t="str">
        <f>HYPERLINK("http://dx.doi.org/10.1080/19320248.2015.1045673","http://dx.doi.org/10.1080/19320248.2015.1045673")</f>
        <v>http://dx.doi.org/10.1080/19320248.2015.1045673</v>
      </c>
      <c r="BE703" s="4"/>
      <c r="BF703" s="4"/>
      <c r="BG703" s="4"/>
      <c r="BH703" s="4"/>
      <c r="BI703" s="4"/>
      <c r="BJ703" s="4" t="s">
        <v>2092</v>
      </c>
      <c r="BK703" s="4"/>
      <c r="BL703" s="4"/>
      <c r="BM703" s="4"/>
      <c r="BN703" s="4"/>
      <c r="BO703" s="4"/>
      <c r="BP703" s="4"/>
      <c r="BQ703" s="4"/>
      <c r="BR703" s="4"/>
      <c r="BS703" s="4"/>
      <c r="BT703" s="4"/>
      <c r="BU703" s="12" t="s">
        <v>7354</v>
      </c>
      <c r="BV703" s="12" t="s">
        <v>7188</v>
      </c>
      <c r="BW703" s="12" t="s">
        <v>7189</v>
      </c>
    </row>
    <row r="704" spans="1:75" ht="12.75" customHeight="1">
      <c r="A704" s="3" t="s">
        <v>63</v>
      </c>
      <c r="B704" s="3" t="s">
        <v>3185</v>
      </c>
      <c r="C704" s="3"/>
      <c r="D704" s="3"/>
      <c r="E704" s="3"/>
      <c r="F704" s="3" t="s">
        <v>3186</v>
      </c>
      <c r="G704" s="3"/>
      <c r="H704" s="3"/>
      <c r="I704" s="3" t="s">
        <v>3187</v>
      </c>
      <c r="J704" s="3" t="s">
        <v>3188</v>
      </c>
      <c r="K704" s="3"/>
      <c r="L704" s="3"/>
      <c r="M704" s="3"/>
      <c r="N704" s="3"/>
      <c r="O704" s="3"/>
      <c r="P704" s="3"/>
      <c r="Q704" s="3"/>
      <c r="R704" s="3"/>
      <c r="S704" s="3"/>
      <c r="T704" s="3" t="s">
        <v>3189</v>
      </c>
      <c r="U704" s="3"/>
      <c r="V704" s="3"/>
      <c r="W704" s="3"/>
      <c r="X704" s="3"/>
      <c r="Y704" s="3" t="s">
        <v>1966</v>
      </c>
      <c r="Z704" s="3" t="s">
        <v>1967</v>
      </c>
      <c r="AA704" s="3"/>
      <c r="AB704" s="3"/>
      <c r="AC704" s="3"/>
      <c r="AD704" s="3"/>
      <c r="AE704" s="3"/>
      <c r="AF704" s="3"/>
      <c r="AG704" s="3"/>
      <c r="AH704" s="3"/>
      <c r="AI704" s="3"/>
      <c r="AJ704" s="3"/>
      <c r="AK704" s="3"/>
      <c r="AL704" s="3"/>
      <c r="AM704" s="3" t="s">
        <v>3190</v>
      </c>
      <c r="AN704" s="3" t="s">
        <v>3191</v>
      </c>
      <c r="AO704" s="3"/>
      <c r="AP704" s="3"/>
      <c r="AQ704" s="3"/>
      <c r="AR704" s="3" t="s">
        <v>65</v>
      </c>
      <c r="AS704" s="3">
        <v>2017</v>
      </c>
      <c r="AT704" s="3">
        <v>27</v>
      </c>
      <c r="AU704" s="3">
        <v>12</v>
      </c>
      <c r="AV704" s="3"/>
      <c r="AW704" s="3"/>
      <c r="AX704" s="3"/>
      <c r="AY704" s="3"/>
      <c r="AZ704" s="3">
        <v>771</v>
      </c>
      <c r="BA704" s="3">
        <v>776</v>
      </c>
      <c r="BB704" s="3"/>
      <c r="BC704" s="3" t="s">
        <v>3192</v>
      </c>
      <c r="BD704" s="15" t="str">
        <f>HYPERLINK("http://dx.doi.org/10.1016/j.annepidem.2017.10.011","http://dx.doi.org/10.1016/j.annepidem.2017.10.011")</f>
        <v>http://dx.doi.org/10.1016/j.annepidem.2017.10.011</v>
      </c>
      <c r="BE704" s="3"/>
      <c r="BF704" s="3"/>
      <c r="BG704" s="3"/>
      <c r="BH704" s="3"/>
      <c r="BI704" s="3">
        <v>29198367</v>
      </c>
      <c r="BJ704" s="3" t="s">
        <v>3193</v>
      </c>
      <c r="BK704" s="3"/>
      <c r="BL704" s="3"/>
      <c r="BM704" s="3"/>
      <c r="BN704" s="3"/>
      <c r="BO704" s="3"/>
      <c r="BP704" s="3"/>
      <c r="BQ704" s="3"/>
      <c r="BR704" s="3"/>
      <c r="BS704" s="3"/>
      <c r="BT704" s="3"/>
      <c r="BU704" s="1" t="s">
        <v>7475</v>
      </c>
      <c r="BV704" s="2" t="s">
        <v>7188</v>
      </c>
      <c r="BW704" s="2" t="s">
        <v>7189</v>
      </c>
    </row>
    <row r="705" spans="1:75" ht="12.75" customHeight="1">
      <c r="A705" s="3" t="s">
        <v>63</v>
      </c>
      <c r="B705" s="3" t="s">
        <v>6446</v>
      </c>
      <c r="C705" s="3"/>
      <c r="D705" s="3"/>
      <c r="E705" s="3"/>
      <c r="F705" s="3" t="s">
        <v>6447</v>
      </c>
      <c r="G705" s="3"/>
      <c r="H705" s="3"/>
      <c r="I705" s="3" t="s">
        <v>6448</v>
      </c>
      <c r="J705" s="3" t="s">
        <v>423</v>
      </c>
      <c r="K705" s="3"/>
      <c r="L705" s="3"/>
      <c r="M705" s="3"/>
      <c r="N705" s="3"/>
      <c r="O705" s="3"/>
      <c r="P705" s="3"/>
      <c r="Q705" s="3"/>
      <c r="R705" s="3"/>
      <c r="S705" s="3"/>
      <c r="T705" s="3" t="s">
        <v>6449</v>
      </c>
      <c r="U705" s="3"/>
      <c r="V705" s="3"/>
      <c r="W705" s="3"/>
      <c r="X705" s="3"/>
      <c r="Y705" s="3" t="s">
        <v>6450</v>
      </c>
      <c r="Z705" s="3"/>
      <c r="AA705" s="3"/>
      <c r="AB705" s="3"/>
      <c r="AC705" s="3"/>
      <c r="AD705" s="3"/>
      <c r="AE705" s="3"/>
      <c r="AF705" s="3"/>
      <c r="AG705" s="3"/>
      <c r="AH705" s="3"/>
      <c r="AI705" s="3"/>
      <c r="AJ705" s="3"/>
      <c r="AK705" s="3"/>
      <c r="AL705" s="3"/>
      <c r="AM705" s="3" t="s">
        <v>427</v>
      </c>
      <c r="AN705" s="3" t="s">
        <v>428</v>
      </c>
      <c r="AO705" s="3"/>
      <c r="AP705" s="3"/>
      <c r="AQ705" s="3"/>
      <c r="AR705" s="3" t="s">
        <v>6451</v>
      </c>
      <c r="AS705" s="3">
        <v>2023</v>
      </c>
      <c r="AT705" s="3"/>
      <c r="AU705" s="3"/>
      <c r="AV705" s="3"/>
      <c r="AW705" s="3"/>
      <c r="AX705" s="3"/>
      <c r="AY705" s="3"/>
      <c r="AZ705" s="3"/>
      <c r="BA705" s="3"/>
      <c r="BB705" s="3"/>
      <c r="BC705" s="3" t="s">
        <v>6452</v>
      </c>
      <c r="BD705" s="15" t="str">
        <f>HYPERLINK("http://dx.doi.org/10.1080/19320248.2023.2261873","http://dx.doi.org/10.1080/19320248.2023.2261873")</f>
        <v>http://dx.doi.org/10.1080/19320248.2023.2261873</v>
      </c>
      <c r="BE705" s="3"/>
      <c r="BF705" s="3" t="s">
        <v>6376</v>
      </c>
      <c r="BG705" s="3"/>
      <c r="BH705" s="3"/>
      <c r="BI705" s="3"/>
      <c r="BJ705" s="3" t="s">
        <v>6453</v>
      </c>
      <c r="BK705" s="3"/>
      <c r="BL705" s="3"/>
      <c r="BM705" s="3"/>
      <c r="BN705" s="3"/>
      <c r="BO705" s="3"/>
      <c r="BP705" s="3"/>
      <c r="BQ705" s="3"/>
      <c r="BR705" s="3"/>
      <c r="BS705" s="3"/>
      <c r="BT705" s="3"/>
      <c r="BU705" s="13" t="s">
        <v>7210</v>
      </c>
      <c r="BV705" s="2" t="s">
        <v>7188</v>
      </c>
      <c r="BW705" s="2" t="s">
        <v>7189</v>
      </c>
    </row>
    <row r="706" spans="1:75" ht="12.75" customHeight="1">
      <c r="A706" s="4" t="s">
        <v>63</v>
      </c>
      <c r="B706" s="4" t="s">
        <v>7032</v>
      </c>
      <c r="C706" s="4"/>
      <c r="D706" s="4"/>
      <c r="E706" s="4"/>
      <c r="F706" s="4" t="s">
        <v>7033</v>
      </c>
      <c r="G706" s="4"/>
      <c r="H706" s="4"/>
      <c r="I706" s="4" t="s">
        <v>7034</v>
      </c>
      <c r="J706" s="4" t="s">
        <v>177</v>
      </c>
      <c r="K706" s="4"/>
      <c r="L706" s="4"/>
      <c r="M706" s="4"/>
      <c r="N706" s="4"/>
      <c r="O706" s="4"/>
      <c r="P706" s="4"/>
      <c r="Q706" s="4"/>
      <c r="R706" s="4"/>
      <c r="S706" s="4"/>
      <c r="T706" s="4" t="s">
        <v>7035</v>
      </c>
      <c r="U706" s="4"/>
      <c r="V706" s="4"/>
      <c r="W706" s="4"/>
      <c r="X706" s="4"/>
      <c r="Y706" s="4"/>
      <c r="Z706" s="4" t="s">
        <v>7036</v>
      </c>
      <c r="AA706" s="4"/>
      <c r="AB706" s="4"/>
      <c r="AC706" s="4"/>
      <c r="AD706" s="4"/>
      <c r="AE706" s="4"/>
      <c r="AF706" s="4"/>
      <c r="AG706" s="4"/>
      <c r="AH706" s="4"/>
      <c r="AI706" s="4"/>
      <c r="AJ706" s="4"/>
      <c r="AK706" s="4"/>
      <c r="AL706" s="4"/>
      <c r="AM706" s="4" t="s">
        <v>179</v>
      </c>
      <c r="AN706" s="4" t="s">
        <v>1136</v>
      </c>
      <c r="AO706" s="4"/>
      <c r="AP706" s="4"/>
      <c r="AQ706" s="4"/>
      <c r="AR706" s="4" t="s">
        <v>82</v>
      </c>
      <c r="AS706" s="4">
        <v>2024</v>
      </c>
      <c r="AT706" s="4">
        <v>106</v>
      </c>
      <c r="AU706" s="4">
        <v>2</v>
      </c>
      <c r="AV706" s="4"/>
      <c r="AW706" s="4"/>
      <c r="AX706" s="4"/>
      <c r="AY706" s="4"/>
      <c r="AZ706" s="4">
        <v>852</v>
      </c>
      <c r="BA706" s="4">
        <v>882</v>
      </c>
      <c r="BB706" s="4"/>
      <c r="BC706" s="4" t="s">
        <v>7037</v>
      </c>
      <c r="BD706" s="5" t="str">
        <f>HYPERLINK("http://dx.doi.org/10.1111/ajae.12404","http://dx.doi.org/10.1111/ajae.12404")</f>
        <v>http://dx.doi.org/10.1111/ajae.12404</v>
      </c>
      <c r="BE706" s="4"/>
      <c r="BF706" s="4" t="s">
        <v>6108</v>
      </c>
      <c r="BG706" s="4"/>
      <c r="BH706" s="4"/>
      <c r="BI706" s="4"/>
      <c r="BJ706" s="4" t="s">
        <v>7038</v>
      </c>
      <c r="BK706" s="4"/>
      <c r="BL706" s="4"/>
      <c r="BM706" s="4"/>
      <c r="BN706" s="4"/>
      <c r="BO706" s="4"/>
      <c r="BP706" s="4"/>
      <c r="BQ706" s="4"/>
      <c r="BR706" s="4"/>
      <c r="BS706" s="4"/>
      <c r="BT706" s="4"/>
      <c r="BU706" s="12" t="s">
        <v>7201</v>
      </c>
      <c r="BV706" s="12" t="s">
        <v>7188</v>
      </c>
      <c r="BW706" s="12" t="s">
        <v>7189</v>
      </c>
    </row>
    <row r="707" spans="1:75" ht="12.75" customHeight="1">
      <c r="A707" s="3" t="s">
        <v>63</v>
      </c>
      <c r="B707" s="3" t="s">
        <v>3194</v>
      </c>
      <c r="C707" s="3"/>
      <c r="D707" s="3"/>
      <c r="E707" s="3"/>
      <c r="F707" s="3" t="s">
        <v>3195</v>
      </c>
      <c r="G707" s="3"/>
      <c r="H707" s="3"/>
      <c r="I707" s="3" t="s">
        <v>3196</v>
      </c>
      <c r="J707" s="3" t="s">
        <v>1142</v>
      </c>
      <c r="K707" s="3"/>
      <c r="L707" s="3"/>
      <c r="M707" s="3"/>
      <c r="N707" s="3"/>
      <c r="O707" s="3"/>
      <c r="P707" s="3"/>
      <c r="Q707" s="3"/>
      <c r="R707" s="3"/>
      <c r="S707" s="3"/>
      <c r="T707" s="3" t="s">
        <v>3197</v>
      </c>
      <c r="U707" s="3"/>
      <c r="V707" s="3"/>
      <c r="W707" s="3"/>
      <c r="X707" s="3"/>
      <c r="Y707" s="3" t="s">
        <v>3198</v>
      </c>
      <c r="Z707" s="3" t="s">
        <v>3199</v>
      </c>
      <c r="AA707" s="3"/>
      <c r="AB707" s="3"/>
      <c r="AC707" s="3"/>
      <c r="AD707" s="3"/>
      <c r="AE707" s="3"/>
      <c r="AF707" s="3"/>
      <c r="AG707" s="3"/>
      <c r="AH707" s="3"/>
      <c r="AI707" s="3"/>
      <c r="AJ707" s="3"/>
      <c r="AK707" s="3"/>
      <c r="AL707" s="3"/>
      <c r="AM707" s="3"/>
      <c r="AN707" s="3" t="s">
        <v>1144</v>
      </c>
      <c r="AO707" s="3"/>
      <c r="AP707" s="3"/>
      <c r="AQ707" s="3"/>
      <c r="AR707" s="3" t="s">
        <v>92</v>
      </c>
      <c r="AS707" s="3">
        <v>2017</v>
      </c>
      <c r="AT707" s="3">
        <v>14</v>
      </c>
      <c r="AU707" s="3">
        <v>10</v>
      </c>
      <c r="AV707" s="3"/>
      <c r="AW707" s="3"/>
      <c r="AX707" s="3"/>
      <c r="AY707" s="3"/>
      <c r="AZ707" s="3"/>
      <c r="BA707" s="3"/>
      <c r="BB707" s="3">
        <v>1189</v>
      </c>
      <c r="BC707" s="3" t="s">
        <v>3200</v>
      </c>
      <c r="BD707" s="15" t="str">
        <f>HYPERLINK("http://dx.doi.org/10.3390/ijerph14101189","http://dx.doi.org/10.3390/ijerph14101189")</f>
        <v>http://dx.doi.org/10.3390/ijerph14101189</v>
      </c>
      <c r="BE707" s="3"/>
      <c r="BF707" s="3"/>
      <c r="BG707" s="3"/>
      <c r="BH707" s="3"/>
      <c r="BI707" s="3">
        <v>28991156</v>
      </c>
      <c r="BJ707" s="3" t="s">
        <v>3201</v>
      </c>
      <c r="BK707" s="3"/>
      <c r="BL707" s="3"/>
      <c r="BM707" s="3"/>
      <c r="BN707" s="3"/>
      <c r="BO707" s="3"/>
      <c r="BP707" s="3"/>
      <c r="BQ707" s="3"/>
      <c r="BR707" s="3"/>
      <c r="BS707" s="3"/>
      <c r="BT707" s="3"/>
      <c r="BU707" s="13" t="s">
        <v>7225</v>
      </c>
      <c r="BV707" s="2" t="s">
        <v>7188</v>
      </c>
      <c r="BW707" s="2" t="s">
        <v>7189</v>
      </c>
    </row>
    <row r="708" spans="1:75" ht="12.75" customHeight="1">
      <c r="A708" s="6" t="s">
        <v>63</v>
      </c>
      <c r="B708" s="6" t="s">
        <v>4558</v>
      </c>
      <c r="C708" s="6"/>
      <c r="D708" s="6"/>
      <c r="E708" s="6"/>
      <c r="F708" s="6" t="s">
        <v>4559</v>
      </c>
      <c r="G708" s="6"/>
      <c r="H708" s="6"/>
      <c r="I708" s="6" t="s">
        <v>4560</v>
      </c>
      <c r="J708" s="6" t="s">
        <v>1004</v>
      </c>
      <c r="K708" s="6"/>
      <c r="L708" s="6"/>
      <c r="M708" s="6"/>
      <c r="N708" s="6"/>
      <c r="O708" s="6"/>
      <c r="P708" s="6"/>
      <c r="Q708" s="6"/>
      <c r="R708" s="6"/>
      <c r="S708" s="6"/>
      <c r="T708" s="6" t="s">
        <v>4561</v>
      </c>
      <c r="U708" s="6"/>
      <c r="V708" s="6"/>
      <c r="W708" s="6"/>
      <c r="X708" s="6"/>
      <c r="Y708" s="6" t="s">
        <v>4562</v>
      </c>
      <c r="Z708" s="6"/>
      <c r="AA708" s="6"/>
      <c r="AB708" s="6"/>
      <c r="AC708" s="6"/>
      <c r="AD708" s="6"/>
      <c r="AE708" s="6"/>
      <c r="AF708" s="6"/>
      <c r="AG708" s="6"/>
      <c r="AH708" s="6"/>
      <c r="AI708" s="6"/>
      <c r="AJ708" s="6"/>
      <c r="AK708" s="6"/>
      <c r="AL708" s="6"/>
      <c r="AM708" s="6" t="s">
        <v>1006</v>
      </c>
      <c r="AN708" s="6" t="s">
        <v>1007</v>
      </c>
      <c r="AO708" s="6"/>
      <c r="AP708" s="6"/>
      <c r="AQ708" s="6"/>
      <c r="AR708" s="6" t="s">
        <v>121</v>
      </c>
      <c r="AS708" s="6">
        <v>2020</v>
      </c>
      <c r="AT708" s="6">
        <v>23</v>
      </c>
      <c r="AU708" s="6">
        <v>12</v>
      </c>
      <c r="AV708" s="6"/>
      <c r="AW708" s="6"/>
      <c r="AX708" s="6"/>
      <c r="AY708" s="6"/>
      <c r="AZ708" s="6">
        <v>2199</v>
      </c>
      <c r="BA708" s="6">
        <v>2210</v>
      </c>
      <c r="BB708" s="6" t="s">
        <v>4563</v>
      </c>
      <c r="BC708" s="6" t="s">
        <v>4564</v>
      </c>
      <c r="BD708" s="9" t="str">
        <f>HYPERLINK("http://dx.doi.org/10.1017/S1368980019005068","http://dx.doi.org/10.1017/S1368980019005068")</f>
        <v>http://dx.doi.org/10.1017/S1368980019005068</v>
      </c>
      <c r="BE708" s="6"/>
      <c r="BF708" s="6"/>
      <c r="BG708" s="6"/>
      <c r="BH708" s="6"/>
      <c r="BI708" s="6">
        <v>32398182</v>
      </c>
      <c r="BJ708" s="6" t="s">
        <v>4565</v>
      </c>
      <c r="BK708" s="6"/>
      <c r="BL708" s="6"/>
      <c r="BM708" s="6"/>
      <c r="BN708" s="6"/>
      <c r="BO708" s="6"/>
      <c r="BP708" s="6"/>
      <c r="BQ708" s="6"/>
      <c r="BR708" s="6"/>
      <c r="BS708" s="6"/>
      <c r="BT708" s="6"/>
      <c r="BU708" s="8" t="s">
        <v>7438</v>
      </c>
      <c r="BV708" s="8" t="s">
        <v>7188</v>
      </c>
      <c r="BW708" s="8" t="s">
        <v>7189</v>
      </c>
    </row>
    <row r="709" spans="1:75" ht="12.75" customHeight="1">
      <c r="A709" s="4" t="s">
        <v>63</v>
      </c>
      <c r="B709" s="4" t="s">
        <v>6455</v>
      </c>
      <c r="C709" s="4"/>
      <c r="D709" s="4"/>
      <c r="E709" s="4"/>
      <c r="F709" s="4" t="s">
        <v>6456</v>
      </c>
      <c r="G709" s="4"/>
      <c r="H709" s="4"/>
      <c r="I709" s="4" t="s">
        <v>6457</v>
      </c>
      <c r="J709" s="4" t="s">
        <v>6458</v>
      </c>
      <c r="K709" s="4"/>
      <c r="L709" s="4"/>
      <c r="M709" s="4"/>
      <c r="N709" s="4"/>
      <c r="O709" s="4"/>
      <c r="P709" s="4"/>
      <c r="Q709" s="4"/>
      <c r="R709" s="4"/>
      <c r="S709" s="4"/>
      <c r="T709" s="4" t="s">
        <v>6459</v>
      </c>
      <c r="U709" s="4"/>
      <c r="V709" s="4"/>
      <c r="W709" s="4"/>
      <c r="X709" s="4"/>
      <c r="Y709" s="4" t="s">
        <v>6460</v>
      </c>
      <c r="Z709" s="4"/>
      <c r="AA709" s="4"/>
      <c r="AB709" s="4"/>
      <c r="AC709" s="4"/>
      <c r="AD709" s="4"/>
      <c r="AE709" s="4"/>
      <c r="AF709" s="4"/>
      <c r="AG709" s="4"/>
      <c r="AH709" s="4"/>
      <c r="AI709" s="4"/>
      <c r="AJ709" s="4"/>
      <c r="AK709" s="4"/>
      <c r="AL709" s="4"/>
      <c r="AM709" s="4" t="s">
        <v>6461</v>
      </c>
      <c r="AN709" s="4" t="s">
        <v>6462</v>
      </c>
      <c r="AO709" s="4"/>
      <c r="AP709" s="4"/>
      <c r="AQ709" s="4"/>
      <c r="AR709" s="4" t="s">
        <v>6463</v>
      </c>
      <c r="AS709" s="4">
        <v>2023</v>
      </c>
      <c r="AT709" s="4">
        <v>68</v>
      </c>
      <c r="AU709" s="4"/>
      <c r="AV709" s="4"/>
      <c r="AW709" s="4"/>
      <c r="AX709" s="4"/>
      <c r="AY709" s="4"/>
      <c r="AZ709" s="4"/>
      <c r="BA709" s="4"/>
      <c r="BB709" s="4">
        <v>1606161</v>
      </c>
      <c r="BC709" s="4" t="s">
        <v>6464</v>
      </c>
      <c r="BD709" s="5" t="str">
        <f>HYPERLINK("http://dx.doi.org/10.3389/ijph.2023.1606161","http://dx.doi.org/10.3389/ijph.2023.1606161")</f>
        <v>http://dx.doi.org/10.3389/ijph.2023.1606161</v>
      </c>
      <c r="BE709" s="4"/>
      <c r="BF709" s="4"/>
      <c r="BG709" s="4"/>
      <c r="BH709" s="4"/>
      <c r="BI709" s="4">
        <v>38024213</v>
      </c>
      <c r="BJ709" s="4" t="s">
        <v>6465</v>
      </c>
      <c r="BK709" s="4"/>
      <c r="BL709" s="4"/>
      <c r="BM709" s="4"/>
      <c r="BN709" s="4"/>
      <c r="BO709" s="4"/>
      <c r="BP709" s="4"/>
      <c r="BQ709" s="4"/>
      <c r="BR709" s="4"/>
      <c r="BS709" s="4"/>
      <c r="BT709" s="4"/>
      <c r="BU709" s="12" t="s">
        <v>7201</v>
      </c>
      <c r="BV709" s="12" t="s">
        <v>6454</v>
      </c>
      <c r="BW709" s="12" t="s">
        <v>7205</v>
      </c>
    </row>
    <row r="710" spans="1:75" ht="12.75" customHeight="1">
      <c r="A710" s="6" t="s">
        <v>63</v>
      </c>
      <c r="B710" s="6" t="s">
        <v>4007</v>
      </c>
      <c r="C710" s="6"/>
      <c r="D710" s="6"/>
      <c r="E710" s="6"/>
      <c r="F710" s="6" t="s">
        <v>4008</v>
      </c>
      <c r="G710" s="6"/>
      <c r="H710" s="6"/>
      <c r="I710" s="6" t="s">
        <v>4009</v>
      </c>
      <c r="J710" s="6" t="s">
        <v>3693</v>
      </c>
      <c r="K710" s="6"/>
      <c r="L710" s="6"/>
      <c r="M710" s="6"/>
      <c r="N710" s="6"/>
      <c r="O710" s="6"/>
      <c r="P710" s="6"/>
      <c r="Q710" s="6"/>
      <c r="R710" s="6"/>
      <c r="S710" s="6"/>
      <c r="T710" s="6" t="s">
        <v>4010</v>
      </c>
      <c r="U710" s="6"/>
      <c r="V710" s="6"/>
      <c r="W710" s="6"/>
      <c r="X710" s="6"/>
      <c r="Y710" s="6"/>
      <c r="Z710" s="6"/>
      <c r="AA710" s="6"/>
      <c r="AB710" s="6"/>
      <c r="AC710" s="6"/>
      <c r="AD710" s="6"/>
      <c r="AE710" s="6"/>
      <c r="AF710" s="6"/>
      <c r="AG710" s="6"/>
      <c r="AH710" s="6"/>
      <c r="AI710" s="6"/>
      <c r="AJ710" s="6"/>
      <c r="AK710" s="6"/>
      <c r="AL710" s="6"/>
      <c r="AM710" s="6" t="s">
        <v>3695</v>
      </c>
      <c r="AN710" s="6" t="s">
        <v>3696</v>
      </c>
      <c r="AO710" s="6"/>
      <c r="AP710" s="6"/>
      <c r="AQ710" s="6"/>
      <c r="AR710" s="6" t="s">
        <v>121</v>
      </c>
      <c r="AS710" s="6">
        <v>2019</v>
      </c>
      <c r="AT710" s="6">
        <v>19</v>
      </c>
      <c r="AU710" s="6">
        <v>3</v>
      </c>
      <c r="AV710" s="6"/>
      <c r="AW710" s="6"/>
      <c r="AX710" s="6" t="s">
        <v>569</v>
      </c>
      <c r="AY710" s="6"/>
      <c r="AZ710" s="6"/>
      <c r="BA710" s="6"/>
      <c r="BB710" s="6" t="s">
        <v>4011</v>
      </c>
      <c r="BC710" s="6" t="s">
        <v>4012</v>
      </c>
      <c r="BD710" s="9" t="str">
        <f>HYPERLINK("http://dx.doi.org/10.1002/pa.1860","http://dx.doi.org/10.1002/pa.1860")</f>
        <v>http://dx.doi.org/10.1002/pa.1860</v>
      </c>
      <c r="BE710" s="6"/>
      <c r="BF710" s="6"/>
      <c r="BG710" s="6"/>
      <c r="BH710" s="6"/>
      <c r="BI710" s="6"/>
      <c r="BJ710" s="6" t="s">
        <v>4013</v>
      </c>
      <c r="BK710" s="6"/>
      <c r="BL710" s="6"/>
      <c r="BM710" s="6"/>
      <c r="BN710" s="6"/>
      <c r="BO710" s="6"/>
      <c r="BP710" s="6"/>
      <c r="BQ710" s="6"/>
      <c r="BR710" s="6"/>
      <c r="BS710" s="6"/>
      <c r="BT710" s="6"/>
      <c r="BU710" s="8" t="s">
        <v>7476</v>
      </c>
      <c r="BV710" s="8" t="s">
        <v>7477</v>
      </c>
      <c r="BW710" s="8" t="s">
        <v>7478</v>
      </c>
    </row>
    <row r="711" spans="1:75" ht="12.75" customHeight="1">
      <c r="A711" s="3" t="s">
        <v>63</v>
      </c>
      <c r="B711" s="3" t="s">
        <v>6466</v>
      </c>
      <c r="C711" s="3"/>
      <c r="D711" s="3"/>
      <c r="E711" s="3"/>
      <c r="F711" s="3" t="s">
        <v>6467</v>
      </c>
      <c r="G711" s="3"/>
      <c r="H711" s="3"/>
      <c r="I711" s="3" t="s">
        <v>6468</v>
      </c>
      <c r="J711" s="3" t="s">
        <v>1884</v>
      </c>
      <c r="K711" s="3"/>
      <c r="L711" s="3"/>
      <c r="M711" s="3"/>
      <c r="N711" s="3"/>
      <c r="O711" s="3"/>
      <c r="P711" s="3"/>
      <c r="Q711" s="3"/>
      <c r="R711" s="3"/>
      <c r="S711" s="3"/>
      <c r="T711" s="3" t="s">
        <v>6469</v>
      </c>
      <c r="U711" s="3"/>
      <c r="V711" s="3"/>
      <c r="W711" s="3"/>
      <c r="X711" s="3"/>
      <c r="Y711" s="3" t="s">
        <v>6470</v>
      </c>
      <c r="Z711" s="3" t="s">
        <v>6471</v>
      </c>
      <c r="AA711" s="3"/>
      <c r="AB711" s="3"/>
      <c r="AC711" s="3"/>
      <c r="AD711" s="3"/>
      <c r="AE711" s="3"/>
      <c r="AF711" s="3"/>
      <c r="AG711" s="3"/>
      <c r="AH711" s="3"/>
      <c r="AI711" s="3"/>
      <c r="AJ711" s="3"/>
      <c r="AK711" s="3"/>
      <c r="AL711" s="3"/>
      <c r="AM711" s="3" t="s">
        <v>1888</v>
      </c>
      <c r="AN711" s="3" t="s">
        <v>1889</v>
      </c>
      <c r="AO711" s="3"/>
      <c r="AP711" s="3"/>
      <c r="AQ711" s="3"/>
      <c r="AR711" s="3" t="s">
        <v>68</v>
      </c>
      <c r="AS711" s="3">
        <v>2023</v>
      </c>
      <c r="AT711" s="3">
        <v>15</v>
      </c>
      <c r="AU711" s="3">
        <v>2</v>
      </c>
      <c r="AV711" s="3"/>
      <c r="AW711" s="3"/>
      <c r="AX711" s="3"/>
      <c r="AY711" s="3"/>
      <c r="AZ711" s="3">
        <v>493</v>
      </c>
      <c r="BA711" s="3">
        <v>504</v>
      </c>
      <c r="BB711" s="3"/>
      <c r="BC711" s="3" t="s">
        <v>6472</v>
      </c>
      <c r="BD711" s="15" t="str">
        <f>HYPERLINK("http://dx.doi.org/10.1007/s12571-022-01336-2","http://dx.doi.org/10.1007/s12571-022-01336-2")</f>
        <v>http://dx.doi.org/10.1007/s12571-022-01336-2</v>
      </c>
      <c r="BE711" s="3"/>
      <c r="BF711" s="3" t="s">
        <v>6203</v>
      </c>
      <c r="BG711" s="3"/>
      <c r="BH711" s="3"/>
      <c r="BI711" s="3">
        <v>36589859</v>
      </c>
      <c r="BJ711" s="3" t="s">
        <v>6473</v>
      </c>
      <c r="BK711" s="3"/>
      <c r="BL711" s="3"/>
      <c r="BM711" s="3"/>
      <c r="BN711" s="3"/>
      <c r="BO711" s="3"/>
      <c r="BP711" s="3"/>
      <c r="BQ711" s="3"/>
      <c r="BR711" s="3"/>
      <c r="BS711" s="3"/>
      <c r="BT711" s="3"/>
      <c r="BU711" s="1" t="s">
        <v>7384</v>
      </c>
      <c r="BV711" s="2" t="s">
        <v>7188</v>
      </c>
      <c r="BW711" s="2" t="s">
        <v>7189</v>
      </c>
    </row>
    <row r="712" spans="1:75" ht="12.75" customHeight="1">
      <c r="A712" s="3" t="s">
        <v>63</v>
      </c>
      <c r="B712" s="3" t="s">
        <v>7039</v>
      </c>
      <c r="C712" s="3"/>
      <c r="D712" s="3"/>
      <c r="E712" s="3"/>
      <c r="F712" s="3" t="s">
        <v>7040</v>
      </c>
      <c r="G712" s="3"/>
      <c r="H712" s="3"/>
      <c r="I712" s="3" t="s">
        <v>7041</v>
      </c>
      <c r="J712" s="3" t="s">
        <v>734</v>
      </c>
      <c r="K712" s="3"/>
      <c r="L712" s="3"/>
      <c r="M712" s="3"/>
      <c r="N712" s="3"/>
      <c r="O712" s="3"/>
      <c r="P712" s="3"/>
      <c r="Q712" s="3"/>
      <c r="R712" s="3"/>
      <c r="S712" s="3"/>
      <c r="T712" s="3" t="s">
        <v>7042</v>
      </c>
      <c r="U712" s="3"/>
      <c r="V712" s="3"/>
      <c r="W712" s="3"/>
      <c r="X712" s="3"/>
      <c r="Y712" s="3" t="s">
        <v>7043</v>
      </c>
      <c r="Z712" s="3" t="s">
        <v>7044</v>
      </c>
      <c r="AA712" s="3"/>
      <c r="AB712" s="3"/>
      <c r="AC712" s="3"/>
      <c r="AD712" s="3"/>
      <c r="AE712" s="3"/>
      <c r="AF712" s="3"/>
      <c r="AG712" s="3"/>
      <c r="AH712" s="3"/>
      <c r="AI712" s="3"/>
      <c r="AJ712" s="3"/>
      <c r="AK712" s="3"/>
      <c r="AL712" s="3"/>
      <c r="AM712" s="3" t="s">
        <v>738</v>
      </c>
      <c r="AN712" s="3" t="s">
        <v>7045</v>
      </c>
      <c r="AO712" s="3"/>
      <c r="AP712" s="3"/>
      <c r="AQ712" s="3"/>
      <c r="AR712" s="3"/>
      <c r="AS712" s="3">
        <v>2024</v>
      </c>
      <c r="AT712" s="3">
        <v>37</v>
      </c>
      <c r="AU712" s="3"/>
      <c r="AV712" s="3"/>
      <c r="AW712" s="3"/>
      <c r="AX712" s="3"/>
      <c r="AY712" s="3"/>
      <c r="AZ712" s="3"/>
      <c r="BA712" s="3"/>
      <c r="BB712" s="3" t="s">
        <v>7046</v>
      </c>
      <c r="BC712" s="3" t="s">
        <v>7047</v>
      </c>
      <c r="BD712" s="15" t="str">
        <f>HYPERLINK("http://dx.doi.org/10.1590/1678-9865202437e230120","http://dx.doi.org/10.1590/1678-9865202437e230120")</f>
        <v>http://dx.doi.org/10.1590/1678-9865202437e230120</v>
      </c>
      <c r="BE712" s="3"/>
      <c r="BF712" s="3"/>
      <c r="BG712" s="3"/>
      <c r="BH712" s="3"/>
      <c r="BI712" s="3"/>
      <c r="BJ712" s="3" t="s">
        <v>7048</v>
      </c>
      <c r="BK712" s="3"/>
      <c r="BL712" s="3"/>
      <c r="BM712" s="3"/>
      <c r="BN712" s="3"/>
      <c r="BO712" s="3"/>
      <c r="BP712" s="3"/>
      <c r="BQ712" s="3"/>
      <c r="BR712" s="3"/>
      <c r="BS712" s="3"/>
      <c r="BT712" s="3"/>
      <c r="BU712" s="1" t="s">
        <v>7339</v>
      </c>
      <c r="BV712" s="2" t="s">
        <v>3516</v>
      </c>
      <c r="BW712" s="2" t="s">
        <v>7196</v>
      </c>
    </row>
    <row r="713" spans="1:75" ht="12.75" customHeight="1">
      <c r="A713" s="4" t="s">
        <v>63</v>
      </c>
      <c r="B713" s="4" t="s">
        <v>331</v>
      </c>
      <c r="C713" s="4"/>
      <c r="D713" s="4"/>
      <c r="E713" s="4"/>
      <c r="F713" s="4" t="s">
        <v>332</v>
      </c>
      <c r="G713" s="4"/>
      <c r="H713" s="4"/>
      <c r="I713" s="4" t="s">
        <v>333</v>
      </c>
      <c r="J713" s="4" t="s">
        <v>334</v>
      </c>
      <c r="K713" s="4"/>
      <c r="L713" s="4"/>
      <c r="M713" s="4"/>
      <c r="N713" s="4"/>
      <c r="O713" s="4"/>
      <c r="P713" s="4"/>
      <c r="Q713" s="4"/>
      <c r="R713" s="4"/>
      <c r="S713" s="4"/>
      <c r="T713" s="4" t="s">
        <v>335</v>
      </c>
      <c r="U713" s="4"/>
      <c r="V713" s="4"/>
      <c r="W713" s="4"/>
      <c r="X713" s="4"/>
      <c r="Y713" s="4"/>
      <c r="Z713" s="4" t="s">
        <v>336</v>
      </c>
      <c r="AA713" s="4"/>
      <c r="AB713" s="4"/>
      <c r="AC713" s="4"/>
      <c r="AD713" s="4"/>
      <c r="AE713" s="4"/>
      <c r="AF713" s="4"/>
      <c r="AG713" s="4"/>
      <c r="AH713" s="4"/>
      <c r="AI713" s="4"/>
      <c r="AJ713" s="4"/>
      <c r="AK713" s="4"/>
      <c r="AL713" s="4"/>
      <c r="AM713" s="4" t="s">
        <v>337</v>
      </c>
      <c r="AN713" s="4" t="s">
        <v>338</v>
      </c>
      <c r="AO713" s="4"/>
      <c r="AP713" s="4"/>
      <c r="AQ713" s="4"/>
      <c r="AR713" s="4" t="s">
        <v>339</v>
      </c>
      <c r="AS713" s="4">
        <v>2008</v>
      </c>
      <c r="AT713" s="4">
        <v>65</v>
      </c>
      <c r="AU713" s="4">
        <v>2</v>
      </c>
      <c r="AV713" s="4"/>
      <c r="AW713" s="4"/>
      <c r="AX713" s="4"/>
      <c r="AY713" s="4"/>
      <c r="AZ713" s="4">
        <v>242</v>
      </c>
      <c r="BA713" s="4">
        <v>252</v>
      </c>
      <c r="BB713" s="4"/>
      <c r="BC713" s="4" t="s">
        <v>340</v>
      </c>
      <c r="BD713" s="5" t="str">
        <f>HYPERLINK("http://dx.doi.org/10.1016/j.ecolecon.2007.12.013","http://dx.doi.org/10.1016/j.ecolecon.2007.12.013")</f>
        <v>http://dx.doi.org/10.1016/j.ecolecon.2007.12.013</v>
      </c>
      <c r="BE713" s="4"/>
      <c r="BF713" s="4"/>
      <c r="BG713" s="4"/>
      <c r="BH713" s="4"/>
      <c r="BI713" s="4"/>
      <c r="BJ713" s="4" t="s">
        <v>341</v>
      </c>
      <c r="BK713" s="4"/>
      <c r="BL713" s="4"/>
      <c r="BM713" s="4"/>
      <c r="BN713" s="4"/>
      <c r="BO713" s="4"/>
      <c r="BP713" s="4"/>
      <c r="BQ713" s="4"/>
      <c r="BR713" s="4"/>
      <c r="BS713" s="4"/>
      <c r="BT713" s="4"/>
      <c r="BU713" s="12" t="s">
        <v>7193</v>
      </c>
      <c r="BV713" s="12" t="s">
        <v>7193</v>
      </c>
      <c r="BW713" s="12" t="s">
        <v>7193</v>
      </c>
    </row>
    <row r="714" spans="1:75" ht="12.75" customHeight="1">
      <c r="A714" s="4" t="s">
        <v>63</v>
      </c>
      <c r="B714" s="4" t="s">
        <v>1301</v>
      </c>
      <c r="C714" s="4"/>
      <c r="D714" s="4"/>
      <c r="E714" s="4"/>
      <c r="F714" s="4" t="s">
        <v>1302</v>
      </c>
      <c r="G714" s="4"/>
      <c r="H714" s="4"/>
      <c r="I714" s="4" t="s">
        <v>1303</v>
      </c>
      <c r="J714" s="4" t="s">
        <v>373</v>
      </c>
      <c r="K714" s="4"/>
      <c r="L714" s="4"/>
      <c r="M714" s="4"/>
      <c r="N714" s="4"/>
      <c r="O714" s="4"/>
      <c r="P714" s="4"/>
      <c r="Q714" s="4"/>
      <c r="R714" s="4"/>
      <c r="S714" s="4"/>
      <c r="T714" s="4" t="s">
        <v>1304</v>
      </c>
      <c r="U714" s="4"/>
      <c r="V714" s="4"/>
      <c r="W714" s="4"/>
      <c r="X714" s="4"/>
      <c r="Y714" s="4"/>
      <c r="Z714" s="4"/>
      <c r="AA714" s="4"/>
      <c r="AB714" s="4"/>
      <c r="AC714" s="4"/>
      <c r="AD714" s="4"/>
      <c r="AE714" s="4"/>
      <c r="AF714" s="4"/>
      <c r="AG714" s="4"/>
      <c r="AH714" s="4"/>
      <c r="AI714" s="4"/>
      <c r="AJ714" s="4"/>
      <c r="AK714" s="4"/>
      <c r="AL714" s="4"/>
      <c r="AM714" s="4" t="s">
        <v>376</v>
      </c>
      <c r="AN714" s="4"/>
      <c r="AO714" s="4"/>
      <c r="AP714" s="4"/>
      <c r="AQ714" s="4"/>
      <c r="AR714" s="4" t="s">
        <v>173</v>
      </c>
      <c r="AS714" s="4">
        <v>2013</v>
      </c>
      <c r="AT714" s="4">
        <v>10</v>
      </c>
      <c r="AU714" s="4"/>
      <c r="AV714" s="4"/>
      <c r="AW714" s="4"/>
      <c r="AX714" s="4"/>
      <c r="AY714" s="4"/>
      <c r="AZ714" s="4"/>
      <c r="BA714" s="4"/>
      <c r="BB714" s="4">
        <v>120319</v>
      </c>
      <c r="BC714" s="4" t="s">
        <v>1305</v>
      </c>
      <c r="BD714" s="5" t="str">
        <f>HYPERLINK("http://dx.doi.org/10.5888/pcd10.120319","http://dx.doi.org/10.5888/pcd10.120319")</f>
        <v>http://dx.doi.org/10.5888/pcd10.120319</v>
      </c>
      <c r="BE714" s="4"/>
      <c r="BF714" s="4"/>
      <c r="BG714" s="4"/>
      <c r="BH714" s="4"/>
      <c r="BI714" s="4">
        <v>23866164</v>
      </c>
      <c r="BJ714" s="4" t="s">
        <v>1306</v>
      </c>
      <c r="BK714" s="4"/>
      <c r="BL714" s="4"/>
      <c r="BM714" s="4"/>
      <c r="BN714" s="4"/>
      <c r="BO714" s="4"/>
      <c r="BP714" s="4"/>
      <c r="BQ714" s="4"/>
      <c r="BR714" s="4"/>
      <c r="BS714" s="4"/>
      <c r="BT714" s="4"/>
      <c r="BU714" s="12" t="s">
        <v>7225</v>
      </c>
      <c r="BV714" s="12" t="s">
        <v>7188</v>
      </c>
      <c r="BW714" s="12" t="s">
        <v>7189</v>
      </c>
    </row>
    <row r="715" spans="1:75" ht="12.75" customHeight="1">
      <c r="A715" s="4" t="s">
        <v>63</v>
      </c>
      <c r="B715" s="4" t="s">
        <v>7049</v>
      </c>
      <c r="C715" s="4"/>
      <c r="D715" s="4"/>
      <c r="E715" s="4"/>
      <c r="F715" s="4" t="s">
        <v>7050</v>
      </c>
      <c r="G715" s="4"/>
      <c r="H715" s="4"/>
      <c r="I715" s="4" t="s">
        <v>7051</v>
      </c>
      <c r="J715" s="4" t="s">
        <v>7052</v>
      </c>
      <c r="K715" s="4"/>
      <c r="L715" s="4"/>
      <c r="M715" s="4"/>
      <c r="N715" s="4"/>
      <c r="O715" s="4"/>
      <c r="P715" s="4"/>
      <c r="Q715" s="4"/>
      <c r="R715" s="4"/>
      <c r="S715" s="4"/>
      <c r="T715" s="4" t="s">
        <v>7053</v>
      </c>
      <c r="U715" s="4"/>
      <c r="V715" s="4"/>
      <c r="W715" s="4"/>
      <c r="X715" s="4"/>
      <c r="Y715" s="4"/>
      <c r="Z715" s="4" t="s">
        <v>7054</v>
      </c>
      <c r="AA715" s="4"/>
      <c r="AB715" s="4"/>
      <c r="AC715" s="4"/>
      <c r="AD715" s="4"/>
      <c r="AE715" s="4"/>
      <c r="AF715" s="4"/>
      <c r="AG715" s="4"/>
      <c r="AH715" s="4"/>
      <c r="AI715" s="4"/>
      <c r="AJ715" s="4"/>
      <c r="AK715" s="4"/>
      <c r="AL715" s="4"/>
      <c r="AM715" s="4" t="s">
        <v>7055</v>
      </c>
      <c r="AN715" s="4" t="s">
        <v>7056</v>
      </c>
      <c r="AO715" s="4"/>
      <c r="AP715" s="4"/>
      <c r="AQ715" s="4"/>
      <c r="AR715" s="4" t="s">
        <v>133</v>
      </c>
      <c r="AS715" s="4">
        <v>2024</v>
      </c>
      <c r="AT715" s="4">
        <v>34</v>
      </c>
      <c r="AU715" s="4">
        <v>1</v>
      </c>
      <c r="AV715" s="4"/>
      <c r="AW715" s="4"/>
      <c r="AX715" s="4"/>
      <c r="AY715" s="4"/>
      <c r="AZ715" s="4">
        <v>40</v>
      </c>
      <c r="BA715" s="4">
        <v>46</v>
      </c>
      <c r="BB715" s="4"/>
      <c r="BC715" s="4" t="s">
        <v>7057</v>
      </c>
      <c r="BD715" s="5" t="str">
        <f>HYPERLINK("http://dx.doi.org/10.1053/j.jrn.2023.08.011","http://dx.doi.org/10.1053/j.jrn.2023.08.011")</f>
        <v>http://dx.doi.org/10.1053/j.jrn.2023.08.011</v>
      </c>
      <c r="BE715" s="4"/>
      <c r="BF715" s="4" t="s">
        <v>6637</v>
      </c>
      <c r="BG715" s="4"/>
      <c r="BH715" s="4"/>
      <c r="BI715" s="4">
        <v>37640277</v>
      </c>
      <c r="BJ715" s="4" t="s">
        <v>7058</v>
      </c>
      <c r="BK715" s="4"/>
      <c r="BL715" s="4"/>
      <c r="BM715" s="4"/>
      <c r="BN715" s="4"/>
      <c r="BO715" s="4"/>
      <c r="BP715" s="4"/>
      <c r="BQ715" s="4"/>
      <c r="BR715" s="4"/>
      <c r="BS715" s="4"/>
      <c r="BT715" s="4"/>
      <c r="BU715" s="12" t="s">
        <v>7217</v>
      </c>
      <c r="BV715" s="12" t="s">
        <v>7188</v>
      </c>
      <c r="BW715" s="12" t="s">
        <v>7189</v>
      </c>
    </row>
    <row r="716" spans="1:75" ht="12.75" customHeight="1">
      <c r="A716" s="3" t="s">
        <v>63</v>
      </c>
      <c r="B716" s="3" t="s">
        <v>7059</v>
      </c>
      <c r="C716" s="3"/>
      <c r="D716" s="3"/>
      <c r="E716" s="3"/>
      <c r="F716" s="3" t="s">
        <v>7060</v>
      </c>
      <c r="G716" s="3"/>
      <c r="H716" s="3"/>
      <c r="I716" s="3" t="s">
        <v>7061</v>
      </c>
      <c r="J716" s="3" t="s">
        <v>5105</v>
      </c>
      <c r="K716" s="3"/>
      <c r="L716" s="3"/>
      <c r="M716" s="3"/>
      <c r="N716" s="3"/>
      <c r="O716" s="3"/>
      <c r="P716" s="3"/>
      <c r="Q716" s="3"/>
      <c r="R716" s="3"/>
      <c r="S716" s="3"/>
      <c r="T716" s="3" t="s">
        <v>7062</v>
      </c>
      <c r="U716" s="3"/>
      <c r="V716" s="3"/>
      <c r="W716" s="3"/>
      <c r="X716" s="3"/>
      <c r="Y716" s="3"/>
      <c r="Z716" s="3" t="s">
        <v>7063</v>
      </c>
      <c r="AA716" s="3"/>
      <c r="AB716" s="3"/>
      <c r="AC716" s="3"/>
      <c r="AD716" s="3"/>
      <c r="AE716" s="3"/>
      <c r="AF716" s="3"/>
      <c r="AG716" s="3"/>
      <c r="AH716" s="3"/>
      <c r="AI716" s="3"/>
      <c r="AJ716" s="3"/>
      <c r="AK716" s="3"/>
      <c r="AL716" s="3"/>
      <c r="AM716" s="3" t="s">
        <v>5107</v>
      </c>
      <c r="AN716" s="3" t="s">
        <v>5108</v>
      </c>
      <c r="AO716" s="3"/>
      <c r="AP716" s="3"/>
      <c r="AQ716" s="3"/>
      <c r="AR716" s="3" t="s">
        <v>121</v>
      </c>
      <c r="AS716" s="3">
        <v>2024</v>
      </c>
      <c r="AT716" s="3">
        <v>11</v>
      </c>
      <c r="AU716" s="3">
        <v>4</v>
      </c>
      <c r="AV716" s="3"/>
      <c r="AW716" s="3"/>
      <c r="AX716" s="3"/>
      <c r="AY716" s="3"/>
      <c r="AZ716" s="3">
        <v>2009</v>
      </c>
      <c r="BA716" s="3">
        <v>2021</v>
      </c>
      <c r="BB716" s="3"/>
      <c r="BC716" s="3" t="s">
        <v>7064</v>
      </c>
      <c r="BD716" s="15" t="str">
        <f>HYPERLINK("http://dx.doi.org/10.1007/s40615-023-01669-4","http://dx.doi.org/10.1007/s40615-023-01669-4")</f>
        <v>http://dx.doi.org/10.1007/s40615-023-01669-4</v>
      </c>
      <c r="BE716" s="3"/>
      <c r="BF716" s="3" t="s">
        <v>5986</v>
      </c>
      <c r="BG716" s="3"/>
      <c r="BH716" s="3"/>
      <c r="BI716" s="3">
        <v>37368191</v>
      </c>
      <c r="BJ716" s="3" t="s">
        <v>7065</v>
      </c>
      <c r="BK716" s="3"/>
      <c r="BL716" s="3"/>
      <c r="BM716" s="3"/>
      <c r="BN716" s="3"/>
      <c r="BO716" s="3"/>
      <c r="BP716" s="3"/>
      <c r="BQ716" s="3"/>
      <c r="BR716" s="3"/>
      <c r="BS716" s="3"/>
      <c r="BT716" s="3"/>
      <c r="BU716" s="2" t="s">
        <v>7221</v>
      </c>
      <c r="BV716" s="2" t="s">
        <v>7188</v>
      </c>
      <c r="BW716" s="2" t="s">
        <v>7189</v>
      </c>
    </row>
    <row r="717" spans="1:75" ht="12.75" customHeight="1">
      <c r="A717" s="4" t="s">
        <v>63</v>
      </c>
      <c r="B717" s="4" t="s">
        <v>902</v>
      </c>
      <c r="C717" s="4"/>
      <c r="D717" s="4"/>
      <c r="E717" s="4"/>
      <c r="F717" s="4" t="s">
        <v>903</v>
      </c>
      <c r="G717" s="4"/>
      <c r="H717" s="4"/>
      <c r="I717" s="4" t="s">
        <v>904</v>
      </c>
      <c r="J717" s="4" t="s">
        <v>905</v>
      </c>
      <c r="K717" s="4"/>
      <c r="L717" s="4"/>
      <c r="M717" s="4"/>
      <c r="N717" s="4"/>
      <c r="O717" s="4"/>
      <c r="P717" s="4"/>
      <c r="Q717" s="4"/>
      <c r="R717" s="4"/>
      <c r="S717" s="4"/>
      <c r="T717" s="4"/>
      <c r="U717" s="4"/>
      <c r="V717" s="4"/>
      <c r="W717" s="4"/>
      <c r="X717" s="4"/>
      <c r="Y717" s="4" t="s">
        <v>906</v>
      </c>
      <c r="Z717" s="4" t="s">
        <v>907</v>
      </c>
      <c r="AA717" s="4"/>
      <c r="AB717" s="4"/>
      <c r="AC717" s="4"/>
      <c r="AD717" s="4"/>
      <c r="AE717" s="4"/>
      <c r="AF717" s="4"/>
      <c r="AG717" s="4"/>
      <c r="AH717" s="4"/>
      <c r="AI717" s="4"/>
      <c r="AJ717" s="4"/>
      <c r="AK717" s="4"/>
      <c r="AL717" s="4"/>
      <c r="AM717" s="4" t="s">
        <v>908</v>
      </c>
      <c r="AN717" s="4" t="s">
        <v>909</v>
      </c>
      <c r="AO717" s="4"/>
      <c r="AP717" s="4"/>
      <c r="AQ717" s="4"/>
      <c r="AR717" s="4" t="s">
        <v>78</v>
      </c>
      <c r="AS717" s="4">
        <v>2012</v>
      </c>
      <c r="AT717" s="4">
        <v>112</v>
      </c>
      <c r="AU717" s="4">
        <v>5</v>
      </c>
      <c r="AV717" s="4"/>
      <c r="AW717" s="4"/>
      <c r="AX717" s="4"/>
      <c r="AY717" s="4"/>
      <c r="AZ717" s="4">
        <v>617</v>
      </c>
      <c r="BA717" s="4">
        <v>620</v>
      </c>
      <c r="BB717" s="4"/>
      <c r="BC717" s="4" t="s">
        <v>910</v>
      </c>
      <c r="BD717" s="5" t="str">
        <f>HYPERLINK("http://dx.doi.org/10.1016/j.jand.2012.02.009","http://dx.doi.org/10.1016/j.jand.2012.02.009")</f>
        <v>http://dx.doi.org/10.1016/j.jand.2012.02.009</v>
      </c>
      <c r="BE717" s="4"/>
      <c r="BF717" s="4"/>
      <c r="BG717" s="4"/>
      <c r="BH717" s="4"/>
      <c r="BI717" s="4">
        <v>22709765</v>
      </c>
      <c r="BJ717" s="4" t="s">
        <v>911</v>
      </c>
      <c r="BK717" s="4"/>
      <c r="BL717" s="4"/>
      <c r="BM717" s="4"/>
      <c r="BN717" s="4"/>
      <c r="BO717" s="4"/>
      <c r="BP717" s="4"/>
      <c r="BQ717" s="4"/>
      <c r="BR717" s="4"/>
      <c r="BS717" s="4"/>
      <c r="BT717" s="4"/>
      <c r="BU717" s="12" t="s">
        <v>7193</v>
      </c>
      <c r="BV717" s="12" t="s">
        <v>7188</v>
      </c>
      <c r="BW717" s="12" t="s">
        <v>7189</v>
      </c>
    </row>
    <row r="718" spans="1:75" ht="12.75" customHeight="1">
      <c r="A718" s="3" t="s">
        <v>63</v>
      </c>
      <c r="B718" s="3" t="s">
        <v>4014</v>
      </c>
      <c r="C718" s="3"/>
      <c r="D718" s="3"/>
      <c r="E718" s="3"/>
      <c r="F718" s="3" t="s">
        <v>4015</v>
      </c>
      <c r="G718" s="3"/>
      <c r="H718" s="3"/>
      <c r="I718" s="3" t="s">
        <v>4016</v>
      </c>
      <c r="J718" s="3" t="s">
        <v>4017</v>
      </c>
      <c r="K718" s="3"/>
      <c r="L718" s="3"/>
      <c r="M718" s="3"/>
      <c r="N718" s="3"/>
      <c r="O718" s="3"/>
      <c r="P718" s="3"/>
      <c r="Q718" s="3"/>
      <c r="R718" s="3"/>
      <c r="S718" s="3"/>
      <c r="T718" s="3" t="s">
        <v>4018</v>
      </c>
      <c r="U718" s="3"/>
      <c r="V718" s="3"/>
      <c r="W718" s="3"/>
      <c r="X718" s="3"/>
      <c r="Y718" s="3" t="s">
        <v>4019</v>
      </c>
      <c r="Z718" s="3" t="s">
        <v>4020</v>
      </c>
      <c r="AA718" s="3"/>
      <c r="AB718" s="3"/>
      <c r="AC718" s="3"/>
      <c r="AD718" s="3"/>
      <c r="AE718" s="3"/>
      <c r="AF718" s="3"/>
      <c r="AG718" s="3"/>
      <c r="AH718" s="3"/>
      <c r="AI718" s="3"/>
      <c r="AJ718" s="3"/>
      <c r="AK718" s="3"/>
      <c r="AL718" s="3"/>
      <c r="AM718" s="3" t="s">
        <v>4021</v>
      </c>
      <c r="AN718" s="3"/>
      <c r="AO718" s="3"/>
      <c r="AP718" s="3"/>
      <c r="AQ718" s="3"/>
      <c r="AR718" s="3" t="s">
        <v>68</v>
      </c>
      <c r="AS718" s="3">
        <v>2019</v>
      </c>
      <c r="AT718" s="3">
        <v>7</v>
      </c>
      <c r="AU718" s="3"/>
      <c r="AV718" s="3"/>
      <c r="AW718" s="3"/>
      <c r="AX718" s="3"/>
      <c r="AY718" s="3"/>
      <c r="AZ718" s="3"/>
      <c r="BA718" s="3"/>
      <c r="BB718" s="3">
        <v>100363</v>
      </c>
      <c r="BC718" s="3" t="s">
        <v>4022</v>
      </c>
      <c r="BD718" s="15" t="str">
        <f>HYPERLINK("http://dx.doi.org/10.1016/j.ssmph.2019.100363","http://dx.doi.org/10.1016/j.ssmph.2019.100363")</f>
        <v>http://dx.doi.org/10.1016/j.ssmph.2019.100363</v>
      </c>
      <c r="BE718" s="3"/>
      <c r="BF718" s="3"/>
      <c r="BG718" s="3"/>
      <c r="BH718" s="3"/>
      <c r="BI718" s="3">
        <v>30976647</v>
      </c>
      <c r="BJ718" s="3" t="s">
        <v>4023</v>
      </c>
      <c r="BK718" s="3"/>
      <c r="BL718" s="3"/>
      <c r="BM718" s="3"/>
      <c r="BN718" s="3"/>
      <c r="BO718" s="3"/>
      <c r="BP718" s="3"/>
      <c r="BQ718" s="3"/>
      <c r="BR718" s="3"/>
      <c r="BS718" s="3"/>
      <c r="BT718" s="3"/>
      <c r="BU718" s="1" t="s">
        <v>7479</v>
      </c>
      <c r="BV718" s="2" t="s">
        <v>7188</v>
      </c>
      <c r="BW718" s="2" t="s">
        <v>7189</v>
      </c>
    </row>
    <row r="719" spans="1:75" ht="12.75" customHeight="1">
      <c r="A719" s="6" t="s">
        <v>63</v>
      </c>
      <c r="B719" s="6" t="s">
        <v>2093</v>
      </c>
      <c r="C719" s="6"/>
      <c r="D719" s="6"/>
      <c r="E719" s="6"/>
      <c r="F719" s="6" t="s">
        <v>2094</v>
      </c>
      <c r="G719" s="6"/>
      <c r="H719" s="6"/>
      <c r="I719" s="6" t="s">
        <v>2095</v>
      </c>
      <c r="J719" s="6" t="s">
        <v>144</v>
      </c>
      <c r="K719" s="6"/>
      <c r="L719" s="6"/>
      <c r="M719" s="6"/>
      <c r="N719" s="6"/>
      <c r="O719" s="6"/>
      <c r="P719" s="6"/>
      <c r="Q719" s="6"/>
      <c r="R719" s="6"/>
      <c r="S719" s="6"/>
      <c r="T719" s="6" t="s">
        <v>2096</v>
      </c>
      <c r="U719" s="6"/>
      <c r="V719" s="6"/>
      <c r="W719" s="6"/>
      <c r="X719" s="6"/>
      <c r="Y719" s="6" t="s">
        <v>791</v>
      </c>
      <c r="Z719" s="6" t="s">
        <v>1644</v>
      </c>
      <c r="AA719" s="6"/>
      <c r="AB719" s="6"/>
      <c r="AC719" s="6"/>
      <c r="AD719" s="6"/>
      <c r="AE719" s="6"/>
      <c r="AF719" s="6"/>
      <c r="AG719" s="6"/>
      <c r="AH719" s="6"/>
      <c r="AI719" s="6"/>
      <c r="AJ719" s="6"/>
      <c r="AK719" s="6"/>
      <c r="AL719" s="6"/>
      <c r="AM719" s="6" t="s">
        <v>145</v>
      </c>
      <c r="AN719" s="6" t="s">
        <v>2097</v>
      </c>
      <c r="AO719" s="6"/>
      <c r="AP719" s="6"/>
      <c r="AQ719" s="6"/>
      <c r="AR719" s="6"/>
      <c r="AS719" s="6">
        <v>2015</v>
      </c>
      <c r="AT719" s="6">
        <v>42</v>
      </c>
      <c r="AU719" s="6">
        <v>2</v>
      </c>
      <c r="AV719" s="6"/>
      <c r="AW719" s="6"/>
      <c r="AX719" s="6"/>
      <c r="AY719" s="6"/>
      <c r="AZ719" s="6">
        <v>263</v>
      </c>
      <c r="BA719" s="6">
        <v>278</v>
      </c>
      <c r="BB719" s="6"/>
      <c r="BC719" s="6" t="s">
        <v>2098</v>
      </c>
      <c r="BD719" s="9" t="str">
        <f>HYPERLINK("http://dx.doi.org/10.1068/b39136","http://dx.doi.org/10.1068/b39136")</f>
        <v>http://dx.doi.org/10.1068/b39136</v>
      </c>
      <c r="BE719" s="6"/>
      <c r="BF719" s="6"/>
      <c r="BG719" s="6"/>
      <c r="BH719" s="6"/>
      <c r="BI719" s="6"/>
      <c r="BJ719" s="6" t="s">
        <v>2099</v>
      </c>
      <c r="BK719" s="6"/>
      <c r="BL719" s="6"/>
      <c r="BM719" s="6"/>
      <c r="BN719" s="6"/>
      <c r="BO719" s="6"/>
      <c r="BP719" s="6"/>
      <c r="BQ719" s="6"/>
      <c r="BR719" s="6"/>
      <c r="BS719" s="6"/>
      <c r="BT719" s="6"/>
      <c r="BU719" s="8" t="s">
        <v>7347</v>
      </c>
      <c r="BV719" s="8" t="s">
        <v>7188</v>
      </c>
      <c r="BW719" s="8" t="s">
        <v>7189</v>
      </c>
    </row>
    <row r="720" spans="1:75" ht="12.75" customHeight="1">
      <c r="A720" s="3" t="s">
        <v>63</v>
      </c>
      <c r="B720" s="3" t="s">
        <v>4024</v>
      </c>
      <c r="C720" s="3"/>
      <c r="D720" s="3"/>
      <c r="E720" s="3"/>
      <c r="F720" s="3" t="s">
        <v>4025</v>
      </c>
      <c r="G720" s="3"/>
      <c r="H720" s="3"/>
      <c r="I720" s="3" t="s">
        <v>4026</v>
      </c>
      <c r="J720" s="3" t="s">
        <v>4027</v>
      </c>
      <c r="K720" s="3"/>
      <c r="L720" s="3"/>
      <c r="M720" s="3"/>
      <c r="N720" s="3"/>
      <c r="O720" s="3"/>
      <c r="P720" s="3"/>
      <c r="Q720" s="3"/>
      <c r="R720" s="3"/>
      <c r="S720" s="3"/>
      <c r="T720" s="3" t="s">
        <v>4028</v>
      </c>
      <c r="U720" s="3"/>
      <c r="V720" s="3"/>
      <c r="W720" s="3"/>
      <c r="X720" s="3"/>
      <c r="Y720" s="3" t="s">
        <v>4029</v>
      </c>
      <c r="Z720" s="3" t="s">
        <v>4030</v>
      </c>
      <c r="AA720" s="3"/>
      <c r="AB720" s="3"/>
      <c r="AC720" s="3"/>
      <c r="AD720" s="3"/>
      <c r="AE720" s="3"/>
      <c r="AF720" s="3"/>
      <c r="AG720" s="3"/>
      <c r="AH720" s="3"/>
      <c r="AI720" s="3"/>
      <c r="AJ720" s="3"/>
      <c r="AK720" s="3"/>
      <c r="AL720" s="3"/>
      <c r="AM720" s="3" t="s">
        <v>4031</v>
      </c>
      <c r="AN720" s="3" t="s">
        <v>4032</v>
      </c>
      <c r="AO720" s="3"/>
      <c r="AP720" s="3"/>
      <c r="AQ720" s="3"/>
      <c r="AR720" s="3" t="s">
        <v>66</v>
      </c>
      <c r="AS720" s="3">
        <v>2019</v>
      </c>
      <c r="AT720" s="3">
        <v>46</v>
      </c>
      <c r="AU720" s="3">
        <v>5</v>
      </c>
      <c r="AV720" s="3"/>
      <c r="AW720" s="3"/>
      <c r="AX720" s="3"/>
      <c r="AY720" s="3"/>
      <c r="AZ720" s="3">
        <v>897</v>
      </c>
      <c r="BA720" s="3">
        <v>913</v>
      </c>
      <c r="BB720" s="3"/>
      <c r="BC720" s="3" t="s">
        <v>4033</v>
      </c>
      <c r="BD720" s="15" t="str">
        <f>HYPERLINK("http://dx.doi.org/10.1177/2399808317736528","http://dx.doi.org/10.1177/2399808317736528")</f>
        <v>http://dx.doi.org/10.1177/2399808317736528</v>
      </c>
      <c r="BE720" s="3"/>
      <c r="BF720" s="3"/>
      <c r="BG720" s="3"/>
      <c r="BH720" s="3"/>
      <c r="BI720" s="3"/>
      <c r="BJ720" s="3" t="s">
        <v>4034</v>
      </c>
      <c r="BK720" s="3"/>
      <c r="BL720" s="3"/>
      <c r="BM720" s="3"/>
      <c r="BN720" s="3"/>
      <c r="BO720" s="3"/>
      <c r="BP720" s="3"/>
      <c r="BQ720" s="3"/>
      <c r="BR720" s="3"/>
      <c r="BS720" s="3"/>
      <c r="BT720" s="3"/>
      <c r="BU720" s="1" t="s">
        <v>7480</v>
      </c>
      <c r="BV720" s="2" t="s">
        <v>7481</v>
      </c>
      <c r="BW720" s="2" t="s">
        <v>7387</v>
      </c>
    </row>
    <row r="721" spans="1:75" ht="12.75" customHeight="1">
      <c r="A721" s="6" t="s">
        <v>201</v>
      </c>
      <c r="B721" s="6" t="s">
        <v>4566</v>
      </c>
      <c r="C721" s="6"/>
      <c r="D721" s="6" t="s">
        <v>4567</v>
      </c>
      <c r="E721" s="6"/>
      <c r="F721" s="6" t="s">
        <v>4568</v>
      </c>
      <c r="G721" s="6"/>
      <c r="H721" s="6"/>
      <c r="I721" s="6" t="s">
        <v>4569</v>
      </c>
      <c r="J721" s="6" t="s">
        <v>4570</v>
      </c>
      <c r="K721" s="6"/>
      <c r="L721" s="6"/>
      <c r="M721" s="6"/>
      <c r="N721" s="6" t="s">
        <v>4571</v>
      </c>
      <c r="O721" s="6" t="s">
        <v>4487</v>
      </c>
      <c r="P721" s="6"/>
      <c r="Q721" s="6"/>
      <c r="R721" s="6"/>
      <c r="S721" s="6"/>
      <c r="T721" s="6" t="s">
        <v>4572</v>
      </c>
      <c r="U721" s="6"/>
      <c r="V721" s="6"/>
      <c r="W721" s="6"/>
      <c r="X721" s="6"/>
      <c r="Y721" s="6"/>
      <c r="Z721" s="6"/>
      <c r="AA721" s="6"/>
      <c r="AB721" s="6"/>
      <c r="AC721" s="6"/>
      <c r="AD721" s="6"/>
      <c r="AE721" s="6"/>
      <c r="AF721" s="6"/>
      <c r="AG721" s="6"/>
      <c r="AH721" s="6"/>
      <c r="AI721" s="6"/>
      <c r="AJ721" s="6"/>
      <c r="AK721" s="6"/>
      <c r="AL721" s="6"/>
      <c r="AM721" s="6"/>
      <c r="AN721" s="6"/>
      <c r="AO721" s="6" t="s">
        <v>4573</v>
      </c>
      <c r="AP721" s="6"/>
      <c r="AQ721" s="6"/>
      <c r="AR721" s="6"/>
      <c r="AS721" s="6">
        <v>2020</v>
      </c>
      <c r="AT721" s="6"/>
      <c r="AU721" s="6"/>
      <c r="AV721" s="6"/>
      <c r="AW721" s="6"/>
      <c r="AX721" s="6"/>
      <c r="AY721" s="6"/>
      <c r="AZ721" s="6">
        <v>21</v>
      </c>
      <c r="BA721" s="6">
        <v>32</v>
      </c>
      <c r="BB721" s="6"/>
      <c r="BC721" s="6" t="s">
        <v>4574</v>
      </c>
      <c r="BD721" s="9" t="str">
        <f>HYPERLINK("http://dx.doi.org/10.5220/0008863900210032","http://dx.doi.org/10.5220/0008863900210032")</f>
        <v>http://dx.doi.org/10.5220/0008863900210032</v>
      </c>
      <c r="BE721" s="6"/>
      <c r="BF721" s="6"/>
      <c r="BG721" s="6"/>
      <c r="BH721" s="6"/>
      <c r="BI721" s="6"/>
      <c r="BJ721" s="6" t="s">
        <v>4575</v>
      </c>
      <c r="BK721" s="6"/>
      <c r="BL721" s="6"/>
      <c r="BM721" s="6"/>
      <c r="BN721" s="6"/>
      <c r="BO721" s="6"/>
      <c r="BP721" s="6"/>
      <c r="BQ721" s="6"/>
      <c r="BR721" s="6"/>
      <c r="BS721" s="6"/>
      <c r="BT721" s="6"/>
      <c r="BU721" s="8" t="s">
        <v>7225</v>
      </c>
      <c r="BV721" s="8" t="s">
        <v>7188</v>
      </c>
      <c r="BW721" s="8" t="s">
        <v>7189</v>
      </c>
    </row>
    <row r="722" spans="1:75" ht="12.75" customHeight="1">
      <c r="A722" s="4" t="s">
        <v>63</v>
      </c>
      <c r="B722" s="4" t="s">
        <v>2579</v>
      </c>
      <c r="C722" s="4"/>
      <c r="D722" s="4"/>
      <c r="E722" s="4"/>
      <c r="F722" s="4" t="s">
        <v>2580</v>
      </c>
      <c r="G722" s="4"/>
      <c r="H722" s="4"/>
      <c r="I722" s="4" t="s">
        <v>2581</v>
      </c>
      <c r="J722" s="4" t="s">
        <v>2582</v>
      </c>
      <c r="K722" s="4"/>
      <c r="L722" s="4"/>
      <c r="M722" s="4"/>
      <c r="N722" s="4"/>
      <c r="O722" s="4"/>
      <c r="P722" s="4"/>
      <c r="Q722" s="4"/>
      <c r="R722" s="4"/>
      <c r="S722" s="4"/>
      <c r="T722" s="4" t="s">
        <v>2583</v>
      </c>
      <c r="U722" s="4"/>
      <c r="V722" s="4"/>
      <c r="W722" s="4"/>
      <c r="X722" s="4"/>
      <c r="Y722" s="4"/>
      <c r="Z722" s="4"/>
      <c r="AA722" s="4"/>
      <c r="AB722" s="4"/>
      <c r="AC722" s="4"/>
      <c r="AD722" s="4"/>
      <c r="AE722" s="4"/>
      <c r="AF722" s="4"/>
      <c r="AG722" s="4"/>
      <c r="AH722" s="4"/>
      <c r="AI722" s="4"/>
      <c r="AJ722" s="4"/>
      <c r="AK722" s="4"/>
      <c r="AL722" s="4"/>
      <c r="AM722" s="4" t="s">
        <v>2584</v>
      </c>
      <c r="AN722" s="4" t="s">
        <v>2585</v>
      </c>
      <c r="AO722" s="4"/>
      <c r="AP722" s="4"/>
      <c r="AQ722" s="4"/>
      <c r="AR722" s="4" t="s">
        <v>81</v>
      </c>
      <c r="AS722" s="4">
        <v>2016</v>
      </c>
      <c r="AT722" s="4">
        <v>45</v>
      </c>
      <c r="AU722" s="4">
        <v>1</v>
      </c>
      <c r="AV722" s="4"/>
      <c r="AW722" s="4"/>
      <c r="AX722" s="4"/>
      <c r="AY722" s="4"/>
      <c r="AZ722" s="4">
        <v>18</v>
      </c>
      <c r="BA722" s="4">
        <v>25</v>
      </c>
      <c r="BB722" s="4"/>
      <c r="BC722" s="4" t="s">
        <v>2586</v>
      </c>
      <c r="BD722" s="5" t="str">
        <f>HYPERLINK("http://dx.doi.org/10.2134/jeq2015.04.0192","http://dx.doi.org/10.2134/jeq2015.04.0192")</f>
        <v>http://dx.doi.org/10.2134/jeq2015.04.0192</v>
      </c>
      <c r="BE722" s="4"/>
      <c r="BF722" s="4"/>
      <c r="BG722" s="4"/>
      <c r="BH722" s="4"/>
      <c r="BI722" s="4">
        <v>26828156</v>
      </c>
      <c r="BJ722" s="4" t="s">
        <v>2587</v>
      </c>
      <c r="BK722" s="4"/>
      <c r="BL722" s="4"/>
      <c r="BM722" s="4"/>
      <c r="BN722" s="4"/>
      <c r="BO722" s="4"/>
      <c r="BP722" s="4"/>
      <c r="BQ722" s="4"/>
      <c r="BR722" s="4"/>
      <c r="BS722" s="4"/>
      <c r="BT722" s="4"/>
      <c r="BU722" s="12" t="s">
        <v>7271</v>
      </c>
      <c r="BV722" s="12" t="s">
        <v>7188</v>
      </c>
      <c r="BW722" s="12" t="s">
        <v>7189</v>
      </c>
    </row>
    <row r="723" spans="1:75" ht="12.75" customHeight="1">
      <c r="A723" s="4" t="s">
        <v>63</v>
      </c>
      <c r="B723" s="4" t="s">
        <v>6474</v>
      </c>
      <c r="C723" s="4"/>
      <c r="D723" s="4"/>
      <c r="E723" s="4"/>
      <c r="F723" s="4" t="s">
        <v>6475</v>
      </c>
      <c r="G723" s="4"/>
      <c r="H723" s="4"/>
      <c r="I723" s="4" t="s">
        <v>6476</v>
      </c>
      <c r="J723" s="4" t="s">
        <v>6477</v>
      </c>
      <c r="K723" s="4"/>
      <c r="L723" s="4"/>
      <c r="M723" s="4"/>
      <c r="N723" s="4"/>
      <c r="O723" s="4"/>
      <c r="P723" s="4"/>
      <c r="Q723" s="4"/>
      <c r="R723" s="4"/>
      <c r="S723" s="4"/>
      <c r="T723" s="4" t="s">
        <v>6478</v>
      </c>
      <c r="U723" s="4"/>
      <c r="V723" s="4"/>
      <c r="W723" s="4"/>
      <c r="X723" s="4"/>
      <c r="Y723" s="4" t="s">
        <v>6479</v>
      </c>
      <c r="Z723" s="4" t="s">
        <v>6480</v>
      </c>
      <c r="AA723" s="4"/>
      <c r="AB723" s="4"/>
      <c r="AC723" s="4"/>
      <c r="AD723" s="4"/>
      <c r="AE723" s="4"/>
      <c r="AF723" s="4"/>
      <c r="AG723" s="4"/>
      <c r="AH723" s="4"/>
      <c r="AI723" s="4"/>
      <c r="AJ723" s="4"/>
      <c r="AK723" s="4"/>
      <c r="AL723" s="4"/>
      <c r="AM723" s="4" t="s">
        <v>6481</v>
      </c>
      <c r="AN723" s="4" t="s">
        <v>6482</v>
      </c>
      <c r="AO723" s="4"/>
      <c r="AP723" s="4"/>
      <c r="AQ723" s="4"/>
      <c r="AR723" s="4" t="s">
        <v>6483</v>
      </c>
      <c r="AS723" s="4">
        <v>2023</v>
      </c>
      <c r="AT723" s="4">
        <v>36</v>
      </c>
      <c r="AU723" s="4">
        <v>5</v>
      </c>
      <c r="AV723" s="4"/>
      <c r="AW723" s="4"/>
      <c r="AX723" s="4"/>
      <c r="AY723" s="4"/>
      <c r="AZ723" s="4">
        <v>232</v>
      </c>
      <c r="BA723" s="4">
        <v>239</v>
      </c>
      <c r="BB723" s="4"/>
      <c r="BC723" s="4" t="s">
        <v>6484</v>
      </c>
      <c r="BD723" s="5" t="str">
        <f>HYPERLINK("http://dx.doi.org/10.1093/ajh/hpad010","http://dx.doi.org/10.1093/ajh/hpad010")</f>
        <v>http://dx.doi.org/10.1093/ajh/hpad010</v>
      </c>
      <c r="BE723" s="4"/>
      <c r="BF723" s="4"/>
      <c r="BG723" s="4"/>
      <c r="BH723" s="4"/>
      <c r="BI723" s="4">
        <v>37061798</v>
      </c>
      <c r="BJ723" s="4" t="s">
        <v>6485</v>
      </c>
      <c r="BK723" s="4"/>
      <c r="BL723" s="4"/>
      <c r="BM723" s="4"/>
      <c r="BN723" s="4"/>
      <c r="BO723" s="4"/>
      <c r="BP723" s="4"/>
      <c r="BQ723" s="4"/>
      <c r="BR723" s="4"/>
      <c r="BS723" s="4"/>
      <c r="BT723" s="4"/>
      <c r="BU723" s="12" t="s">
        <v>7193</v>
      </c>
      <c r="BV723" s="12" t="s">
        <v>7188</v>
      </c>
      <c r="BW723" s="12" t="s">
        <v>7189</v>
      </c>
    </row>
    <row r="724" spans="1:75" ht="12.75" customHeight="1">
      <c r="A724" s="4" t="s">
        <v>63</v>
      </c>
      <c r="B724" s="4" t="s">
        <v>7066</v>
      </c>
      <c r="C724" s="4"/>
      <c r="D724" s="4"/>
      <c r="E724" s="4"/>
      <c r="F724" s="4" t="s">
        <v>7067</v>
      </c>
      <c r="G724" s="4"/>
      <c r="H724" s="4"/>
      <c r="I724" s="4" t="s">
        <v>7068</v>
      </c>
      <c r="J724" s="4" t="s">
        <v>7069</v>
      </c>
      <c r="K724" s="4"/>
      <c r="L724" s="4"/>
      <c r="M724" s="4"/>
      <c r="N724" s="4"/>
      <c r="O724" s="4"/>
      <c r="P724" s="4"/>
      <c r="Q724" s="4"/>
      <c r="R724" s="4"/>
      <c r="S724" s="4"/>
      <c r="T724" s="4" t="s">
        <v>7070</v>
      </c>
      <c r="U724" s="4"/>
      <c r="V724" s="4"/>
      <c r="W724" s="4"/>
      <c r="X724" s="4"/>
      <c r="Y724" s="4"/>
      <c r="Z724" s="4"/>
      <c r="AA724" s="4"/>
      <c r="AB724" s="4"/>
      <c r="AC724" s="4"/>
      <c r="AD724" s="4"/>
      <c r="AE724" s="4"/>
      <c r="AF724" s="4"/>
      <c r="AG724" s="4"/>
      <c r="AH724" s="4"/>
      <c r="AI724" s="4"/>
      <c r="AJ724" s="4"/>
      <c r="AK724" s="4"/>
      <c r="AL724" s="4"/>
      <c r="AM724" s="4" t="s">
        <v>7071</v>
      </c>
      <c r="AN724" s="4" t="s">
        <v>7072</v>
      </c>
      <c r="AO724" s="4"/>
      <c r="AP724" s="4"/>
      <c r="AQ724" s="4"/>
      <c r="AR724" s="4" t="s">
        <v>173</v>
      </c>
      <c r="AS724" s="4">
        <v>2024</v>
      </c>
      <c r="AT724" s="4">
        <v>74</v>
      </c>
      <c r="AU724" s="4">
        <v>1</v>
      </c>
      <c r="AV724" s="4"/>
      <c r="AW724" s="4"/>
      <c r="AX724" s="4"/>
      <c r="AY724" s="4"/>
      <c r="AZ724" s="4">
        <v>31</v>
      </c>
      <c r="BA724" s="4">
        <v>43</v>
      </c>
      <c r="BB724" s="4"/>
      <c r="BC724" s="4" t="s">
        <v>7073</v>
      </c>
      <c r="BD724" s="5" t="str">
        <f>HYPERLINK("http://dx.doi.org/10.1007/s00466-023-02421-9","http://dx.doi.org/10.1007/s00466-023-02421-9")</f>
        <v>http://dx.doi.org/10.1007/s00466-023-02421-9</v>
      </c>
      <c r="BE724" s="4"/>
      <c r="BF724" s="4" t="s">
        <v>6629</v>
      </c>
      <c r="BG724" s="4"/>
      <c r="BH724" s="4"/>
      <c r="BI724" s="4"/>
      <c r="BJ724" s="4" t="s">
        <v>7074</v>
      </c>
      <c r="BK724" s="4"/>
      <c r="BL724" s="4"/>
      <c r="BM724" s="4"/>
      <c r="BN724" s="4"/>
      <c r="BO724" s="4"/>
      <c r="BP724" s="4"/>
      <c r="BQ724" s="4"/>
      <c r="BR724" s="4"/>
      <c r="BS724" s="4"/>
      <c r="BT724" s="4"/>
      <c r="BU724" s="12" t="s">
        <v>7209</v>
      </c>
      <c r="BV724" s="12" t="s">
        <v>7209</v>
      </c>
      <c r="BW724" s="12" t="s">
        <v>7209</v>
      </c>
    </row>
    <row r="725" spans="1:75" ht="12.75" customHeight="1">
      <c r="A725" s="3" t="s">
        <v>63</v>
      </c>
      <c r="B725" s="3" t="s">
        <v>6486</v>
      </c>
      <c r="C725" s="3"/>
      <c r="D725" s="3"/>
      <c r="E725" s="3"/>
      <c r="F725" s="3" t="s">
        <v>6487</v>
      </c>
      <c r="G725" s="3"/>
      <c r="H725" s="3"/>
      <c r="I725" s="3" t="s">
        <v>6488</v>
      </c>
      <c r="J725" s="3" t="s">
        <v>6489</v>
      </c>
      <c r="K725" s="3"/>
      <c r="L725" s="3"/>
      <c r="M725" s="3"/>
      <c r="N725" s="3"/>
      <c r="O725" s="3"/>
      <c r="P725" s="3"/>
      <c r="Q725" s="3"/>
      <c r="R725" s="3"/>
      <c r="S725" s="3"/>
      <c r="T725" s="3" t="s">
        <v>6490</v>
      </c>
      <c r="U725" s="3"/>
      <c r="V725" s="3"/>
      <c r="W725" s="3"/>
      <c r="X725" s="3"/>
      <c r="Y725" s="3" t="s">
        <v>6491</v>
      </c>
      <c r="Z725" s="3" t="s">
        <v>6492</v>
      </c>
      <c r="AA725" s="3"/>
      <c r="AB725" s="3"/>
      <c r="AC725" s="3"/>
      <c r="AD725" s="3"/>
      <c r="AE725" s="3"/>
      <c r="AF725" s="3"/>
      <c r="AG725" s="3"/>
      <c r="AH725" s="3"/>
      <c r="AI725" s="3"/>
      <c r="AJ725" s="3"/>
      <c r="AK725" s="3"/>
      <c r="AL725" s="3"/>
      <c r="AM725" s="3" t="s">
        <v>6493</v>
      </c>
      <c r="AN725" s="3" t="s">
        <v>6494</v>
      </c>
      <c r="AO725" s="3"/>
      <c r="AP725" s="3"/>
      <c r="AQ725" s="3"/>
      <c r="AR725" s="3" t="s">
        <v>6495</v>
      </c>
      <c r="AS725" s="3">
        <v>2023</v>
      </c>
      <c r="AT725" s="3"/>
      <c r="AU725" s="3"/>
      <c r="AV725" s="3"/>
      <c r="AW725" s="3"/>
      <c r="AX725" s="3"/>
      <c r="AY725" s="3"/>
      <c r="AZ725" s="3"/>
      <c r="BA725" s="3"/>
      <c r="BB725" s="3"/>
      <c r="BC725" s="3" t="s">
        <v>6496</v>
      </c>
      <c r="BD725" s="15" t="str">
        <f>HYPERLINK("http://dx.doi.org/10.1111/mcn.13513","http://dx.doi.org/10.1111/mcn.13513")</f>
        <v>http://dx.doi.org/10.1111/mcn.13513</v>
      </c>
      <c r="BE725" s="3"/>
      <c r="BF725" s="3" t="s">
        <v>6075</v>
      </c>
      <c r="BG725" s="3"/>
      <c r="BH725" s="3"/>
      <c r="BI725" s="3">
        <v>37097115</v>
      </c>
      <c r="BJ725" s="3" t="s">
        <v>6497</v>
      </c>
      <c r="BK725" s="3"/>
      <c r="BL725" s="3"/>
      <c r="BM725" s="3"/>
      <c r="BN725" s="3"/>
      <c r="BO725" s="3"/>
      <c r="BP725" s="3"/>
      <c r="BQ725" s="3"/>
      <c r="BR725" s="3"/>
      <c r="BS725" s="3"/>
      <c r="BT725" s="3"/>
      <c r="BU725" s="2" t="s">
        <v>7209</v>
      </c>
      <c r="BV725" s="2" t="s">
        <v>7209</v>
      </c>
      <c r="BW725" s="2" t="s">
        <v>7209</v>
      </c>
    </row>
    <row r="726" spans="1:75" ht="12.75" customHeight="1">
      <c r="A726" s="6" t="s">
        <v>63</v>
      </c>
      <c r="B726" s="6" t="s">
        <v>2100</v>
      </c>
      <c r="C726" s="6"/>
      <c r="D726" s="6"/>
      <c r="E726" s="6"/>
      <c r="F726" s="6" t="s">
        <v>2101</v>
      </c>
      <c r="G726" s="6"/>
      <c r="H726" s="6"/>
      <c r="I726" s="6" t="s">
        <v>2102</v>
      </c>
      <c r="J726" s="6" t="s">
        <v>502</v>
      </c>
      <c r="K726" s="6"/>
      <c r="L726" s="6"/>
      <c r="M726" s="6"/>
      <c r="N726" s="6"/>
      <c r="O726" s="6"/>
      <c r="P726" s="6"/>
      <c r="Q726" s="6"/>
      <c r="R726" s="6"/>
      <c r="S726" s="6"/>
      <c r="T726" s="6" t="s">
        <v>2103</v>
      </c>
      <c r="U726" s="6"/>
      <c r="V726" s="6"/>
      <c r="W726" s="6"/>
      <c r="X726" s="6"/>
      <c r="Y726" s="6"/>
      <c r="Z726" s="6"/>
      <c r="AA726" s="6"/>
      <c r="AB726" s="6"/>
      <c r="AC726" s="6"/>
      <c r="AD726" s="6"/>
      <c r="AE726" s="6"/>
      <c r="AF726" s="6"/>
      <c r="AG726" s="6"/>
      <c r="AH726" s="6"/>
      <c r="AI726" s="6"/>
      <c r="AJ726" s="6"/>
      <c r="AK726" s="6"/>
      <c r="AL726" s="6"/>
      <c r="AM726" s="6" t="s">
        <v>506</v>
      </c>
      <c r="AN726" s="6" t="s">
        <v>507</v>
      </c>
      <c r="AO726" s="6"/>
      <c r="AP726" s="6"/>
      <c r="AQ726" s="6"/>
      <c r="AR726" s="6" t="s">
        <v>121</v>
      </c>
      <c r="AS726" s="6">
        <v>2015</v>
      </c>
      <c r="AT726" s="6">
        <v>92</v>
      </c>
      <c r="AU726" s="6">
        <v>4</v>
      </c>
      <c r="AV726" s="6"/>
      <c r="AW726" s="6"/>
      <c r="AX726" s="6"/>
      <c r="AY726" s="6"/>
      <c r="AZ726" s="6">
        <v>605</v>
      </c>
      <c r="BA726" s="6">
        <v>610</v>
      </c>
      <c r="BB726" s="6"/>
      <c r="BC726" s="6" t="s">
        <v>2104</v>
      </c>
      <c r="BD726" s="9" t="str">
        <f>HYPERLINK("http://dx.doi.org/10.1007/s11524-015-9969-9","http://dx.doi.org/10.1007/s11524-015-9969-9")</f>
        <v>http://dx.doi.org/10.1007/s11524-015-9969-9</v>
      </c>
      <c r="BE726" s="6"/>
      <c r="BF726" s="6"/>
      <c r="BG726" s="6"/>
      <c r="BH726" s="6"/>
      <c r="BI726" s="6">
        <v>25985844</v>
      </c>
      <c r="BJ726" s="6" t="s">
        <v>2105</v>
      </c>
      <c r="BK726" s="6"/>
      <c r="BL726" s="6"/>
      <c r="BM726" s="6"/>
      <c r="BN726" s="6"/>
      <c r="BO726" s="6"/>
      <c r="BP726" s="6"/>
      <c r="BQ726" s="6"/>
      <c r="BR726" s="6"/>
      <c r="BS726" s="6"/>
      <c r="BT726" s="6"/>
      <c r="BU726" s="8" t="s">
        <v>7291</v>
      </c>
      <c r="BV726" s="8" t="s">
        <v>7188</v>
      </c>
      <c r="BW726" s="8" t="s">
        <v>7189</v>
      </c>
    </row>
    <row r="727" spans="1:75" ht="12.75" customHeight="1">
      <c r="A727" s="3" t="s">
        <v>63</v>
      </c>
      <c r="B727" s="3" t="s">
        <v>1654</v>
      </c>
      <c r="C727" s="3"/>
      <c r="D727" s="3"/>
      <c r="E727" s="3"/>
      <c r="F727" s="3" t="s">
        <v>1655</v>
      </c>
      <c r="G727" s="3"/>
      <c r="H727" s="3"/>
      <c r="I727" s="3" t="s">
        <v>2106</v>
      </c>
      <c r="J727" s="3" t="s">
        <v>373</v>
      </c>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t="s">
        <v>376</v>
      </c>
      <c r="AN727" s="3"/>
      <c r="AO727" s="3"/>
      <c r="AP727" s="3"/>
      <c r="AQ727" s="3"/>
      <c r="AR727" s="3" t="s">
        <v>445</v>
      </c>
      <c r="AS727" s="3">
        <v>2015</v>
      </c>
      <c r="AT727" s="3">
        <v>12</v>
      </c>
      <c r="AU727" s="3"/>
      <c r="AV727" s="3"/>
      <c r="AW727" s="3"/>
      <c r="AX727" s="3"/>
      <c r="AY727" s="3"/>
      <c r="AZ727" s="3"/>
      <c r="BA727" s="3"/>
      <c r="BB727" s="3">
        <v>150352</v>
      </c>
      <c r="BC727" s="3" t="s">
        <v>2107</v>
      </c>
      <c r="BD727" s="15" t="str">
        <f>HYPERLINK("http://dx.doi.org/10.5888/pcd12.150352","http://dx.doi.org/10.5888/pcd12.150352")</f>
        <v>http://dx.doi.org/10.5888/pcd12.150352</v>
      </c>
      <c r="BE727" s="3"/>
      <c r="BF727" s="3"/>
      <c r="BG727" s="3"/>
      <c r="BH727" s="3"/>
      <c r="BI727" s="3">
        <v>26334716</v>
      </c>
      <c r="BJ727" s="3" t="s">
        <v>2108</v>
      </c>
      <c r="BK727" s="3"/>
      <c r="BL727" s="3"/>
      <c r="BM727" s="3"/>
      <c r="BN727" s="3"/>
      <c r="BO727" s="3"/>
      <c r="BP727" s="3"/>
      <c r="BQ727" s="3"/>
      <c r="BR727" s="3"/>
      <c r="BS727" s="3"/>
      <c r="BT727" s="3"/>
      <c r="BU727" s="1" t="s">
        <v>7376</v>
      </c>
      <c r="BV727" s="2" t="s">
        <v>7188</v>
      </c>
      <c r="BW727" s="2" t="s">
        <v>7189</v>
      </c>
    </row>
    <row r="728" spans="1:75" ht="12.75" customHeight="1">
      <c r="A728" s="4" t="s">
        <v>63</v>
      </c>
      <c r="B728" s="4" t="s">
        <v>5875</v>
      </c>
      <c r="C728" s="4"/>
      <c r="D728" s="4"/>
      <c r="E728" s="4"/>
      <c r="F728" s="4" t="s">
        <v>5876</v>
      </c>
      <c r="G728" s="4"/>
      <c r="H728" s="4"/>
      <c r="I728" s="4" t="s">
        <v>5877</v>
      </c>
      <c r="J728" s="4" t="s">
        <v>1142</v>
      </c>
      <c r="K728" s="4"/>
      <c r="L728" s="4"/>
      <c r="M728" s="4"/>
      <c r="N728" s="4"/>
      <c r="O728" s="4"/>
      <c r="P728" s="4"/>
      <c r="Q728" s="4"/>
      <c r="R728" s="4"/>
      <c r="S728" s="4"/>
      <c r="T728" s="4" t="s">
        <v>5878</v>
      </c>
      <c r="U728" s="4"/>
      <c r="V728" s="4"/>
      <c r="W728" s="4"/>
      <c r="X728" s="4"/>
      <c r="Y728" s="4" t="s">
        <v>5879</v>
      </c>
      <c r="Z728" s="4" t="s">
        <v>5880</v>
      </c>
      <c r="AA728" s="4"/>
      <c r="AB728" s="4"/>
      <c r="AC728" s="4"/>
      <c r="AD728" s="4"/>
      <c r="AE728" s="4"/>
      <c r="AF728" s="4"/>
      <c r="AG728" s="4"/>
      <c r="AH728" s="4"/>
      <c r="AI728" s="4"/>
      <c r="AJ728" s="4"/>
      <c r="AK728" s="4"/>
      <c r="AL728" s="4"/>
      <c r="AM728" s="4"/>
      <c r="AN728" s="4" t="s">
        <v>1144</v>
      </c>
      <c r="AO728" s="4"/>
      <c r="AP728" s="4"/>
      <c r="AQ728" s="4"/>
      <c r="AR728" s="4" t="s">
        <v>67</v>
      </c>
      <c r="AS728" s="4">
        <v>2022</v>
      </c>
      <c r="AT728" s="4">
        <v>19</v>
      </c>
      <c r="AU728" s="4">
        <v>3</v>
      </c>
      <c r="AV728" s="4"/>
      <c r="AW728" s="4"/>
      <c r="AX728" s="4"/>
      <c r="AY728" s="4"/>
      <c r="AZ728" s="4"/>
      <c r="BA728" s="4"/>
      <c r="BB728" s="4">
        <v>1860</v>
      </c>
      <c r="BC728" s="4" t="s">
        <v>5881</v>
      </c>
      <c r="BD728" s="5" t="str">
        <f>HYPERLINK("http://dx.doi.org/10.3390/ijerph19031860","http://dx.doi.org/10.3390/ijerph19031860")</f>
        <v>http://dx.doi.org/10.3390/ijerph19031860</v>
      </c>
      <c r="BE728" s="4"/>
      <c r="BF728" s="4"/>
      <c r="BG728" s="4"/>
      <c r="BH728" s="4"/>
      <c r="BI728" s="4">
        <v>35162882</v>
      </c>
      <c r="BJ728" s="4" t="s">
        <v>5882</v>
      </c>
      <c r="BK728" s="4"/>
      <c r="BL728" s="4"/>
      <c r="BM728" s="4"/>
      <c r="BN728" s="4"/>
      <c r="BO728" s="4"/>
      <c r="BP728" s="4"/>
      <c r="BQ728" s="4"/>
      <c r="BR728" s="4"/>
      <c r="BS728" s="4"/>
      <c r="BT728" s="4"/>
      <c r="BU728" s="12" t="s">
        <v>7303</v>
      </c>
      <c r="BV728" s="12" t="s">
        <v>7188</v>
      </c>
      <c r="BW728" s="12" t="s">
        <v>7189</v>
      </c>
    </row>
    <row r="729" spans="1:75" ht="12.75" customHeight="1">
      <c r="A729" s="4" t="s">
        <v>63</v>
      </c>
      <c r="B729" s="4" t="s">
        <v>6498</v>
      </c>
      <c r="C729" s="4"/>
      <c r="D729" s="4"/>
      <c r="E729" s="4"/>
      <c r="F729" s="4" t="s">
        <v>6499</v>
      </c>
      <c r="G729" s="4"/>
      <c r="H729" s="4"/>
      <c r="I729" s="4" t="s">
        <v>6500</v>
      </c>
      <c r="J729" s="4" t="s">
        <v>6501</v>
      </c>
      <c r="K729" s="4"/>
      <c r="L729" s="4"/>
      <c r="M729" s="4"/>
      <c r="N729" s="4"/>
      <c r="O729" s="4"/>
      <c r="P729" s="4"/>
      <c r="Q729" s="4"/>
      <c r="R729" s="4"/>
      <c r="S729" s="4"/>
      <c r="T729" s="4" t="s">
        <v>6502</v>
      </c>
      <c r="U729" s="4"/>
      <c r="V729" s="4"/>
      <c r="W729" s="4"/>
      <c r="X729" s="4"/>
      <c r="Y729" s="4" t="s">
        <v>6503</v>
      </c>
      <c r="Z729" s="4" t="s">
        <v>6504</v>
      </c>
      <c r="AA729" s="4"/>
      <c r="AB729" s="4"/>
      <c r="AC729" s="4"/>
      <c r="AD729" s="4"/>
      <c r="AE729" s="4"/>
      <c r="AF729" s="4"/>
      <c r="AG729" s="4"/>
      <c r="AH729" s="4"/>
      <c r="AI729" s="4"/>
      <c r="AJ729" s="4"/>
      <c r="AK729" s="4"/>
      <c r="AL729" s="4"/>
      <c r="AM729" s="4" t="s">
        <v>6505</v>
      </c>
      <c r="AN729" s="4" t="s">
        <v>6506</v>
      </c>
      <c r="AO729" s="4"/>
      <c r="AP729" s="4"/>
      <c r="AQ729" s="4"/>
      <c r="AR729" s="4" t="s">
        <v>6507</v>
      </c>
      <c r="AS729" s="4">
        <v>2023</v>
      </c>
      <c r="AT729" s="4">
        <v>316</v>
      </c>
      <c r="AU729" s="4">
        <v>1</v>
      </c>
      <c r="AV729" s="4"/>
      <c r="AW729" s="4"/>
      <c r="AX729" s="4"/>
      <c r="AY729" s="4"/>
      <c r="AZ729" s="4"/>
      <c r="BA729" s="4"/>
      <c r="BB729" s="4">
        <v>32</v>
      </c>
      <c r="BC729" s="4" t="s">
        <v>6508</v>
      </c>
      <c r="BD729" s="5" t="str">
        <f>HYPERLINK("http://dx.doi.org/10.1007/s00403-023-02778-0","http://dx.doi.org/10.1007/s00403-023-02778-0")</f>
        <v>http://dx.doi.org/10.1007/s00403-023-02778-0</v>
      </c>
      <c r="BE729" s="4"/>
      <c r="BF729" s="4"/>
      <c r="BG729" s="4"/>
      <c r="BH729" s="4"/>
      <c r="BI729" s="4">
        <v>38064018</v>
      </c>
      <c r="BJ729" s="4" t="s">
        <v>6509</v>
      </c>
      <c r="BK729" s="4"/>
      <c r="BL729" s="4"/>
      <c r="BM729" s="4"/>
      <c r="BN729" s="4"/>
      <c r="BO729" s="4"/>
      <c r="BP729" s="4"/>
      <c r="BQ729" s="4"/>
      <c r="BR729" s="4"/>
      <c r="BS729" s="4"/>
      <c r="BT729" s="4"/>
      <c r="BU729" s="12" t="s">
        <v>7221</v>
      </c>
      <c r="BV729" s="12" t="s">
        <v>7188</v>
      </c>
      <c r="BW729" s="12" t="s">
        <v>7189</v>
      </c>
    </row>
    <row r="730" spans="1:75" ht="12.75" customHeight="1">
      <c r="A730" s="3" t="s">
        <v>63</v>
      </c>
      <c r="B730" s="3" t="s">
        <v>1660</v>
      </c>
      <c r="C730" s="3"/>
      <c r="D730" s="3"/>
      <c r="E730" s="3"/>
      <c r="F730" s="3" t="s">
        <v>1661</v>
      </c>
      <c r="G730" s="3"/>
      <c r="H730" s="3"/>
      <c r="I730" s="3" t="s">
        <v>1662</v>
      </c>
      <c r="J730" s="3" t="s">
        <v>1663</v>
      </c>
      <c r="K730" s="3"/>
      <c r="L730" s="3"/>
      <c r="M730" s="3"/>
      <c r="N730" s="3"/>
      <c r="O730" s="3"/>
      <c r="P730" s="3"/>
      <c r="Q730" s="3"/>
      <c r="R730" s="3"/>
      <c r="S730" s="3"/>
      <c r="T730" s="3" t="s">
        <v>1664</v>
      </c>
      <c r="U730" s="3"/>
      <c r="V730" s="3"/>
      <c r="W730" s="3"/>
      <c r="X730" s="3"/>
      <c r="Y730" s="3"/>
      <c r="Z730" s="3"/>
      <c r="AA730" s="3"/>
      <c r="AB730" s="3"/>
      <c r="AC730" s="3"/>
      <c r="AD730" s="3"/>
      <c r="AE730" s="3"/>
      <c r="AF730" s="3"/>
      <c r="AG730" s="3"/>
      <c r="AH730" s="3"/>
      <c r="AI730" s="3"/>
      <c r="AJ730" s="3"/>
      <c r="AK730" s="3"/>
      <c r="AL730" s="3"/>
      <c r="AM730" s="3" t="s">
        <v>1665</v>
      </c>
      <c r="AN730" s="3" t="s">
        <v>1666</v>
      </c>
      <c r="AO730" s="3"/>
      <c r="AP730" s="3"/>
      <c r="AQ730" s="3"/>
      <c r="AR730" s="3" t="s">
        <v>64</v>
      </c>
      <c r="AS730" s="3">
        <v>2014</v>
      </c>
      <c r="AT730" s="3">
        <v>5</v>
      </c>
      <c r="AU730" s="3">
        <v>6</v>
      </c>
      <c r="AV730" s="3"/>
      <c r="AW730" s="3"/>
      <c r="AX730" s="3"/>
      <c r="AY730" s="3"/>
      <c r="AZ730" s="3">
        <v>809</v>
      </c>
      <c r="BA730" s="3">
        <v>817</v>
      </c>
      <c r="BB730" s="3"/>
      <c r="BC730" s="3" t="s">
        <v>1667</v>
      </c>
      <c r="BD730" s="15" t="str">
        <f>HYPERLINK("http://dx.doi.org/10.3945/an.114.007070","http://dx.doi.org/10.3945/an.114.007070")</f>
        <v>http://dx.doi.org/10.3945/an.114.007070</v>
      </c>
      <c r="BE730" s="3"/>
      <c r="BF730" s="3"/>
      <c r="BG730" s="3"/>
      <c r="BH730" s="3"/>
      <c r="BI730" s="3">
        <v>25398746</v>
      </c>
      <c r="BJ730" s="3" t="s">
        <v>1668</v>
      </c>
      <c r="BK730" s="3"/>
      <c r="BL730" s="3"/>
      <c r="BM730" s="3"/>
      <c r="BN730" s="3"/>
      <c r="BO730" s="3"/>
      <c r="BP730" s="3"/>
      <c r="BQ730" s="3"/>
      <c r="BR730" s="3"/>
      <c r="BS730" s="3"/>
      <c r="BT730" s="3"/>
      <c r="BU730" s="1" t="s">
        <v>7225</v>
      </c>
      <c r="BV730" s="2" t="s">
        <v>7188</v>
      </c>
      <c r="BW730" s="2" t="s">
        <v>7189</v>
      </c>
    </row>
    <row r="731" spans="1:75" ht="12.75" customHeight="1">
      <c r="A731" s="6" t="s">
        <v>63</v>
      </c>
      <c r="B731" s="6" t="s">
        <v>4035</v>
      </c>
      <c r="C731" s="6"/>
      <c r="D731" s="6"/>
      <c r="E731" s="6"/>
      <c r="F731" s="6" t="s">
        <v>4036</v>
      </c>
      <c r="G731" s="6"/>
      <c r="H731" s="6"/>
      <c r="I731" s="6" t="s">
        <v>4037</v>
      </c>
      <c r="J731" s="6" t="s">
        <v>3693</v>
      </c>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t="s">
        <v>3695</v>
      </c>
      <c r="AN731" s="6" t="s">
        <v>3696</v>
      </c>
      <c r="AO731" s="6"/>
      <c r="AP731" s="6"/>
      <c r="AQ731" s="6"/>
      <c r="AR731" s="6" t="s">
        <v>121</v>
      </c>
      <c r="AS731" s="6">
        <v>2019</v>
      </c>
      <c r="AT731" s="6">
        <v>19</v>
      </c>
      <c r="AU731" s="6">
        <v>3</v>
      </c>
      <c r="AV731" s="6"/>
      <c r="AW731" s="6"/>
      <c r="AX731" s="6" t="s">
        <v>569</v>
      </c>
      <c r="AY731" s="6"/>
      <c r="AZ731" s="6"/>
      <c r="BA731" s="6"/>
      <c r="BB731" s="6" t="s">
        <v>4038</v>
      </c>
      <c r="BC731" s="6" t="s">
        <v>4039</v>
      </c>
      <c r="BD731" s="9" t="str">
        <f>HYPERLINK("http://dx.doi.org/10.1002/pa.1998","http://dx.doi.org/10.1002/pa.1998")</f>
        <v>http://dx.doi.org/10.1002/pa.1998</v>
      </c>
      <c r="BE731" s="6"/>
      <c r="BF731" s="6"/>
      <c r="BG731" s="6"/>
      <c r="BH731" s="6"/>
      <c r="BI731" s="6"/>
      <c r="BJ731" s="6" t="s">
        <v>4040</v>
      </c>
      <c r="BK731" s="6"/>
      <c r="BL731" s="6"/>
      <c r="BM731" s="6"/>
      <c r="BN731" s="6"/>
      <c r="BO731" s="6"/>
      <c r="BP731" s="6"/>
      <c r="BQ731" s="6"/>
      <c r="BR731" s="6"/>
      <c r="BS731" s="6"/>
      <c r="BT731" s="6"/>
      <c r="BU731" s="8" t="s">
        <v>7193</v>
      </c>
      <c r="BV731" s="8" t="s">
        <v>7193</v>
      </c>
      <c r="BW731" s="8" t="s">
        <v>7193</v>
      </c>
    </row>
    <row r="732" spans="1:75" ht="12.75" customHeight="1">
      <c r="A732" s="4" t="s">
        <v>63</v>
      </c>
      <c r="B732" s="4" t="s">
        <v>5883</v>
      </c>
      <c r="C732" s="4"/>
      <c r="D732" s="4"/>
      <c r="E732" s="4"/>
      <c r="F732" s="4" t="s">
        <v>5884</v>
      </c>
      <c r="G732" s="4"/>
      <c r="H732" s="4"/>
      <c r="I732" s="4" t="s">
        <v>5885</v>
      </c>
      <c r="J732" s="4" t="s">
        <v>3721</v>
      </c>
      <c r="K732" s="4"/>
      <c r="L732" s="4"/>
      <c r="M732" s="4"/>
      <c r="N732" s="4"/>
      <c r="O732" s="4"/>
      <c r="P732" s="4"/>
      <c r="Q732" s="4"/>
      <c r="R732" s="4"/>
      <c r="S732" s="4"/>
      <c r="T732" s="4" t="s">
        <v>5886</v>
      </c>
      <c r="U732" s="4"/>
      <c r="V732" s="4"/>
      <c r="W732" s="4"/>
      <c r="X732" s="4"/>
      <c r="Y732" s="4" t="s">
        <v>5887</v>
      </c>
      <c r="Z732" s="4" t="s">
        <v>5888</v>
      </c>
      <c r="AA732" s="4"/>
      <c r="AB732" s="4"/>
      <c r="AC732" s="4"/>
      <c r="AD732" s="4"/>
      <c r="AE732" s="4"/>
      <c r="AF732" s="4"/>
      <c r="AG732" s="4"/>
      <c r="AH732" s="4"/>
      <c r="AI732" s="4"/>
      <c r="AJ732" s="4"/>
      <c r="AK732" s="4"/>
      <c r="AL732" s="4"/>
      <c r="AM732" s="4"/>
      <c r="AN732" s="4" t="s">
        <v>3723</v>
      </c>
      <c r="AO732" s="4"/>
      <c r="AP732" s="4"/>
      <c r="AQ732" s="4"/>
      <c r="AR732" s="4" t="s">
        <v>92</v>
      </c>
      <c r="AS732" s="4">
        <v>2022</v>
      </c>
      <c r="AT732" s="4">
        <v>14</v>
      </c>
      <c r="AU732" s="4">
        <v>19</v>
      </c>
      <c r="AV732" s="4"/>
      <c r="AW732" s="4"/>
      <c r="AX732" s="4"/>
      <c r="AY732" s="4"/>
      <c r="AZ732" s="4"/>
      <c r="BA732" s="4"/>
      <c r="BB732" s="4">
        <v>3954</v>
      </c>
      <c r="BC732" s="4" t="s">
        <v>5889</v>
      </c>
      <c r="BD732" s="5" t="str">
        <f>HYPERLINK("http://dx.doi.org/10.3390/nu14193954","http://dx.doi.org/10.3390/nu14193954")</f>
        <v>http://dx.doi.org/10.3390/nu14193954</v>
      </c>
      <c r="BE732" s="4"/>
      <c r="BF732" s="4"/>
      <c r="BG732" s="4"/>
      <c r="BH732" s="4"/>
      <c r="BI732" s="4">
        <v>36235610</v>
      </c>
      <c r="BJ732" s="4" t="s">
        <v>5890</v>
      </c>
      <c r="BK732" s="4"/>
      <c r="BL732" s="4"/>
      <c r="BM732" s="4"/>
      <c r="BN732" s="4"/>
      <c r="BO732" s="4"/>
      <c r="BP732" s="4"/>
      <c r="BQ732" s="4"/>
      <c r="BR732" s="4"/>
      <c r="BS732" s="4"/>
      <c r="BT732" s="4"/>
      <c r="BU732" s="12" t="s">
        <v>7209</v>
      </c>
      <c r="BV732" s="12" t="s">
        <v>7209</v>
      </c>
      <c r="BW732" s="12" t="s">
        <v>7209</v>
      </c>
    </row>
    <row r="733" spans="1:75" ht="12.75" customHeight="1">
      <c r="A733" s="4" t="s">
        <v>63</v>
      </c>
      <c r="B733" s="4" t="s">
        <v>2109</v>
      </c>
      <c r="C733" s="4"/>
      <c r="D733" s="4"/>
      <c r="E733" s="4"/>
      <c r="F733" s="4" t="s">
        <v>2110</v>
      </c>
      <c r="G733" s="4"/>
      <c r="H733" s="4"/>
      <c r="I733" s="4" t="s">
        <v>2111</v>
      </c>
      <c r="J733" s="4" t="s">
        <v>532</v>
      </c>
      <c r="K733" s="4"/>
      <c r="L733" s="4"/>
      <c r="M733" s="4"/>
      <c r="N733" s="4"/>
      <c r="O733" s="4"/>
      <c r="P733" s="4"/>
      <c r="Q733" s="4"/>
      <c r="R733" s="4"/>
      <c r="S733" s="4"/>
      <c r="T733" s="4" t="s">
        <v>2112</v>
      </c>
      <c r="U733" s="4"/>
      <c r="V733" s="4"/>
      <c r="W733" s="4"/>
      <c r="X733" s="4"/>
      <c r="Y733" s="4"/>
      <c r="Z733" s="4"/>
      <c r="AA733" s="4"/>
      <c r="AB733" s="4"/>
      <c r="AC733" s="4"/>
      <c r="AD733" s="4"/>
      <c r="AE733" s="4"/>
      <c r="AF733" s="4"/>
      <c r="AG733" s="4"/>
      <c r="AH733" s="4"/>
      <c r="AI733" s="4"/>
      <c r="AJ733" s="4"/>
      <c r="AK733" s="4"/>
      <c r="AL733" s="4"/>
      <c r="AM733" s="4" t="s">
        <v>534</v>
      </c>
      <c r="AN733" s="4" t="s">
        <v>535</v>
      </c>
      <c r="AO733" s="4"/>
      <c r="AP733" s="4"/>
      <c r="AQ733" s="4"/>
      <c r="AR733" s="4" t="s">
        <v>279</v>
      </c>
      <c r="AS733" s="4">
        <v>2015</v>
      </c>
      <c r="AT733" s="4">
        <v>5</v>
      </c>
      <c r="AU733" s="4">
        <v>4</v>
      </c>
      <c r="AV733" s="4"/>
      <c r="AW733" s="4"/>
      <c r="AX733" s="4"/>
      <c r="AY733" s="4"/>
      <c r="AZ733" s="4">
        <v>131</v>
      </c>
      <c r="BA733" s="4">
        <v>135</v>
      </c>
      <c r="BB733" s="4"/>
      <c r="BC733" s="4" t="s">
        <v>2113</v>
      </c>
      <c r="BD733" s="5" t="str">
        <f>HYPERLINK("http://dx.doi.org/10.5304/jafscd.2015.054.021","http://dx.doi.org/10.5304/jafscd.2015.054.021")</f>
        <v>http://dx.doi.org/10.5304/jafscd.2015.054.021</v>
      </c>
      <c r="BE733" s="4"/>
      <c r="BF733" s="4"/>
      <c r="BG733" s="4"/>
      <c r="BH733" s="4"/>
      <c r="BI733" s="4"/>
      <c r="BJ733" s="4" t="s">
        <v>2114</v>
      </c>
      <c r="BK733" s="4"/>
      <c r="BL733" s="4"/>
      <c r="BM733" s="4"/>
      <c r="BN733" s="4"/>
      <c r="BO733" s="4"/>
      <c r="BP733" s="4"/>
      <c r="BQ733" s="4"/>
      <c r="BR733" s="4"/>
      <c r="BS733" s="4"/>
      <c r="BT733" s="4"/>
      <c r="BU733" s="12" t="s">
        <v>7201</v>
      </c>
      <c r="BV733" s="12" t="s">
        <v>7188</v>
      </c>
      <c r="BW733" s="12" t="s">
        <v>7189</v>
      </c>
    </row>
    <row r="734" spans="1:75" ht="12.75" customHeight="1">
      <c r="A734" s="4" t="s">
        <v>63</v>
      </c>
      <c r="B734" s="4" t="s">
        <v>1669</v>
      </c>
      <c r="C734" s="4"/>
      <c r="D734" s="4"/>
      <c r="E734" s="4"/>
      <c r="F734" s="4" t="s">
        <v>1670</v>
      </c>
      <c r="G734" s="4"/>
      <c r="H734" s="4"/>
      <c r="I734" s="4" t="s">
        <v>1671</v>
      </c>
      <c r="J734" s="4" t="s">
        <v>1672</v>
      </c>
      <c r="K734" s="4"/>
      <c r="L734" s="4"/>
      <c r="M734" s="4"/>
      <c r="N734" s="4"/>
      <c r="O734" s="4"/>
      <c r="P734" s="4"/>
      <c r="Q734" s="4"/>
      <c r="R734" s="4"/>
      <c r="S734" s="4"/>
      <c r="T734" s="4" t="s">
        <v>1673</v>
      </c>
      <c r="U734" s="4"/>
      <c r="V734" s="4"/>
      <c r="W734" s="4"/>
      <c r="X734" s="4"/>
      <c r="Y734" s="4" t="s">
        <v>1674</v>
      </c>
      <c r="Z734" s="4" t="s">
        <v>1675</v>
      </c>
      <c r="AA734" s="4"/>
      <c r="AB734" s="4"/>
      <c r="AC734" s="4"/>
      <c r="AD734" s="4"/>
      <c r="AE734" s="4"/>
      <c r="AF734" s="4"/>
      <c r="AG734" s="4"/>
      <c r="AH734" s="4"/>
      <c r="AI734" s="4"/>
      <c r="AJ734" s="4"/>
      <c r="AK734" s="4"/>
      <c r="AL734" s="4"/>
      <c r="AM734" s="4" t="s">
        <v>1676</v>
      </c>
      <c r="AN734" s="4" t="s">
        <v>1677</v>
      </c>
      <c r="AO734" s="4"/>
      <c r="AP734" s="4"/>
      <c r="AQ734" s="4"/>
      <c r="AR734" s="4" t="s">
        <v>92</v>
      </c>
      <c r="AS734" s="4">
        <v>2014</v>
      </c>
      <c r="AT734" s="4">
        <v>27</v>
      </c>
      <c r="AU734" s="4">
        <v>5</v>
      </c>
      <c r="AV734" s="4"/>
      <c r="AW734" s="4"/>
      <c r="AX734" s="4"/>
      <c r="AY734" s="4"/>
      <c r="AZ734" s="4">
        <v>787</v>
      </c>
      <c r="BA734" s="4">
        <v>809</v>
      </c>
      <c r="BB734" s="4"/>
      <c r="BC734" s="4" t="s">
        <v>1678</v>
      </c>
      <c r="BD734" s="5" t="str">
        <f>HYPERLINK("http://dx.doi.org/10.1007/s10806-014-9490-2","http://dx.doi.org/10.1007/s10806-014-9490-2")</f>
        <v>http://dx.doi.org/10.1007/s10806-014-9490-2</v>
      </c>
      <c r="BE734" s="4"/>
      <c r="BF734" s="4"/>
      <c r="BG734" s="4"/>
      <c r="BH734" s="4"/>
      <c r="BI734" s="4"/>
      <c r="BJ734" s="4" t="s">
        <v>1679</v>
      </c>
      <c r="BK734" s="4"/>
      <c r="BL734" s="4"/>
      <c r="BM734" s="4"/>
      <c r="BN734" s="4"/>
      <c r="BO734" s="4"/>
      <c r="BP734" s="4"/>
      <c r="BQ734" s="4"/>
      <c r="BR734" s="4"/>
      <c r="BS734" s="4"/>
      <c r="BT734" s="4"/>
      <c r="BU734" s="12" t="s">
        <v>7193</v>
      </c>
      <c r="BV734" s="12" t="s">
        <v>7193</v>
      </c>
      <c r="BW734" s="12" t="s">
        <v>7193</v>
      </c>
    </row>
    <row r="735" spans="1:75" ht="12.75" customHeight="1">
      <c r="A735" s="4" t="s">
        <v>63</v>
      </c>
      <c r="B735" s="4" t="s">
        <v>2115</v>
      </c>
      <c r="C735" s="4"/>
      <c r="D735" s="4"/>
      <c r="E735" s="4"/>
      <c r="F735" s="4" t="s">
        <v>2116</v>
      </c>
      <c r="G735" s="4"/>
      <c r="H735" s="4"/>
      <c r="I735" s="4" t="s">
        <v>2117</v>
      </c>
      <c r="J735" s="4" t="s">
        <v>373</v>
      </c>
      <c r="K735" s="4"/>
      <c r="L735" s="4"/>
      <c r="M735" s="4"/>
      <c r="N735" s="4"/>
      <c r="O735" s="4"/>
      <c r="P735" s="4"/>
      <c r="Q735" s="4"/>
      <c r="R735" s="4"/>
      <c r="S735" s="4"/>
      <c r="T735" s="4" t="s">
        <v>2118</v>
      </c>
      <c r="U735" s="4"/>
      <c r="V735" s="4"/>
      <c r="W735" s="4"/>
      <c r="X735" s="4"/>
      <c r="Y735" s="4" t="s">
        <v>2119</v>
      </c>
      <c r="Z735" s="4" t="s">
        <v>2120</v>
      </c>
      <c r="AA735" s="4"/>
      <c r="AB735" s="4"/>
      <c r="AC735" s="4"/>
      <c r="AD735" s="4"/>
      <c r="AE735" s="4"/>
      <c r="AF735" s="4"/>
      <c r="AG735" s="4"/>
      <c r="AH735" s="4"/>
      <c r="AI735" s="4"/>
      <c r="AJ735" s="4"/>
      <c r="AK735" s="4"/>
      <c r="AL735" s="4"/>
      <c r="AM735" s="4" t="s">
        <v>376</v>
      </c>
      <c r="AN735" s="4"/>
      <c r="AO735" s="4"/>
      <c r="AP735" s="4"/>
      <c r="AQ735" s="4"/>
      <c r="AR735" s="4" t="s">
        <v>133</v>
      </c>
      <c r="AS735" s="4">
        <v>2015</v>
      </c>
      <c r="AT735" s="4">
        <v>12</v>
      </c>
      <c r="AU735" s="4"/>
      <c r="AV735" s="4"/>
      <c r="AW735" s="4"/>
      <c r="AX735" s="4"/>
      <c r="AY735" s="4"/>
      <c r="AZ735" s="4"/>
      <c r="BA735" s="4"/>
      <c r="BB735" s="4" t="s">
        <v>2121</v>
      </c>
      <c r="BC735" s="4" t="s">
        <v>2122</v>
      </c>
      <c r="BD735" s="5" t="str">
        <f>HYPERLINK("http://dx.doi.org/10.5888/pcd12.140404","http://dx.doi.org/10.5888/pcd12.140404")</f>
        <v>http://dx.doi.org/10.5888/pcd12.140404</v>
      </c>
      <c r="BE735" s="4"/>
      <c r="BF735" s="4"/>
      <c r="BG735" s="4"/>
      <c r="BH735" s="4"/>
      <c r="BI735" s="4">
        <v>25611797</v>
      </c>
      <c r="BJ735" s="4" t="s">
        <v>2123</v>
      </c>
      <c r="BK735" s="4"/>
      <c r="BL735" s="4"/>
      <c r="BM735" s="4"/>
      <c r="BN735" s="4"/>
      <c r="BO735" s="4"/>
      <c r="BP735" s="4"/>
      <c r="BQ735" s="4"/>
      <c r="BR735" s="4"/>
      <c r="BS735" s="4"/>
      <c r="BT735" s="4"/>
      <c r="BU735" s="12" t="s">
        <v>7201</v>
      </c>
      <c r="BV735" s="12" t="s">
        <v>7188</v>
      </c>
      <c r="BW735" s="12" t="s">
        <v>7189</v>
      </c>
    </row>
    <row r="736" spans="1:75" ht="12.75" customHeight="1">
      <c r="A736" s="3" t="s">
        <v>63</v>
      </c>
      <c r="B736" s="3" t="s">
        <v>912</v>
      </c>
      <c r="C736" s="3"/>
      <c r="D736" s="3"/>
      <c r="E736" s="3"/>
      <c r="F736" s="3" t="s">
        <v>913</v>
      </c>
      <c r="G736" s="3"/>
      <c r="H736" s="3"/>
      <c r="I736" s="3" t="s">
        <v>914</v>
      </c>
      <c r="J736" s="3" t="s">
        <v>532</v>
      </c>
      <c r="K736" s="3"/>
      <c r="L736" s="3"/>
      <c r="M736" s="3"/>
      <c r="N736" s="3"/>
      <c r="O736" s="3"/>
      <c r="P736" s="3"/>
      <c r="Q736" s="3"/>
      <c r="R736" s="3"/>
      <c r="S736" s="3"/>
      <c r="T736" s="3" t="s">
        <v>915</v>
      </c>
      <c r="U736" s="3"/>
      <c r="V736" s="3"/>
      <c r="W736" s="3"/>
      <c r="X736" s="3"/>
      <c r="Y736" s="3"/>
      <c r="Z736" s="3"/>
      <c r="AA736" s="3"/>
      <c r="AB736" s="3"/>
      <c r="AC736" s="3"/>
      <c r="AD736" s="3"/>
      <c r="AE736" s="3"/>
      <c r="AF736" s="3"/>
      <c r="AG736" s="3"/>
      <c r="AH736" s="3"/>
      <c r="AI736" s="3"/>
      <c r="AJ736" s="3"/>
      <c r="AK736" s="3"/>
      <c r="AL736" s="3"/>
      <c r="AM736" s="3" t="s">
        <v>534</v>
      </c>
      <c r="AN736" s="3" t="s">
        <v>535</v>
      </c>
      <c r="AO736" s="3"/>
      <c r="AP736" s="3"/>
      <c r="AQ736" s="3"/>
      <c r="AR736" s="3" t="s">
        <v>279</v>
      </c>
      <c r="AS736" s="3">
        <v>2012</v>
      </c>
      <c r="AT736" s="3">
        <v>2</v>
      </c>
      <c r="AU736" s="3">
        <v>4</v>
      </c>
      <c r="AV736" s="3"/>
      <c r="AW736" s="3"/>
      <c r="AX736" s="3"/>
      <c r="AY736" s="3"/>
      <c r="AZ736" s="3">
        <v>63</v>
      </c>
      <c r="BA736" s="3">
        <v>77</v>
      </c>
      <c r="BB736" s="3"/>
      <c r="BC736" s="3" t="s">
        <v>916</v>
      </c>
      <c r="BD736" s="15" t="str">
        <f>HYPERLINK("http://dx.doi.org/10.5304/jafscd.2012.024.002","http://dx.doi.org/10.5304/jafscd.2012.024.002")</f>
        <v>http://dx.doi.org/10.5304/jafscd.2012.024.002</v>
      </c>
      <c r="BE736" s="3"/>
      <c r="BF736" s="3"/>
      <c r="BG736" s="3"/>
      <c r="BH736" s="3"/>
      <c r="BI736" s="3"/>
      <c r="BJ736" s="3" t="s">
        <v>917</v>
      </c>
      <c r="BK736" s="3"/>
      <c r="BL736" s="3"/>
      <c r="BM736" s="3"/>
      <c r="BN736" s="3"/>
      <c r="BO736" s="3"/>
      <c r="BP736" s="3"/>
      <c r="BQ736" s="3"/>
      <c r="BR736" s="3"/>
      <c r="BS736" s="3"/>
      <c r="BT736" s="3"/>
      <c r="BU736" s="1" t="s">
        <v>7482</v>
      </c>
      <c r="BV736" s="2" t="s">
        <v>7188</v>
      </c>
      <c r="BW736" s="2" t="s">
        <v>7189</v>
      </c>
    </row>
    <row r="737" spans="1:75" ht="12.75" customHeight="1">
      <c r="A737" s="4" t="s">
        <v>63</v>
      </c>
      <c r="B737" s="4" t="s">
        <v>123</v>
      </c>
      <c r="C737" s="4"/>
      <c r="D737" s="4"/>
      <c r="E737" s="4"/>
      <c r="F737" s="4" t="s">
        <v>123</v>
      </c>
      <c r="G737" s="4"/>
      <c r="H737" s="4"/>
      <c r="I737" s="4" t="s">
        <v>124</v>
      </c>
      <c r="J737" s="4" t="s">
        <v>87</v>
      </c>
      <c r="K737" s="4"/>
      <c r="L737" s="4"/>
      <c r="M737" s="4"/>
      <c r="N737" s="4"/>
      <c r="O737" s="4"/>
      <c r="P737" s="4"/>
      <c r="Q737" s="4"/>
      <c r="R737" s="4"/>
      <c r="S737" s="4"/>
      <c r="T737" s="4" t="s">
        <v>125</v>
      </c>
      <c r="U737" s="4"/>
      <c r="V737" s="4"/>
      <c r="W737" s="4"/>
      <c r="X737" s="4"/>
      <c r="Y737" s="4" t="s">
        <v>89</v>
      </c>
      <c r="Z737" s="4" t="s">
        <v>90</v>
      </c>
      <c r="AA737" s="4"/>
      <c r="AB737" s="4"/>
      <c r="AC737" s="4"/>
      <c r="AD737" s="4"/>
      <c r="AE737" s="4"/>
      <c r="AF737" s="4"/>
      <c r="AG737" s="4"/>
      <c r="AH737" s="4"/>
      <c r="AI737" s="4"/>
      <c r="AJ737" s="4"/>
      <c r="AK737" s="4"/>
      <c r="AL737" s="4"/>
      <c r="AM737" s="4" t="s">
        <v>91</v>
      </c>
      <c r="AN737" s="4"/>
      <c r="AO737" s="4"/>
      <c r="AP737" s="4"/>
      <c r="AQ737" s="4"/>
      <c r="AR737" s="4" t="s">
        <v>92</v>
      </c>
      <c r="AS737" s="4">
        <v>2002</v>
      </c>
      <c r="AT737" s="4">
        <v>39</v>
      </c>
      <c r="AU737" s="4">
        <v>11</v>
      </c>
      <c r="AV737" s="4"/>
      <c r="AW737" s="4"/>
      <c r="AX737" s="4"/>
      <c r="AY737" s="4"/>
      <c r="AZ737" s="4">
        <v>2101</v>
      </c>
      <c r="BA737" s="4">
        <v>2114</v>
      </c>
      <c r="BB737" s="4"/>
      <c r="BC737" s="4" t="s">
        <v>126</v>
      </c>
      <c r="BD737" s="5" t="str">
        <f>HYPERLINK("http://dx.doi.org/10.1080/0042098022000011380","http://dx.doi.org/10.1080/0042098022000011380")</f>
        <v>http://dx.doi.org/10.1080/0042098022000011380</v>
      </c>
      <c r="BE737" s="4"/>
      <c r="BF737" s="4"/>
      <c r="BG737" s="4"/>
      <c r="BH737" s="4"/>
      <c r="BI737" s="4"/>
      <c r="BJ737" s="4" t="s">
        <v>127</v>
      </c>
      <c r="BK737" s="4"/>
      <c r="BL737" s="4"/>
      <c r="BM737" s="4"/>
      <c r="BN737" s="4"/>
      <c r="BO737" s="4"/>
      <c r="BP737" s="4"/>
      <c r="BQ737" s="4"/>
      <c r="BR737" s="4"/>
      <c r="BS737" s="4"/>
      <c r="BT737" s="4"/>
      <c r="BU737" s="12" t="s">
        <v>7183</v>
      </c>
      <c r="BV737" s="12" t="s">
        <v>7214</v>
      </c>
      <c r="BW737" s="12" t="s">
        <v>7205</v>
      </c>
    </row>
    <row r="738" spans="1:75" ht="12.75" customHeight="1">
      <c r="A738" s="7" t="s">
        <v>63</v>
      </c>
      <c r="B738" s="7" t="s">
        <v>718</v>
      </c>
      <c r="C738" s="7"/>
      <c r="D738" s="7"/>
      <c r="E738" s="7"/>
      <c r="F738" s="7" t="s">
        <v>719</v>
      </c>
      <c r="G738" s="7"/>
      <c r="H738" s="7"/>
      <c r="I738" s="7" t="s">
        <v>720</v>
      </c>
      <c r="J738" s="7" t="s">
        <v>434</v>
      </c>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t="s">
        <v>436</v>
      </c>
      <c r="AN738" s="7"/>
      <c r="AO738" s="7"/>
      <c r="AP738" s="7"/>
      <c r="AQ738" s="7"/>
      <c r="AR738" s="7" t="s">
        <v>92</v>
      </c>
      <c r="AS738" s="7">
        <v>2011</v>
      </c>
      <c r="AT738" s="7">
        <v>31</v>
      </c>
      <c r="AU738" s="7">
        <v>4</v>
      </c>
      <c r="AV738" s="7"/>
      <c r="AW738" s="7"/>
      <c r="AX738" s="7" t="s">
        <v>569</v>
      </c>
      <c r="AY738" s="7"/>
      <c r="AZ738" s="7">
        <v>1195</v>
      </c>
      <c r="BA738" s="7">
        <v>1196</v>
      </c>
      <c r="BB738" s="7"/>
      <c r="BC738" s="7" t="s">
        <v>721</v>
      </c>
      <c r="BD738" s="11" t="str">
        <f>HYPERLINK("http://dx.doi.org/10.1016/j.apgeog.2011.01.013","http://dx.doi.org/10.1016/j.apgeog.2011.01.013")</f>
        <v>http://dx.doi.org/10.1016/j.apgeog.2011.01.013</v>
      </c>
      <c r="BE738" s="7"/>
      <c r="BF738" s="7"/>
      <c r="BG738" s="7"/>
      <c r="BH738" s="7"/>
      <c r="BI738" s="7"/>
      <c r="BJ738" s="7" t="s">
        <v>722</v>
      </c>
      <c r="BK738" s="7"/>
      <c r="BL738" s="7"/>
      <c r="BM738" s="7"/>
      <c r="BN738" s="7"/>
      <c r="BO738" s="7"/>
      <c r="BP738" s="7"/>
      <c r="BQ738" s="7"/>
      <c r="BR738" s="7"/>
      <c r="BS738" s="7"/>
      <c r="BT738" s="7"/>
      <c r="BU738" s="1" t="s">
        <v>7483</v>
      </c>
      <c r="BV738" s="2" t="s">
        <v>7188</v>
      </c>
      <c r="BW738" s="2" t="s">
        <v>7189</v>
      </c>
    </row>
    <row r="739" spans="1:75" ht="12.75" customHeight="1">
      <c r="A739" s="3" t="s">
        <v>63</v>
      </c>
      <c r="B739" s="3" t="s">
        <v>3553</v>
      </c>
      <c r="C739" s="3"/>
      <c r="D739" s="3"/>
      <c r="E739" s="3"/>
      <c r="F739" s="3" t="s">
        <v>3554</v>
      </c>
      <c r="G739" s="3"/>
      <c r="H739" s="3"/>
      <c r="I739" s="3" t="s">
        <v>3555</v>
      </c>
      <c r="J739" s="3" t="s">
        <v>1004</v>
      </c>
      <c r="K739" s="3"/>
      <c r="L739" s="3"/>
      <c r="M739" s="3"/>
      <c r="N739" s="3"/>
      <c r="O739" s="3"/>
      <c r="P739" s="3"/>
      <c r="Q739" s="3"/>
      <c r="R739" s="3"/>
      <c r="S739" s="3"/>
      <c r="T739" s="3" t="s">
        <v>3556</v>
      </c>
      <c r="U739" s="3"/>
      <c r="V739" s="3"/>
      <c r="W739" s="3"/>
      <c r="X739" s="3"/>
      <c r="Y739" s="3" t="s">
        <v>3557</v>
      </c>
      <c r="Z739" s="3"/>
      <c r="AA739" s="3"/>
      <c r="AB739" s="3"/>
      <c r="AC739" s="3"/>
      <c r="AD739" s="3"/>
      <c r="AE739" s="3"/>
      <c r="AF739" s="3"/>
      <c r="AG739" s="3"/>
      <c r="AH739" s="3"/>
      <c r="AI739" s="3"/>
      <c r="AJ739" s="3"/>
      <c r="AK739" s="3"/>
      <c r="AL739" s="3"/>
      <c r="AM739" s="3" t="s">
        <v>1006</v>
      </c>
      <c r="AN739" s="3" t="s">
        <v>1007</v>
      </c>
      <c r="AO739" s="3"/>
      <c r="AP739" s="3"/>
      <c r="AQ739" s="3"/>
      <c r="AR739" s="3" t="s">
        <v>78</v>
      </c>
      <c r="AS739" s="3">
        <v>2018</v>
      </c>
      <c r="AT739" s="3">
        <v>21</v>
      </c>
      <c r="AU739" s="3">
        <v>7</v>
      </c>
      <c r="AV739" s="3"/>
      <c r="AW739" s="3"/>
      <c r="AX739" s="3"/>
      <c r="AY739" s="3"/>
      <c r="AZ739" s="3">
        <v>1332</v>
      </c>
      <c r="BA739" s="3">
        <v>1344</v>
      </c>
      <c r="BB739" s="3"/>
      <c r="BC739" s="3" t="s">
        <v>3558</v>
      </c>
      <c r="BD739" s="15" t="str">
        <f>HYPERLINK("http://dx.doi.org/10.1017/S1368980017003755","http://dx.doi.org/10.1017/S1368980017003755")</f>
        <v>http://dx.doi.org/10.1017/S1368980017003755</v>
      </c>
      <c r="BE739" s="3"/>
      <c r="BF739" s="3"/>
      <c r="BG739" s="3"/>
      <c r="BH739" s="3"/>
      <c r="BI739" s="3">
        <v>29317002</v>
      </c>
      <c r="BJ739" s="3" t="s">
        <v>3559</v>
      </c>
      <c r="BK739" s="3"/>
      <c r="BL739" s="3"/>
      <c r="BM739" s="3"/>
      <c r="BN739" s="3"/>
      <c r="BO739" s="3"/>
      <c r="BP739" s="3"/>
      <c r="BQ739" s="3"/>
      <c r="BR739" s="3"/>
      <c r="BS739" s="3"/>
      <c r="BT739" s="3"/>
      <c r="BU739" s="1" t="s">
        <v>7411</v>
      </c>
      <c r="BV739" s="2" t="s">
        <v>7188</v>
      </c>
      <c r="BW739" s="2" t="s">
        <v>7189</v>
      </c>
    </row>
    <row r="740" spans="1:75" ht="12.75" customHeight="1">
      <c r="A740" s="3" t="s">
        <v>63</v>
      </c>
      <c r="B740" s="3" t="s">
        <v>4576</v>
      </c>
      <c r="C740" s="3"/>
      <c r="D740" s="3"/>
      <c r="E740" s="3"/>
      <c r="F740" s="3" t="s">
        <v>4577</v>
      </c>
      <c r="G740" s="3"/>
      <c r="H740" s="3"/>
      <c r="I740" s="3" t="s">
        <v>4578</v>
      </c>
      <c r="J740" s="3" t="s">
        <v>4579</v>
      </c>
      <c r="K740" s="3"/>
      <c r="L740" s="3"/>
      <c r="M740" s="3"/>
      <c r="N740" s="3"/>
      <c r="O740" s="3"/>
      <c r="P740" s="3"/>
      <c r="Q740" s="3"/>
      <c r="R740" s="3"/>
      <c r="S740" s="3"/>
      <c r="T740" s="3" t="s">
        <v>4580</v>
      </c>
      <c r="U740" s="3"/>
      <c r="V740" s="3"/>
      <c r="W740" s="3"/>
      <c r="X740" s="3"/>
      <c r="Y740" s="3" t="s">
        <v>4581</v>
      </c>
      <c r="Z740" s="3" t="s">
        <v>4582</v>
      </c>
      <c r="AA740" s="3"/>
      <c r="AB740" s="3"/>
      <c r="AC740" s="3"/>
      <c r="AD740" s="3"/>
      <c r="AE740" s="3"/>
      <c r="AF740" s="3"/>
      <c r="AG740" s="3"/>
      <c r="AH740" s="3"/>
      <c r="AI740" s="3"/>
      <c r="AJ740" s="3"/>
      <c r="AK740" s="3"/>
      <c r="AL740" s="3"/>
      <c r="AM740" s="3" t="s">
        <v>4583</v>
      </c>
      <c r="AN740" s="3" t="s">
        <v>4584</v>
      </c>
      <c r="AO740" s="3"/>
      <c r="AP740" s="3"/>
      <c r="AQ740" s="3"/>
      <c r="AR740" s="3" t="s">
        <v>4585</v>
      </c>
      <c r="AS740" s="3">
        <v>2020</v>
      </c>
      <c r="AT740" s="3">
        <v>124</v>
      </c>
      <c r="AU740" s="3">
        <v>8</v>
      </c>
      <c r="AV740" s="3"/>
      <c r="AW740" s="3"/>
      <c r="AX740" s="3"/>
      <c r="AY740" s="3"/>
      <c r="AZ740" s="3">
        <v>761</v>
      </c>
      <c r="BA740" s="3">
        <v>772</v>
      </c>
      <c r="BB740" s="3"/>
      <c r="BC740" s="3" t="s">
        <v>4586</v>
      </c>
      <c r="BD740" s="15" t="str">
        <f>HYPERLINK("http://dx.doi.org/10.1017/S0007114520001828","http://dx.doi.org/10.1017/S0007114520001828")</f>
        <v>http://dx.doi.org/10.1017/S0007114520001828</v>
      </c>
      <c r="BE740" s="3"/>
      <c r="BF740" s="3"/>
      <c r="BG740" s="3"/>
      <c r="BH740" s="3"/>
      <c r="BI740" s="3">
        <v>32460934</v>
      </c>
      <c r="BJ740" s="3" t="s">
        <v>4587</v>
      </c>
      <c r="BK740" s="3"/>
      <c r="BL740" s="3"/>
      <c r="BM740" s="3"/>
      <c r="BN740" s="3"/>
      <c r="BO740" s="3"/>
      <c r="BP740" s="3"/>
      <c r="BQ740" s="3"/>
      <c r="BR740" s="3"/>
      <c r="BS740" s="3"/>
      <c r="BT740" s="3"/>
      <c r="BU740" s="1" t="s">
        <v>7484</v>
      </c>
      <c r="BV740" s="1" t="s">
        <v>7485</v>
      </c>
      <c r="BW740" s="2" t="s">
        <v>7486</v>
      </c>
    </row>
    <row r="741" spans="1:75" ht="12.75" customHeight="1">
      <c r="A741" s="6" t="s">
        <v>63</v>
      </c>
      <c r="B741" s="6" t="s">
        <v>3202</v>
      </c>
      <c r="C741" s="6"/>
      <c r="D741" s="6"/>
      <c r="E741" s="6"/>
      <c r="F741" s="6" t="s">
        <v>3203</v>
      </c>
      <c r="G741" s="6"/>
      <c r="H741" s="6"/>
      <c r="I741" s="8" t="s">
        <v>7205</v>
      </c>
      <c r="J741" s="6" t="s">
        <v>3204</v>
      </c>
      <c r="K741" s="6"/>
      <c r="L741" s="6"/>
      <c r="M741" s="6"/>
      <c r="N741" s="6"/>
      <c r="O741" s="6"/>
      <c r="P741" s="6"/>
      <c r="Q741" s="6"/>
      <c r="R741" s="6"/>
      <c r="S741" s="6"/>
      <c r="T741" s="6" t="s">
        <v>3205</v>
      </c>
      <c r="U741" s="6"/>
      <c r="V741" s="6"/>
      <c r="W741" s="6"/>
      <c r="X741" s="6"/>
      <c r="Y741" s="6"/>
      <c r="Z741" s="6" t="s">
        <v>3206</v>
      </c>
      <c r="AA741" s="6"/>
      <c r="AB741" s="6"/>
      <c r="AC741" s="6"/>
      <c r="AD741" s="6"/>
      <c r="AE741" s="6"/>
      <c r="AF741" s="6"/>
      <c r="AG741" s="6"/>
      <c r="AH741" s="6"/>
      <c r="AI741" s="6"/>
      <c r="AJ741" s="6"/>
      <c r="AK741" s="6"/>
      <c r="AL741" s="6"/>
      <c r="AM741" s="6" t="s">
        <v>3207</v>
      </c>
      <c r="AN741" s="6"/>
      <c r="AO741" s="6"/>
      <c r="AP741" s="6"/>
      <c r="AQ741" s="6"/>
      <c r="AR741" s="6" t="s">
        <v>82</v>
      </c>
      <c r="AS741" s="6">
        <v>2017</v>
      </c>
      <c r="AT741" s="6">
        <v>2</v>
      </c>
      <c r="AU741" s="6">
        <v>1</v>
      </c>
      <c r="AV741" s="6"/>
      <c r="AW741" s="6"/>
      <c r="AX741" s="6"/>
      <c r="AY741" s="6"/>
      <c r="AZ741" s="6"/>
      <c r="BA741" s="6"/>
      <c r="BB741" s="6">
        <v>7</v>
      </c>
      <c r="BC741" s="6" t="s">
        <v>3208</v>
      </c>
      <c r="BD741" s="9" t="str">
        <f>HYPERLINK("http://dx.doi.org/10.3390/data2010007","http://dx.doi.org/10.3390/data2010007")</f>
        <v>http://dx.doi.org/10.3390/data2010007</v>
      </c>
      <c r="BE741" s="6"/>
      <c r="BF741" s="6"/>
      <c r="BG741" s="6"/>
      <c r="BH741" s="6"/>
      <c r="BI741" s="6"/>
      <c r="BJ741" s="6" t="s">
        <v>3209</v>
      </c>
      <c r="BK741" s="6"/>
      <c r="BL741" s="6"/>
      <c r="BM741" s="6"/>
      <c r="BN741" s="6"/>
      <c r="BO741" s="6"/>
      <c r="BP741" s="6"/>
      <c r="BQ741" s="6"/>
      <c r="BR741" s="6"/>
      <c r="BS741" s="6"/>
      <c r="BT741" s="6"/>
      <c r="BU741" s="8" t="s">
        <v>7348</v>
      </c>
      <c r="BV741" s="8" t="s">
        <v>7349</v>
      </c>
      <c r="BW741" s="8" t="s">
        <v>7205</v>
      </c>
    </row>
    <row r="742" spans="1:75" ht="12.75" customHeight="1">
      <c r="A742" s="4" t="s">
        <v>63</v>
      </c>
      <c r="B742" s="4" t="s">
        <v>5228</v>
      </c>
      <c r="C742" s="4"/>
      <c r="D742" s="4"/>
      <c r="E742" s="4"/>
      <c r="F742" s="4" t="s">
        <v>5229</v>
      </c>
      <c r="G742" s="4"/>
      <c r="H742" s="4"/>
      <c r="I742" s="4" t="s">
        <v>5230</v>
      </c>
      <c r="J742" s="4" t="s">
        <v>166</v>
      </c>
      <c r="K742" s="4"/>
      <c r="L742" s="4"/>
      <c r="M742" s="4"/>
      <c r="N742" s="4"/>
      <c r="O742" s="4"/>
      <c r="P742" s="4"/>
      <c r="Q742" s="4"/>
      <c r="R742" s="4"/>
      <c r="S742" s="4"/>
      <c r="T742" s="4" t="s">
        <v>5231</v>
      </c>
      <c r="U742" s="4"/>
      <c r="V742" s="4"/>
      <c r="W742" s="4"/>
      <c r="X742" s="4"/>
      <c r="Y742" s="4" t="s">
        <v>5232</v>
      </c>
      <c r="Z742" s="4"/>
      <c r="AA742" s="4"/>
      <c r="AB742" s="4"/>
      <c r="AC742" s="4"/>
      <c r="AD742" s="4"/>
      <c r="AE742" s="4"/>
      <c r="AF742" s="4"/>
      <c r="AG742" s="4"/>
      <c r="AH742" s="4"/>
      <c r="AI742" s="4"/>
      <c r="AJ742" s="4"/>
      <c r="AK742" s="4"/>
      <c r="AL742" s="4"/>
      <c r="AM742" s="4" t="s">
        <v>170</v>
      </c>
      <c r="AN742" s="4" t="s">
        <v>945</v>
      </c>
      <c r="AO742" s="4"/>
      <c r="AP742" s="4"/>
      <c r="AQ742" s="4"/>
      <c r="AR742" s="4" t="s">
        <v>2083</v>
      </c>
      <c r="AS742" s="4">
        <v>2021</v>
      </c>
      <c r="AT742" s="4">
        <v>161</v>
      </c>
      <c r="AU742" s="4"/>
      <c r="AV742" s="4"/>
      <c r="AW742" s="4"/>
      <c r="AX742" s="4"/>
      <c r="AY742" s="4"/>
      <c r="AZ742" s="4"/>
      <c r="BA742" s="4"/>
      <c r="BB742" s="4">
        <v>105128</v>
      </c>
      <c r="BC742" s="4" t="s">
        <v>5233</v>
      </c>
      <c r="BD742" s="5" t="str">
        <f>HYPERLINK("http://dx.doi.org/10.1016/j.appet.2021.105128","http://dx.doi.org/10.1016/j.appet.2021.105128")</f>
        <v>http://dx.doi.org/10.1016/j.appet.2021.105128</v>
      </c>
      <c r="BE742" s="4"/>
      <c r="BF742" s="4" t="s">
        <v>5234</v>
      </c>
      <c r="BG742" s="4"/>
      <c r="BH742" s="4"/>
      <c r="BI742" s="4">
        <v>33513414</v>
      </c>
      <c r="BJ742" s="4" t="s">
        <v>5235</v>
      </c>
      <c r="BK742" s="4"/>
      <c r="BL742" s="4"/>
      <c r="BM742" s="4"/>
      <c r="BN742" s="4"/>
      <c r="BO742" s="4"/>
      <c r="BP742" s="4"/>
      <c r="BQ742" s="4"/>
      <c r="BR742" s="4"/>
      <c r="BS742" s="4"/>
      <c r="BT742" s="4"/>
      <c r="BU742" s="12" t="s">
        <v>7247</v>
      </c>
      <c r="BV742" s="12" t="s">
        <v>7188</v>
      </c>
      <c r="BW742" s="12" t="s">
        <v>7189</v>
      </c>
    </row>
    <row r="743" spans="1:75" ht="12.75" customHeight="1">
      <c r="A743" s="3" t="s">
        <v>63</v>
      </c>
      <c r="B743" s="3" t="s">
        <v>4041</v>
      </c>
      <c r="C743" s="3"/>
      <c r="D743" s="3"/>
      <c r="E743" s="3"/>
      <c r="F743" s="3" t="s">
        <v>4042</v>
      </c>
      <c r="G743" s="3"/>
      <c r="H743" s="3"/>
      <c r="I743" s="3" t="s">
        <v>4043</v>
      </c>
      <c r="J743" s="3" t="s">
        <v>4044</v>
      </c>
      <c r="K743" s="3"/>
      <c r="L743" s="3"/>
      <c r="M743" s="3"/>
      <c r="N743" s="3"/>
      <c r="O743" s="3"/>
      <c r="P743" s="3"/>
      <c r="Q743" s="3"/>
      <c r="R743" s="3"/>
      <c r="S743" s="3"/>
      <c r="T743" s="3"/>
      <c r="U743" s="3"/>
      <c r="V743" s="3"/>
      <c r="W743" s="3"/>
      <c r="X743" s="3"/>
      <c r="Y743" s="3" t="s">
        <v>4045</v>
      </c>
      <c r="Z743" s="3" t="s">
        <v>4046</v>
      </c>
      <c r="AA743" s="3"/>
      <c r="AB743" s="3"/>
      <c r="AC743" s="3"/>
      <c r="AD743" s="3"/>
      <c r="AE743" s="3"/>
      <c r="AF743" s="3"/>
      <c r="AG743" s="3"/>
      <c r="AH743" s="3"/>
      <c r="AI743" s="3"/>
      <c r="AJ743" s="3"/>
      <c r="AK743" s="3"/>
      <c r="AL743" s="3"/>
      <c r="AM743" s="3" t="s">
        <v>4047</v>
      </c>
      <c r="AN743" s="3"/>
      <c r="AO743" s="3"/>
      <c r="AP743" s="3"/>
      <c r="AQ743" s="3"/>
      <c r="AR743" s="3" t="s">
        <v>65</v>
      </c>
      <c r="AS743" s="3">
        <v>2019</v>
      </c>
      <c r="AT743" s="3">
        <v>2</v>
      </c>
      <c r="AU743" s="3">
        <v>12</v>
      </c>
      <c r="AV743" s="3"/>
      <c r="AW743" s="3"/>
      <c r="AX743" s="3"/>
      <c r="AY743" s="3"/>
      <c r="AZ743" s="3"/>
      <c r="BA743" s="3"/>
      <c r="BB743" s="3" t="s">
        <v>4048</v>
      </c>
      <c r="BC743" s="3" t="s">
        <v>4049</v>
      </c>
      <c r="BD743" s="15" t="str">
        <f>HYPERLINK("http://dx.doi.org/10.1001/jamanetworkopen.2019.16444","http://dx.doi.org/10.1001/jamanetworkopen.2019.16444")</f>
        <v>http://dx.doi.org/10.1001/jamanetworkopen.2019.16444</v>
      </c>
      <c r="BE743" s="3"/>
      <c r="BF743" s="3"/>
      <c r="BG743" s="3"/>
      <c r="BH743" s="3"/>
      <c r="BI743" s="3">
        <v>31790562</v>
      </c>
      <c r="BJ743" s="3" t="s">
        <v>4050</v>
      </c>
      <c r="BK743" s="3"/>
      <c r="BL743" s="3"/>
      <c r="BM743" s="3"/>
      <c r="BN743" s="3"/>
      <c r="BO743" s="3"/>
      <c r="BP743" s="3"/>
      <c r="BQ743" s="3"/>
      <c r="BR743" s="3"/>
      <c r="BS743" s="3"/>
      <c r="BT743" s="3"/>
      <c r="BU743" s="1" t="s">
        <v>7487</v>
      </c>
      <c r="BV743" s="2" t="s">
        <v>7188</v>
      </c>
      <c r="BW743" s="2" t="s">
        <v>7189</v>
      </c>
    </row>
    <row r="744" spans="1:75" ht="12.75" customHeight="1">
      <c r="A744" s="4" t="s">
        <v>63</v>
      </c>
      <c r="B744" s="4" t="s">
        <v>3210</v>
      </c>
      <c r="C744" s="4"/>
      <c r="D744" s="4"/>
      <c r="E744" s="4"/>
      <c r="F744" s="4" t="s">
        <v>3211</v>
      </c>
      <c r="G744" s="4"/>
      <c r="H744" s="4"/>
      <c r="I744" s="4" t="s">
        <v>3212</v>
      </c>
      <c r="J744" s="4" t="s">
        <v>3213</v>
      </c>
      <c r="K744" s="4"/>
      <c r="L744" s="4"/>
      <c r="M744" s="4"/>
      <c r="N744" s="4"/>
      <c r="O744" s="4"/>
      <c r="P744" s="4"/>
      <c r="Q744" s="4"/>
      <c r="R744" s="4"/>
      <c r="S744" s="4"/>
      <c r="T744" s="4" t="s">
        <v>3214</v>
      </c>
      <c r="U744" s="4"/>
      <c r="V744" s="4"/>
      <c r="W744" s="4"/>
      <c r="X744" s="4"/>
      <c r="Y744" s="4"/>
      <c r="Z744" s="4"/>
      <c r="AA744" s="4"/>
      <c r="AB744" s="4"/>
      <c r="AC744" s="4"/>
      <c r="AD744" s="4"/>
      <c r="AE744" s="4"/>
      <c r="AF744" s="4"/>
      <c r="AG744" s="4"/>
      <c r="AH744" s="4"/>
      <c r="AI744" s="4"/>
      <c r="AJ744" s="4"/>
      <c r="AK744" s="4"/>
      <c r="AL744" s="4"/>
      <c r="AM744" s="4" t="s">
        <v>3215</v>
      </c>
      <c r="AN744" s="4" t="s">
        <v>3216</v>
      </c>
      <c r="AO744" s="4"/>
      <c r="AP744" s="4"/>
      <c r="AQ744" s="4"/>
      <c r="AR744" s="4" t="s">
        <v>445</v>
      </c>
      <c r="AS744" s="4">
        <v>2017</v>
      </c>
      <c r="AT744" s="4">
        <v>10</v>
      </c>
      <c r="AU744" s="4">
        <v>3</v>
      </c>
      <c r="AV744" s="4"/>
      <c r="AW744" s="4"/>
      <c r="AX744" s="4"/>
      <c r="AY744" s="4"/>
      <c r="AZ744" s="4">
        <v>385</v>
      </c>
      <c r="BA744" s="4">
        <v>388</v>
      </c>
      <c r="BB744" s="4"/>
      <c r="BC744" s="4" t="s">
        <v>3217</v>
      </c>
      <c r="BD744" s="5" t="str">
        <f>HYPERLINK("http://dx.doi.org/10.1017/iop.2017.31","http://dx.doi.org/10.1017/iop.2017.31")</f>
        <v>http://dx.doi.org/10.1017/iop.2017.31</v>
      </c>
      <c r="BE744" s="4"/>
      <c r="BF744" s="4"/>
      <c r="BG744" s="4"/>
      <c r="BH744" s="4"/>
      <c r="BI744" s="4"/>
      <c r="BJ744" s="4" t="s">
        <v>3218</v>
      </c>
      <c r="BK744" s="4"/>
      <c r="BL744" s="4"/>
      <c r="BM744" s="4"/>
      <c r="BN744" s="4"/>
      <c r="BO744" s="4"/>
      <c r="BP744" s="4"/>
      <c r="BQ744" s="4"/>
      <c r="BR744" s="4"/>
      <c r="BS744" s="4"/>
      <c r="BT744" s="4"/>
      <c r="BU744" s="12" t="s">
        <v>7209</v>
      </c>
      <c r="BV744" s="12" t="s">
        <v>7209</v>
      </c>
      <c r="BW744" s="12" t="s">
        <v>7209</v>
      </c>
    </row>
    <row r="745" spans="1:75" ht="12.75" customHeight="1">
      <c r="A745" s="4" t="s">
        <v>63</v>
      </c>
      <c r="B745" s="4" t="s">
        <v>2588</v>
      </c>
      <c r="C745" s="4"/>
      <c r="D745" s="4"/>
      <c r="E745" s="4"/>
      <c r="F745" s="4" t="s">
        <v>2589</v>
      </c>
      <c r="G745" s="4"/>
      <c r="H745" s="4"/>
      <c r="I745" s="4" t="s">
        <v>2590</v>
      </c>
      <c r="J745" s="4" t="s">
        <v>1104</v>
      </c>
      <c r="K745" s="4"/>
      <c r="L745" s="4"/>
      <c r="M745" s="4"/>
      <c r="N745" s="4"/>
      <c r="O745" s="4"/>
      <c r="P745" s="4"/>
      <c r="Q745" s="4"/>
      <c r="R745" s="4"/>
      <c r="S745" s="4"/>
      <c r="T745" s="4" t="s">
        <v>2591</v>
      </c>
      <c r="U745" s="4"/>
      <c r="V745" s="4"/>
      <c r="W745" s="4"/>
      <c r="X745" s="4"/>
      <c r="Y745" s="4"/>
      <c r="Z745" s="4"/>
      <c r="AA745" s="4"/>
      <c r="AB745" s="4"/>
      <c r="AC745" s="4"/>
      <c r="AD745" s="4"/>
      <c r="AE745" s="4"/>
      <c r="AF745" s="4"/>
      <c r="AG745" s="4"/>
      <c r="AH745" s="4"/>
      <c r="AI745" s="4"/>
      <c r="AJ745" s="4"/>
      <c r="AK745" s="4"/>
      <c r="AL745" s="4"/>
      <c r="AM745" s="4" t="s">
        <v>1106</v>
      </c>
      <c r="AN745" s="4" t="s">
        <v>1107</v>
      </c>
      <c r="AO745" s="4"/>
      <c r="AP745" s="4"/>
      <c r="AQ745" s="4"/>
      <c r="AR745" s="4" t="s">
        <v>66</v>
      </c>
      <c r="AS745" s="4">
        <v>2016</v>
      </c>
      <c r="AT745" s="4">
        <v>72</v>
      </c>
      <c r="AU745" s="4"/>
      <c r="AV745" s="4"/>
      <c r="AW745" s="4"/>
      <c r="AX745" s="4"/>
      <c r="AY745" s="4"/>
      <c r="AZ745" s="4">
        <v>30</v>
      </c>
      <c r="BA745" s="4">
        <v>33</v>
      </c>
      <c r="BB745" s="4"/>
      <c r="BC745" s="4" t="s">
        <v>2592</v>
      </c>
      <c r="BD745" s="5" t="str">
        <f>HYPERLINK("http://dx.doi.org/10.1016/j.geoforum.2016.03.010","http://dx.doi.org/10.1016/j.geoforum.2016.03.010")</f>
        <v>http://dx.doi.org/10.1016/j.geoforum.2016.03.010</v>
      </c>
      <c r="BE745" s="4"/>
      <c r="BF745" s="4"/>
      <c r="BG745" s="4"/>
      <c r="BH745" s="4"/>
      <c r="BI745" s="4"/>
      <c r="BJ745" s="4" t="s">
        <v>2593</v>
      </c>
      <c r="BK745" s="4"/>
      <c r="BL745" s="4"/>
      <c r="BM745" s="4"/>
      <c r="BN745" s="4"/>
      <c r="BO745" s="4"/>
      <c r="BP745" s="4"/>
      <c r="BQ745" s="4"/>
      <c r="BR745" s="4"/>
      <c r="BS745" s="4"/>
      <c r="BT745" s="4"/>
      <c r="BU745" s="12" t="s">
        <v>7201</v>
      </c>
      <c r="BV745" s="12" t="s">
        <v>7188</v>
      </c>
      <c r="BW745" s="12" t="s">
        <v>7189</v>
      </c>
    </row>
    <row r="746" spans="1:75" ht="12.75" customHeight="1">
      <c r="A746" s="3" t="s">
        <v>63</v>
      </c>
      <c r="B746" s="3" t="s">
        <v>7075</v>
      </c>
      <c r="C746" s="3"/>
      <c r="D746" s="3"/>
      <c r="E746" s="3"/>
      <c r="F746" s="3" t="s">
        <v>7076</v>
      </c>
      <c r="G746" s="3"/>
      <c r="H746" s="3"/>
      <c r="I746" s="3" t="s">
        <v>7077</v>
      </c>
      <c r="J746" s="3" t="s">
        <v>3374</v>
      </c>
      <c r="K746" s="3"/>
      <c r="L746" s="3"/>
      <c r="M746" s="3"/>
      <c r="N746" s="3"/>
      <c r="O746" s="3"/>
      <c r="P746" s="3"/>
      <c r="Q746" s="3"/>
      <c r="R746" s="3"/>
      <c r="S746" s="3"/>
      <c r="T746" s="3" t="s">
        <v>7078</v>
      </c>
      <c r="U746" s="3"/>
      <c r="V746" s="3"/>
      <c r="W746" s="3"/>
      <c r="X746" s="3"/>
      <c r="Y746" s="3"/>
      <c r="Z746" s="3" t="s">
        <v>7079</v>
      </c>
      <c r="AA746" s="3"/>
      <c r="AB746" s="3"/>
      <c r="AC746" s="3"/>
      <c r="AD746" s="3"/>
      <c r="AE746" s="3"/>
      <c r="AF746" s="3"/>
      <c r="AG746" s="3"/>
      <c r="AH746" s="3"/>
      <c r="AI746" s="3"/>
      <c r="AJ746" s="3"/>
      <c r="AK746" s="3"/>
      <c r="AL746" s="3"/>
      <c r="AM746" s="3"/>
      <c r="AN746" s="3" t="s">
        <v>3377</v>
      </c>
      <c r="AO746" s="3"/>
      <c r="AP746" s="3"/>
      <c r="AQ746" s="3"/>
      <c r="AR746" s="3" t="s">
        <v>82</v>
      </c>
      <c r="AS746" s="3">
        <v>2024</v>
      </c>
      <c r="AT746" s="3">
        <v>16</v>
      </c>
      <c r="AU746" s="3">
        <v>6</v>
      </c>
      <c r="AV746" s="3"/>
      <c r="AW746" s="3"/>
      <c r="AX746" s="3"/>
      <c r="AY746" s="3"/>
      <c r="AZ746" s="3"/>
      <c r="BA746" s="3"/>
      <c r="BB746" s="3">
        <v>2300</v>
      </c>
      <c r="BC746" s="3" t="s">
        <v>7080</v>
      </c>
      <c r="BD746" s="15" t="str">
        <f>HYPERLINK("http://dx.doi.org/10.3390/su16062300","http://dx.doi.org/10.3390/su16062300")</f>
        <v>http://dx.doi.org/10.3390/su16062300</v>
      </c>
      <c r="BE746" s="3"/>
      <c r="BF746" s="3"/>
      <c r="BG746" s="3"/>
      <c r="BH746" s="3"/>
      <c r="BI746" s="3"/>
      <c r="BJ746" s="3" t="s">
        <v>7081</v>
      </c>
      <c r="BK746" s="3"/>
      <c r="BL746" s="3"/>
      <c r="BM746" s="3"/>
      <c r="BN746" s="3"/>
      <c r="BO746" s="3"/>
      <c r="BP746" s="3"/>
      <c r="BQ746" s="3"/>
      <c r="BR746" s="3"/>
      <c r="BS746" s="3"/>
      <c r="BT746" s="3"/>
      <c r="BU746" s="1" t="s">
        <v>7488</v>
      </c>
      <c r="BV746" s="2" t="s">
        <v>2891</v>
      </c>
      <c r="BW746" s="2" t="s">
        <v>7205</v>
      </c>
    </row>
    <row r="747" spans="1:75" ht="12.75" customHeight="1">
      <c r="A747" s="4" t="s">
        <v>201</v>
      </c>
      <c r="B747" s="4" t="s">
        <v>918</v>
      </c>
      <c r="C747" s="4"/>
      <c r="D747" s="4" t="s">
        <v>919</v>
      </c>
      <c r="E747" s="4"/>
      <c r="F747" s="4" t="s">
        <v>920</v>
      </c>
      <c r="G747" s="4"/>
      <c r="H747" s="4"/>
      <c r="I747" s="4" t="s">
        <v>921</v>
      </c>
      <c r="J747" s="4" t="s">
        <v>922</v>
      </c>
      <c r="K747" s="4" t="s">
        <v>923</v>
      </c>
      <c r="L747" s="4"/>
      <c r="M747" s="4"/>
      <c r="N747" s="4" t="s">
        <v>924</v>
      </c>
      <c r="O747" s="4" t="s">
        <v>925</v>
      </c>
      <c r="P747" s="4" t="s">
        <v>926</v>
      </c>
      <c r="Q747" s="4"/>
      <c r="R747" s="4"/>
      <c r="S747" s="4"/>
      <c r="T747" s="4" t="s">
        <v>927</v>
      </c>
      <c r="U747" s="4"/>
      <c r="V747" s="4"/>
      <c r="W747" s="4"/>
      <c r="X747" s="4"/>
      <c r="Y747" s="4"/>
      <c r="Z747" s="4"/>
      <c r="AA747" s="4"/>
      <c r="AB747" s="4"/>
      <c r="AC747" s="4"/>
      <c r="AD747" s="4"/>
      <c r="AE747" s="4"/>
      <c r="AF747" s="4"/>
      <c r="AG747" s="4"/>
      <c r="AH747" s="4"/>
      <c r="AI747" s="4"/>
      <c r="AJ747" s="4"/>
      <c r="AK747" s="4"/>
      <c r="AL747" s="4"/>
      <c r="AM747" s="4" t="s">
        <v>928</v>
      </c>
      <c r="AN747" s="4"/>
      <c r="AO747" s="4" t="s">
        <v>929</v>
      </c>
      <c r="AP747" s="4"/>
      <c r="AQ747" s="4"/>
      <c r="AR747" s="4"/>
      <c r="AS747" s="4">
        <v>2012</v>
      </c>
      <c r="AT747" s="4">
        <v>937</v>
      </c>
      <c r="AU747" s="4"/>
      <c r="AV747" s="4"/>
      <c r="AW747" s="4"/>
      <c r="AX747" s="4"/>
      <c r="AY747" s="4"/>
      <c r="AZ747" s="4">
        <v>1097</v>
      </c>
      <c r="BA747" s="4">
        <v>1107</v>
      </c>
      <c r="BB747" s="4"/>
      <c r="BC747" s="4"/>
      <c r="BD747" s="4"/>
      <c r="BE747" s="4"/>
      <c r="BF747" s="4"/>
      <c r="BG747" s="4"/>
      <c r="BH747" s="4"/>
      <c r="BI747" s="4"/>
      <c r="BJ747" s="4" t="s">
        <v>930</v>
      </c>
      <c r="BK747" s="4"/>
      <c r="BL747" s="4"/>
      <c r="BM747" s="4"/>
      <c r="BN747" s="4"/>
      <c r="BO747" s="4"/>
      <c r="BP747" s="4"/>
      <c r="BQ747" s="4"/>
      <c r="BR747" s="4"/>
      <c r="BS747" s="4"/>
      <c r="BT747" s="4"/>
      <c r="BU747" s="12" t="s">
        <v>7489</v>
      </c>
      <c r="BV747" s="12" t="s">
        <v>7188</v>
      </c>
      <c r="BW747" s="12" t="s">
        <v>7189</v>
      </c>
    </row>
    <row r="748" spans="1:75" ht="12.75" customHeight="1">
      <c r="A748" s="3" t="s">
        <v>63</v>
      </c>
      <c r="B748" s="3" t="s">
        <v>6510</v>
      </c>
      <c r="C748" s="3"/>
      <c r="D748" s="3"/>
      <c r="E748" s="3"/>
      <c r="F748" s="3" t="s">
        <v>6511</v>
      </c>
      <c r="G748" s="3"/>
      <c r="H748" s="3"/>
      <c r="I748" s="3" t="s">
        <v>6512</v>
      </c>
      <c r="J748" s="3" t="s">
        <v>2540</v>
      </c>
      <c r="K748" s="3"/>
      <c r="L748" s="3"/>
      <c r="M748" s="3"/>
      <c r="N748" s="3" t="s">
        <v>6319</v>
      </c>
      <c r="O748" s="3" t="s">
        <v>1090</v>
      </c>
      <c r="P748" s="3"/>
      <c r="Q748" s="3"/>
      <c r="R748" s="3"/>
      <c r="S748" s="3"/>
      <c r="T748" s="3"/>
      <c r="U748" s="3"/>
      <c r="V748" s="3"/>
      <c r="W748" s="3"/>
      <c r="X748" s="3"/>
      <c r="Y748" s="3" t="s">
        <v>6513</v>
      </c>
      <c r="Z748" s="3"/>
      <c r="AA748" s="3"/>
      <c r="AB748" s="3"/>
      <c r="AC748" s="3"/>
      <c r="AD748" s="3"/>
      <c r="AE748" s="3"/>
      <c r="AF748" s="3"/>
      <c r="AG748" s="3"/>
      <c r="AH748" s="3"/>
      <c r="AI748" s="3"/>
      <c r="AJ748" s="3"/>
      <c r="AK748" s="3"/>
      <c r="AL748" s="3"/>
      <c r="AM748" s="3" t="s">
        <v>2545</v>
      </c>
      <c r="AN748" s="3" t="s">
        <v>2546</v>
      </c>
      <c r="AO748" s="3"/>
      <c r="AP748" s="3"/>
      <c r="AQ748" s="3"/>
      <c r="AR748" s="3" t="s">
        <v>6321</v>
      </c>
      <c r="AS748" s="3">
        <v>2023</v>
      </c>
      <c r="AT748" s="3">
        <v>81</v>
      </c>
      <c r="AU748" s="3">
        <v>8</v>
      </c>
      <c r="AV748" s="3"/>
      <c r="AW748" s="3" t="s">
        <v>1330</v>
      </c>
      <c r="AX748" s="3"/>
      <c r="AY748" s="3" t="s">
        <v>6514</v>
      </c>
      <c r="AZ748" s="3">
        <v>1975</v>
      </c>
      <c r="BA748" s="3">
        <v>1975</v>
      </c>
      <c r="BB748" s="3"/>
      <c r="BC748" s="3"/>
      <c r="BD748" s="3"/>
      <c r="BE748" s="3"/>
      <c r="BF748" s="3"/>
      <c r="BG748" s="3"/>
      <c r="BH748" s="3"/>
      <c r="BI748" s="3"/>
      <c r="BJ748" s="3" t="s">
        <v>6515</v>
      </c>
      <c r="BK748" s="3"/>
      <c r="BL748" s="3"/>
      <c r="BM748" s="3"/>
      <c r="BN748" s="3"/>
      <c r="BO748" s="3"/>
      <c r="BP748" s="3"/>
      <c r="BQ748" s="3"/>
      <c r="BR748" s="3"/>
      <c r="BS748" s="3"/>
      <c r="BT748" s="3"/>
      <c r="BU748" s="1" t="s">
        <v>7306</v>
      </c>
      <c r="BV748" s="2" t="s">
        <v>7188</v>
      </c>
      <c r="BW748" s="2" t="s">
        <v>7189</v>
      </c>
    </row>
    <row r="749" spans="1:75" ht="13.5" customHeight="1">
      <c r="A749" s="3" t="s">
        <v>63</v>
      </c>
      <c r="B749" s="3" t="s">
        <v>7082</v>
      </c>
      <c r="C749" s="3"/>
      <c r="D749" s="3"/>
      <c r="E749" s="3"/>
      <c r="F749" s="3" t="s">
        <v>7083</v>
      </c>
      <c r="G749" s="3"/>
      <c r="H749" s="3"/>
      <c r="I749" s="3" t="s">
        <v>7084</v>
      </c>
      <c r="J749" s="3" t="s">
        <v>6080</v>
      </c>
      <c r="K749" s="3"/>
      <c r="L749" s="3"/>
      <c r="M749" s="3"/>
      <c r="N749" s="3"/>
      <c r="O749" s="3"/>
      <c r="P749" s="3"/>
      <c r="Q749" s="3"/>
      <c r="R749" s="3"/>
      <c r="S749" s="3"/>
      <c r="T749" s="3" t="s">
        <v>7085</v>
      </c>
      <c r="U749" s="3"/>
      <c r="V749" s="3"/>
      <c r="W749" s="3"/>
      <c r="X749" s="3"/>
      <c r="Y749" s="3"/>
      <c r="Z749" s="3" t="s">
        <v>7086</v>
      </c>
      <c r="AA749" s="3"/>
      <c r="AB749" s="3"/>
      <c r="AC749" s="3"/>
      <c r="AD749" s="3"/>
      <c r="AE749" s="3"/>
      <c r="AF749" s="3"/>
      <c r="AG749" s="3"/>
      <c r="AH749" s="3"/>
      <c r="AI749" s="3"/>
      <c r="AJ749" s="3"/>
      <c r="AK749" s="3"/>
      <c r="AL749" s="3"/>
      <c r="AM749" s="3" t="s">
        <v>6084</v>
      </c>
      <c r="AN749" s="3" t="s">
        <v>6085</v>
      </c>
      <c r="AO749" s="3"/>
      <c r="AP749" s="3"/>
      <c r="AQ749" s="3"/>
      <c r="AR749" s="3" t="s">
        <v>133</v>
      </c>
      <c r="AS749" s="3">
        <v>2024</v>
      </c>
      <c r="AT749" s="3">
        <v>179</v>
      </c>
      <c r="AU749" s="3"/>
      <c r="AV749" s="3"/>
      <c r="AW749" s="3"/>
      <c r="AX749" s="3"/>
      <c r="AY749" s="3"/>
      <c r="AZ749" s="3"/>
      <c r="BA749" s="3"/>
      <c r="BB749" s="3">
        <v>103931</v>
      </c>
      <c r="BC749" s="3" t="s">
        <v>7087</v>
      </c>
      <c r="BD749" s="15" t="str">
        <f>HYPERLINK("http://dx.doi.org/10.1016/j.tra.2023.103931","http://dx.doi.org/10.1016/j.tra.2023.103931")</f>
        <v>http://dx.doi.org/10.1016/j.tra.2023.103931</v>
      </c>
      <c r="BE749" s="3"/>
      <c r="BF749" s="3" t="s">
        <v>6629</v>
      </c>
      <c r="BG749" s="3"/>
      <c r="BH749" s="3"/>
      <c r="BI749" s="3"/>
      <c r="BJ749" s="3" t="s">
        <v>7088</v>
      </c>
      <c r="BK749" s="3"/>
      <c r="BL749" s="3"/>
      <c r="BM749" s="3"/>
      <c r="BN749" s="3"/>
      <c r="BO749" s="3"/>
      <c r="BP749" s="3"/>
      <c r="BQ749" s="3"/>
      <c r="BR749" s="3"/>
      <c r="BS749" s="3"/>
      <c r="BT749" s="3"/>
      <c r="BU749" s="13" t="s">
        <v>7308</v>
      </c>
      <c r="BV749" s="2" t="s">
        <v>7188</v>
      </c>
      <c r="BW749" s="2" t="s">
        <v>7189</v>
      </c>
    </row>
    <row r="750" spans="1:75" ht="12.75" customHeight="1">
      <c r="A750" s="4" t="s">
        <v>63</v>
      </c>
      <c r="B750" s="4" t="s">
        <v>5236</v>
      </c>
      <c r="C750" s="4"/>
      <c r="D750" s="4"/>
      <c r="E750" s="4"/>
      <c r="F750" s="4" t="s">
        <v>5237</v>
      </c>
      <c r="G750" s="4"/>
      <c r="H750" s="4"/>
      <c r="I750" s="4" t="s">
        <v>5238</v>
      </c>
      <c r="J750" s="4" t="s">
        <v>1004</v>
      </c>
      <c r="K750" s="4"/>
      <c r="L750" s="4"/>
      <c r="M750" s="4"/>
      <c r="N750" s="4"/>
      <c r="O750" s="4"/>
      <c r="P750" s="4"/>
      <c r="Q750" s="4"/>
      <c r="R750" s="4"/>
      <c r="S750" s="4"/>
      <c r="T750" s="4" t="s">
        <v>5239</v>
      </c>
      <c r="U750" s="4"/>
      <c r="V750" s="4"/>
      <c r="W750" s="4"/>
      <c r="X750" s="4"/>
      <c r="Y750" s="4" t="s">
        <v>5240</v>
      </c>
      <c r="Z750" s="4" t="s">
        <v>5241</v>
      </c>
      <c r="AA750" s="4"/>
      <c r="AB750" s="4"/>
      <c r="AC750" s="4"/>
      <c r="AD750" s="4"/>
      <c r="AE750" s="4"/>
      <c r="AF750" s="4"/>
      <c r="AG750" s="4"/>
      <c r="AH750" s="4"/>
      <c r="AI750" s="4"/>
      <c r="AJ750" s="4"/>
      <c r="AK750" s="4"/>
      <c r="AL750" s="4"/>
      <c r="AM750" s="4" t="s">
        <v>1006</v>
      </c>
      <c r="AN750" s="4" t="s">
        <v>1007</v>
      </c>
      <c r="AO750" s="4"/>
      <c r="AP750" s="4"/>
      <c r="AQ750" s="4"/>
      <c r="AR750" s="4" t="s">
        <v>65</v>
      </c>
      <c r="AS750" s="4">
        <v>2021</v>
      </c>
      <c r="AT750" s="4">
        <v>24</v>
      </c>
      <c r="AU750" s="4">
        <v>18</v>
      </c>
      <c r="AV750" s="4"/>
      <c r="AW750" s="4"/>
      <c r="AX750" s="4"/>
      <c r="AY750" s="4"/>
      <c r="AZ750" s="4">
        <v>6555</v>
      </c>
      <c r="BA750" s="4">
        <v>6565</v>
      </c>
      <c r="BB750" s="4" t="s">
        <v>5242</v>
      </c>
      <c r="BC750" s="4" t="s">
        <v>5243</v>
      </c>
      <c r="BD750" s="5" t="str">
        <f>HYPERLINK("http://dx.doi.org/10.1017/S1368980021003955","http://dx.doi.org/10.1017/S1368980021003955")</f>
        <v>http://dx.doi.org/10.1017/S1368980021003955</v>
      </c>
      <c r="BE750" s="4"/>
      <c r="BF750" s="4"/>
      <c r="BG750" s="4"/>
      <c r="BH750" s="4"/>
      <c r="BI750" s="4">
        <v>34509178</v>
      </c>
      <c r="BJ750" s="4" t="s">
        <v>5244</v>
      </c>
      <c r="BK750" s="4"/>
      <c r="BL750" s="4"/>
      <c r="BM750" s="4"/>
      <c r="BN750" s="4"/>
      <c r="BO750" s="4"/>
      <c r="BP750" s="4"/>
      <c r="BQ750" s="4"/>
      <c r="BR750" s="4"/>
      <c r="BS750" s="4"/>
      <c r="BT750" s="4"/>
      <c r="BU750" s="12" t="s">
        <v>7490</v>
      </c>
      <c r="BV750" s="12" t="s">
        <v>7188</v>
      </c>
      <c r="BW750" s="12" t="s">
        <v>7189</v>
      </c>
    </row>
    <row r="751" spans="1:75" ht="12.75" customHeight="1">
      <c r="A751" s="7" t="s">
        <v>63</v>
      </c>
      <c r="B751" s="7" t="s">
        <v>5795</v>
      </c>
      <c r="C751" s="7"/>
      <c r="D751" s="7"/>
      <c r="E751" s="7"/>
      <c r="F751" s="7" t="s">
        <v>5796</v>
      </c>
      <c r="G751" s="7"/>
      <c r="H751" s="7"/>
      <c r="I751" s="7" t="s">
        <v>5797</v>
      </c>
      <c r="J751" s="7" t="s">
        <v>5798</v>
      </c>
      <c r="K751" s="7"/>
      <c r="L751" s="7"/>
      <c r="M751" s="7"/>
      <c r="N751" s="7"/>
      <c r="O751" s="7"/>
      <c r="P751" s="7"/>
      <c r="Q751" s="7"/>
      <c r="R751" s="7"/>
      <c r="S751" s="7"/>
      <c r="T751" s="7"/>
      <c r="U751" s="7"/>
      <c r="V751" s="7"/>
      <c r="W751" s="7"/>
      <c r="X751" s="7"/>
      <c r="Y751" s="7" t="s">
        <v>5799</v>
      </c>
      <c r="Z751" s="7"/>
      <c r="AA751" s="7"/>
      <c r="AB751" s="7"/>
      <c r="AC751" s="7"/>
      <c r="AD751" s="7"/>
      <c r="AE751" s="7"/>
      <c r="AF751" s="7"/>
      <c r="AG751" s="7"/>
      <c r="AH751" s="7"/>
      <c r="AI751" s="7"/>
      <c r="AJ751" s="7"/>
      <c r="AK751" s="7"/>
      <c r="AL751" s="7"/>
      <c r="AM751" s="7" t="s">
        <v>5800</v>
      </c>
      <c r="AN751" s="7" t="s">
        <v>5801</v>
      </c>
      <c r="AO751" s="7"/>
      <c r="AP751" s="7"/>
      <c r="AQ751" s="7"/>
      <c r="AR751" s="7" t="s">
        <v>65</v>
      </c>
      <c r="AS751" s="7">
        <v>2022</v>
      </c>
      <c r="AT751" s="7">
        <v>27</v>
      </c>
      <c r="AU751" s="7">
        <v>6</v>
      </c>
      <c r="AV751" s="7"/>
      <c r="AW751" s="7"/>
      <c r="AX751" s="7"/>
      <c r="AY751" s="7">
        <v>1278251</v>
      </c>
      <c r="AZ751" s="7">
        <v>636</v>
      </c>
      <c r="BA751" s="7">
        <v>636</v>
      </c>
      <c r="BB751" s="7"/>
      <c r="BC751" s="7"/>
      <c r="BD751" s="7"/>
      <c r="BE751" s="7"/>
      <c r="BF751" s="7"/>
      <c r="BG751" s="7"/>
      <c r="BH751" s="7"/>
      <c r="BI751" s="7"/>
      <c r="BJ751" s="7" t="s">
        <v>5891</v>
      </c>
      <c r="BK751" s="7"/>
      <c r="BL751" s="7"/>
      <c r="BM751" s="7"/>
      <c r="BN751" s="7"/>
      <c r="BO751" s="7"/>
      <c r="BP751" s="7"/>
      <c r="BQ751" s="7"/>
      <c r="BR751" s="7"/>
      <c r="BS751" s="7"/>
      <c r="BT751" s="7"/>
      <c r="BU751" s="1" t="s">
        <v>7364</v>
      </c>
      <c r="BV751" s="2" t="s">
        <v>7188</v>
      </c>
      <c r="BW751" s="2" t="s">
        <v>7189</v>
      </c>
    </row>
    <row r="752" spans="1:75" ht="12.75" customHeight="1">
      <c r="A752" s="6" t="s">
        <v>63</v>
      </c>
      <c r="B752" s="6" t="s">
        <v>723</v>
      </c>
      <c r="C752" s="6"/>
      <c r="D752" s="6"/>
      <c r="E752" s="6"/>
      <c r="F752" s="6" t="s">
        <v>724</v>
      </c>
      <c r="G752" s="6"/>
      <c r="H752" s="6"/>
      <c r="I752" s="6" t="s">
        <v>725</v>
      </c>
      <c r="J752" s="6" t="s">
        <v>726</v>
      </c>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t="s">
        <v>727</v>
      </c>
      <c r="AN752" s="6" t="s">
        <v>728</v>
      </c>
      <c r="AO752" s="6"/>
      <c r="AP752" s="6"/>
      <c r="AQ752" s="6"/>
      <c r="AR752" s="6" t="s">
        <v>400</v>
      </c>
      <c r="AS752" s="6">
        <v>2011</v>
      </c>
      <c r="AT752" s="6">
        <v>99</v>
      </c>
      <c r="AU752" s="6">
        <v>3</v>
      </c>
      <c r="AV752" s="6"/>
      <c r="AW752" s="6"/>
      <c r="AX752" s="6"/>
      <c r="AY752" s="6"/>
      <c r="AZ752" s="6">
        <v>209</v>
      </c>
      <c r="BA752" s="6">
        <v>210</v>
      </c>
      <c r="BB752" s="6"/>
      <c r="BC752" s="6" t="s">
        <v>729</v>
      </c>
      <c r="BD752" s="9" t="str">
        <f>HYPERLINK("http://dx.doi.org/10.1511/2011.90.209","http://dx.doi.org/10.1511/2011.90.209")</f>
        <v>http://dx.doi.org/10.1511/2011.90.209</v>
      </c>
      <c r="BE752" s="6"/>
      <c r="BF752" s="6"/>
      <c r="BG752" s="6"/>
      <c r="BH752" s="6"/>
      <c r="BI752" s="6"/>
      <c r="BJ752" s="6" t="s">
        <v>730</v>
      </c>
      <c r="BK752" s="6"/>
      <c r="BL752" s="6"/>
      <c r="BM752" s="6"/>
      <c r="BN752" s="6"/>
      <c r="BO752" s="6"/>
      <c r="BP752" s="6"/>
      <c r="BQ752" s="6"/>
      <c r="BR752" s="6"/>
      <c r="BS752" s="6"/>
      <c r="BT752" s="6"/>
      <c r="BU752" s="8" t="s">
        <v>7193</v>
      </c>
      <c r="BV752" s="8" t="s">
        <v>7193</v>
      </c>
      <c r="BW752" s="8" t="s">
        <v>7193</v>
      </c>
    </row>
    <row r="753" spans="1:75" ht="12.75" customHeight="1">
      <c r="A753" s="4" t="s">
        <v>63</v>
      </c>
      <c r="B753" s="4" t="s">
        <v>6516</v>
      </c>
      <c r="C753" s="4"/>
      <c r="D753" s="4"/>
      <c r="E753" s="4"/>
      <c r="F753" s="4" t="s">
        <v>6517</v>
      </c>
      <c r="G753" s="4"/>
      <c r="H753" s="4"/>
      <c r="I753" s="4" t="s">
        <v>6518</v>
      </c>
      <c r="J753" s="4" t="s">
        <v>6477</v>
      </c>
      <c r="K753" s="4"/>
      <c r="L753" s="4"/>
      <c r="M753" s="4"/>
      <c r="N753" s="4"/>
      <c r="O753" s="4"/>
      <c r="P753" s="4"/>
      <c r="Q753" s="4"/>
      <c r="R753" s="4"/>
      <c r="S753" s="4"/>
      <c r="T753" s="4" t="s">
        <v>6519</v>
      </c>
      <c r="U753" s="4"/>
      <c r="V753" s="4"/>
      <c r="W753" s="4"/>
      <c r="X753" s="4"/>
      <c r="Y753" s="4" t="s">
        <v>6520</v>
      </c>
      <c r="Z753" s="4" t="s">
        <v>6521</v>
      </c>
      <c r="AA753" s="4"/>
      <c r="AB753" s="4"/>
      <c r="AC753" s="4"/>
      <c r="AD753" s="4"/>
      <c r="AE753" s="4"/>
      <c r="AF753" s="4"/>
      <c r="AG753" s="4"/>
      <c r="AH753" s="4"/>
      <c r="AI753" s="4"/>
      <c r="AJ753" s="4"/>
      <c r="AK753" s="4"/>
      <c r="AL753" s="4"/>
      <c r="AM753" s="4" t="s">
        <v>6481</v>
      </c>
      <c r="AN753" s="4" t="s">
        <v>6482</v>
      </c>
      <c r="AO753" s="4"/>
      <c r="AP753" s="4"/>
      <c r="AQ753" s="4"/>
      <c r="AR753" s="4" t="s">
        <v>6483</v>
      </c>
      <c r="AS753" s="4">
        <v>2023</v>
      </c>
      <c r="AT753" s="4">
        <v>36</v>
      </c>
      <c r="AU753" s="4">
        <v>5</v>
      </c>
      <c r="AV753" s="4"/>
      <c r="AW753" s="4"/>
      <c r="AX753" s="4"/>
      <c r="AY753" s="4"/>
      <c r="AZ753" s="4">
        <v>256</v>
      </c>
      <c r="BA753" s="4">
        <v>263</v>
      </c>
      <c r="BB753" s="4"/>
      <c r="BC753" s="4" t="s">
        <v>6522</v>
      </c>
      <c r="BD753" s="5" t="str">
        <f>HYPERLINK("http://dx.doi.org/10.1093/ajh/hpad008","http://dx.doi.org/10.1093/ajh/hpad008")</f>
        <v>http://dx.doi.org/10.1093/ajh/hpad008</v>
      </c>
      <c r="BE753" s="4"/>
      <c r="BF753" s="4"/>
      <c r="BG753" s="4"/>
      <c r="BH753" s="4"/>
      <c r="BI753" s="4">
        <v>37061794</v>
      </c>
      <c r="BJ753" s="4" t="s">
        <v>6523</v>
      </c>
      <c r="BK753" s="4"/>
      <c r="BL753" s="4"/>
      <c r="BM753" s="4"/>
      <c r="BN753" s="4"/>
      <c r="BO753" s="4"/>
      <c r="BP753" s="4"/>
      <c r="BQ753" s="4"/>
      <c r="BR753" s="4"/>
      <c r="BS753" s="4"/>
      <c r="BT753" s="4"/>
      <c r="BU753" s="12" t="s">
        <v>7491</v>
      </c>
      <c r="BV753" s="12" t="s">
        <v>7188</v>
      </c>
      <c r="BW753" s="12" t="s">
        <v>7189</v>
      </c>
    </row>
    <row r="754" spans="1:75" ht="12.75" customHeight="1">
      <c r="A754" s="3" t="s">
        <v>63</v>
      </c>
      <c r="B754" s="3" t="s">
        <v>4051</v>
      </c>
      <c r="C754" s="3"/>
      <c r="D754" s="3"/>
      <c r="E754" s="3"/>
      <c r="F754" s="3" t="s">
        <v>4052</v>
      </c>
      <c r="G754" s="3"/>
      <c r="H754" s="3"/>
      <c r="I754" s="3" t="s">
        <v>4053</v>
      </c>
      <c r="J754" s="3" t="s">
        <v>3439</v>
      </c>
      <c r="K754" s="3"/>
      <c r="L754" s="3"/>
      <c r="M754" s="3"/>
      <c r="N754" s="3" t="s">
        <v>4054</v>
      </c>
      <c r="O754" s="3" t="s">
        <v>4055</v>
      </c>
      <c r="P754" s="3" t="s">
        <v>3441</v>
      </c>
      <c r="Q754" s="3"/>
      <c r="R754" s="3"/>
      <c r="S754" s="3"/>
      <c r="T754" s="3"/>
      <c r="U754" s="3"/>
      <c r="V754" s="3"/>
      <c r="W754" s="3"/>
      <c r="X754" s="3"/>
      <c r="Y754" s="3"/>
      <c r="Z754" s="3"/>
      <c r="AA754" s="3"/>
      <c r="AB754" s="3"/>
      <c r="AC754" s="3"/>
      <c r="AD754" s="3"/>
      <c r="AE754" s="3"/>
      <c r="AF754" s="3"/>
      <c r="AG754" s="3"/>
      <c r="AH754" s="3"/>
      <c r="AI754" s="3"/>
      <c r="AJ754" s="3"/>
      <c r="AK754" s="3"/>
      <c r="AL754" s="3"/>
      <c r="AM754" s="3" t="s">
        <v>3442</v>
      </c>
      <c r="AN754" s="3" t="s">
        <v>3443</v>
      </c>
      <c r="AO754" s="3"/>
      <c r="AP754" s="3"/>
      <c r="AQ754" s="3"/>
      <c r="AR754" s="3" t="s">
        <v>133</v>
      </c>
      <c r="AS754" s="3">
        <v>2019</v>
      </c>
      <c r="AT754" s="3">
        <v>220</v>
      </c>
      <c r="AU754" s="3">
        <v>1</v>
      </c>
      <c r="AV754" s="3"/>
      <c r="AW754" s="3" t="s">
        <v>151</v>
      </c>
      <c r="AX754" s="3"/>
      <c r="AY754" s="3">
        <v>710</v>
      </c>
      <c r="AZ754" s="3" t="s">
        <v>4056</v>
      </c>
      <c r="BA754" s="3" t="s">
        <v>4056</v>
      </c>
      <c r="BB754" s="3"/>
      <c r="BC754" s="3" t="s">
        <v>4057</v>
      </c>
      <c r="BD754" s="15" t="str">
        <f>HYPERLINK("http://dx.doi.org/10.1016/j.ajog.2018.11.733","http://dx.doi.org/10.1016/j.ajog.2018.11.733")</f>
        <v>http://dx.doi.org/10.1016/j.ajog.2018.11.733</v>
      </c>
      <c r="BE754" s="3"/>
      <c r="BF754" s="3"/>
      <c r="BG754" s="3"/>
      <c r="BH754" s="3"/>
      <c r="BI754" s="3"/>
      <c r="BJ754" s="3" t="s">
        <v>4058</v>
      </c>
      <c r="BK754" s="3"/>
      <c r="BL754" s="3"/>
      <c r="BM754" s="3"/>
      <c r="BN754" s="3"/>
      <c r="BO754" s="3"/>
      <c r="BP754" s="3"/>
      <c r="BQ754" s="3"/>
      <c r="BR754" s="3"/>
      <c r="BS754" s="3"/>
      <c r="BT754" s="3"/>
      <c r="BU754" s="2" t="s">
        <v>7221</v>
      </c>
      <c r="BV754" s="2" t="s">
        <v>7188</v>
      </c>
      <c r="BW754" s="2" t="s">
        <v>7189</v>
      </c>
    </row>
    <row r="755" spans="1:75" ht="12.75" customHeight="1">
      <c r="A755" s="3" t="s">
        <v>63</v>
      </c>
      <c r="B755" s="3" t="s">
        <v>6524</v>
      </c>
      <c r="C755" s="3"/>
      <c r="D755" s="3"/>
      <c r="E755" s="3"/>
      <c r="F755" s="3" t="s">
        <v>6525</v>
      </c>
      <c r="G755" s="3"/>
      <c r="H755" s="3"/>
      <c r="I755" s="3" t="s">
        <v>6526</v>
      </c>
      <c r="J755" s="3" t="s">
        <v>4990</v>
      </c>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t="s">
        <v>4991</v>
      </c>
      <c r="AN755" s="3" t="s">
        <v>6527</v>
      </c>
      <c r="AO755" s="3"/>
      <c r="AP755" s="3"/>
      <c r="AQ755" s="3"/>
      <c r="AR755" s="3" t="s">
        <v>66</v>
      </c>
      <c r="AS755" s="3">
        <v>2023</v>
      </c>
      <c r="AT755" s="3">
        <v>77</v>
      </c>
      <c r="AU755" s="3">
        <v>6</v>
      </c>
      <c r="AV755" s="3"/>
      <c r="AW755" s="3"/>
      <c r="AX755" s="3"/>
      <c r="AY755" s="3" t="s">
        <v>6528</v>
      </c>
      <c r="AZ755" s="3" t="s">
        <v>6529</v>
      </c>
      <c r="BA755" s="3" t="s">
        <v>6529</v>
      </c>
      <c r="BB755" s="3"/>
      <c r="BC755" s="3"/>
      <c r="BD755" s="3"/>
      <c r="BE755" s="3"/>
      <c r="BF755" s="3"/>
      <c r="BG755" s="3"/>
      <c r="BH755" s="3"/>
      <c r="BI755" s="3"/>
      <c r="BJ755" s="3" t="s">
        <v>6530</v>
      </c>
      <c r="BK755" s="3"/>
      <c r="BL755" s="3"/>
      <c r="BM755" s="3"/>
      <c r="BN755" s="3"/>
      <c r="BO755" s="3"/>
      <c r="BP755" s="3"/>
      <c r="BQ755" s="3"/>
      <c r="BR755" s="3"/>
      <c r="BS755" s="3"/>
      <c r="BT755" s="3"/>
      <c r="BU755" s="1" t="s">
        <v>7251</v>
      </c>
      <c r="BV755" s="2" t="s">
        <v>7188</v>
      </c>
      <c r="BW755" s="2" t="s">
        <v>7189</v>
      </c>
    </row>
    <row r="756" spans="1:75" ht="12.75" customHeight="1">
      <c r="A756" s="6" t="s">
        <v>63</v>
      </c>
      <c r="B756" s="6" t="s">
        <v>2594</v>
      </c>
      <c r="C756" s="6"/>
      <c r="D756" s="6"/>
      <c r="E756" s="6"/>
      <c r="F756" s="6" t="s">
        <v>2595</v>
      </c>
      <c r="G756" s="6"/>
      <c r="H756" s="6"/>
      <c r="I756" s="6" t="s">
        <v>2596</v>
      </c>
      <c r="J756" s="6" t="s">
        <v>434</v>
      </c>
      <c r="K756" s="6"/>
      <c r="L756" s="6"/>
      <c r="M756" s="6"/>
      <c r="N756" s="6"/>
      <c r="O756" s="6"/>
      <c r="P756" s="6"/>
      <c r="Q756" s="6"/>
      <c r="R756" s="6"/>
      <c r="S756" s="6"/>
      <c r="T756" s="6" t="s">
        <v>2597</v>
      </c>
      <c r="U756" s="6"/>
      <c r="V756" s="6"/>
      <c r="W756" s="6"/>
      <c r="X756" s="6"/>
      <c r="Y756" s="6" t="s">
        <v>1371</v>
      </c>
      <c r="Z756" s="6" t="s">
        <v>1372</v>
      </c>
      <c r="AA756" s="6"/>
      <c r="AB756" s="6"/>
      <c r="AC756" s="6"/>
      <c r="AD756" s="6"/>
      <c r="AE756" s="6"/>
      <c r="AF756" s="6"/>
      <c r="AG756" s="6"/>
      <c r="AH756" s="6"/>
      <c r="AI756" s="6"/>
      <c r="AJ756" s="6"/>
      <c r="AK756" s="6"/>
      <c r="AL756" s="6"/>
      <c r="AM756" s="6" t="s">
        <v>436</v>
      </c>
      <c r="AN756" s="6" t="s">
        <v>568</v>
      </c>
      <c r="AO756" s="6"/>
      <c r="AP756" s="6"/>
      <c r="AQ756" s="6"/>
      <c r="AR756" s="6" t="s">
        <v>67</v>
      </c>
      <c r="AS756" s="6">
        <v>2016</v>
      </c>
      <c r="AT756" s="6">
        <v>67</v>
      </c>
      <c r="AU756" s="6"/>
      <c r="AV756" s="6"/>
      <c r="AW756" s="6"/>
      <c r="AX756" s="6"/>
      <c r="AY756" s="6"/>
      <c r="AZ756" s="6">
        <v>27</v>
      </c>
      <c r="BA756" s="6">
        <v>38</v>
      </c>
      <c r="BB756" s="6"/>
      <c r="BC756" s="6" t="s">
        <v>2598</v>
      </c>
      <c r="BD756" s="9" t="str">
        <f>HYPERLINK("http://dx.doi.org/10.1016/j.apgeog.2015.12.002","http://dx.doi.org/10.1016/j.apgeog.2015.12.002")</f>
        <v>http://dx.doi.org/10.1016/j.apgeog.2015.12.002</v>
      </c>
      <c r="BE756" s="6"/>
      <c r="BF756" s="6"/>
      <c r="BG756" s="6"/>
      <c r="BH756" s="6"/>
      <c r="BI756" s="6"/>
      <c r="BJ756" s="6" t="s">
        <v>2599</v>
      </c>
      <c r="BK756" s="6"/>
      <c r="BL756" s="6"/>
      <c r="BM756" s="6"/>
      <c r="BN756" s="6"/>
      <c r="BO756" s="6"/>
      <c r="BP756" s="6"/>
      <c r="BQ756" s="6"/>
      <c r="BR756" s="6"/>
      <c r="BS756" s="6"/>
      <c r="BT756" s="6"/>
      <c r="BU756" s="8" t="s">
        <v>7492</v>
      </c>
      <c r="BV756" s="8" t="s">
        <v>2039</v>
      </c>
      <c r="BW756" s="8" t="s">
        <v>7189</v>
      </c>
    </row>
    <row r="757" spans="1:75" ht="12.75" customHeight="1">
      <c r="A757" s="3" t="s">
        <v>63</v>
      </c>
      <c r="B757" s="3" t="s">
        <v>4059</v>
      </c>
      <c r="C757" s="3"/>
      <c r="D757" s="3"/>
      <c r="E757" s="3"/>
      <c r="F757" s="3" t="s">
        <v>4060</v>
      </c>
      <c r="G757" s="3"/>
      <c r="H757" s="3"/>
      <c r="I757" s="3" t="s">
        <v>4061</v>
      </c>
      <c r="J757" s="3" t="s">
        <v>3652</v>
      </c>
      <c r="K757" s="3"/>
      <c r="L757" s="3"/>
      <c r="M757" s="3"/>
      <c r="N757" s="3"/>
      <c r="O757" s="3"/>
      <c r="P757" s="3"/>
      <c r="Q757" s="3"/>
      <c r="R757" s="3"/>
      <c r="S757" s="3"/>
      <c r="T757" s="3" t="s">
        <v>4062</v>
      </c>
      <c r="U757" s="3"/>
      <c r="V757" s="3"/>
      <c r="W757" s="3"/>
      <c r="X757" s="3"/>
      <c r="Y757" s="3" t="s">
        <v>4063</v>
      </c>
      <c r="Z757" s="3" t="s">
        <v>4064</v>
      </c>
      <c r="AA757" s="3"/>
      <c r="AB757" s="3"/>
      <c r="AC757" s="3"/>
      <c r="AD757" s="3"/>
      <c r="AE757" s="3"/>
      <c r="AF757" s="3"/>
      <c r="AG757" s="3"/>
      <c r="AH757" s="3"/>
      <c r="AI757" s="3"/>
      <c r="AJ757" s="3"/>
      <c r="AK757" s="3"/>
      <c r="AL757" s="3"/>
      <c r="AM757" s="3" t="s">
        <v>3654</v>
      </c>
      <c r="AN757" s="3" t="s">
        <v>3655</v>
      </c>
      <c r="AO757" s="3"/>
      <c r="AP757" s="3"/>
      <c r="AQ757" s="3"/>
      <c r="AR757" s="3" t="s">
        <v>67</v>
      </c>
      <c r="AS757" s="3">
        <v>2019</v>
      </c>
      <c r="AT757" s="3">
        <v>83</v>
      </c>
      <c r="AU757" s="3"/>
      <c r="AV757" s="3"/>
      <c r="AW757" s="3"/>
      <c r="AX757" s="3"/>
      <c r="AY757" s="3"/>
      <c r="AZ757" s="3">
        <v>125</v>
      </c>
      <c r="BA757" s="3">
        <v>138</v>
      </c>
      <c r="BB757" s="3"/>
      <c r="BC757" s="3" t="s">
        <v>4065</v>
      </c>
      <c r="BD757" s="15" t="str">
        <f>HYPERLINK("http://dx.doi.org/10.1016/j.foodpol.2018.12.006","http://dx.doi.org/10.1016/j.foodpol.2018.12.006")</f>
        <v>http://dx.doi.org/10.1016/j.foodpol.2018.12.006</v>
      </c>
      <c r="BE757" s="3"/>
      <c r="BF757" s="3"/>
      <c r="BG757" s="3"/>
      <c r="BH757" s="3"/>
      <c r="BI757" s="3"/>
      <c r="BJ757" s="3" t="s">
        <v>4066</v>
      </c>
      <c r="BK757" s="3"/>
      <c r="BL757" s="3"/>
      <c r="BM757" s="3"/>
      <c r="BN757" s="3"/>
      <c r="BO757" s="3"/>
      <c r="BP757" s="3"/>
      <c r="BQ757" s="3"/>
      <c r="BR757" s="3"/>
      <c r="BS757" s="3"/>
      <c r="BT757" s="3"/>
      <c r="BU757" s="1" t="s">
        <v>7493</v>
      </c>
      <c r="BV757" s="2" t="s">
        <v>7494</v>
      </c>
      <c r="BW757" s="2" t="s">
        <v>7495</v>
      </c>
    </row>
    <row r="758" spans="1:75" ht="12.75" customHeight="1">
      <c r="A758" s="3" t="s">
        <v>63</v>
      </c>
      <c r="B758" s="3" t="s">
        <v>4588</v>
      </c>
      <c r="C758" s="3"/>
      <c r="D758" s="3"/>
      <c r="E758" s="3"/>
      <c r="F758" s="3" t="s">
        <v>4589</v>
      </c>
      <c r="G758" s="3"/>
      <c r="H758" s="3"/>
      <c r="I758" s="3" t="s">
        <v>4590</v>
      </c>
      <c r="J758" s="3" t="s">
        <v>3351</v>
      </c>
      <c r="K758" s="3"/>
      <c r="L758" s="3"/>
      <c r="M758" s="3"/>
      <c r="N758" s="3"/>
      <c r="O758" s="3"/>
      <c r="P758" s="3"/>
      <c r="Q758" s="3"/>
      <c r="R758" s="3"/>
      <c r="S758" s="3"/>
      <c r="T758" s="3" t="s">
        <v>4591</v>
      </c>
      <c r="U758" s="3"/>
      <c r="V758" s="3"/>
      <c r="W758" s="3"/>
      <c r="X758" s="3"/>
      <c r="Y758" s="3"/>
      <c r="Z758" s="3" t="s">
        <v>4592</v>
      </c>
      <c r="AA758" s="3"/>
      <c r="AB758" s="3"/>
      <c r="AC758" s="3"/>
      <c r="AD758" s="3"/>
      <c r="AE758" s="3"/>
      <c r="AF758" s="3"/>
      <c r="AG758" s="3"/>
      <c r="AH758" s="3"/>
      <c r="AI758" s="3"/>
      <c r="AJ758" s="3"/>
      <c r="AK758" s="3"/>
      <c r="AL758" s="3"/>
      <c r="AM758" s="3"/>
      <c r="AN758" s="3" t="s">
        <v>3354</v>
      </c>
      <c r="AO758" s="3"/>
      <c r="AP758" s="3"/>
      <c r="AQ758" s="3"/>
      <c r="AR758" s="3"/>
      <c r="AS758" s="3">
        <v>2020</v>
      </c>
      <c r="AT758" s="3">
        <v>4</v>
      </c>
      <c r="AU758" s="3">
        <v>1</v>
      </c>
      <c r="AV758" s="3"/>
      <c r="AW758" s="3"/>
      <c r="AX758" s="3"/>
      <c r="AY758" s="3"/>
      <c r="AZ758" s="3">
        <v>386</v>
      </c>
      <c r="BA758" s="3">
        <v>393</v>
      </c>
      <c r="BB758" s="3"/>
      <c r="BC758" s="3" t="s">
        <v>4593</v>
      </c>
      <c r="BD758" s="15" t="str">
        <f>HYPERLINK("http://dx.doi.org/10.1089/heq.2020.0028","http://dx.doi.org/10.1089/heq.2020.0028")</f>
        <v>http://dx.doi.org/10.1089/heq.2020.0028</v>
      </c>
      <c r="BE758" s="3"/>
      <c r="BF758" s="3"/>
      <c r="BG758" s="3"/>
      <c r="BH758" s="3"/>
      <c r="BI758" s="3">
        <v>32964176</v>
      </c>
      <c r="BJ758" s="3" t="s">
        <v>4594</v>
      </c>
      <c r="BK758" s="3"/>
      <c r="BL758" s="3"/>
      <c r="BM758" s="3"/>
      <c r="BN758" s="3"/>
      <c r="BO758" s="3"/>
      <c r="BP758" s="3"/>
      <c r="BQ758" s="3"/>
      <c r="BR758" s="3"/>
      <c r="BS758" s="3"/>
      <c r="BT758" s="3"/>
      <c r="BU758" s="13" t="s">
        <v>7496</v>
      </c>
      <c r="BV758" s="2" t="s">
        <v>7188</v>
      </c>
      <c r="BW758" s="2" t="s">
        <v>7189</v>
      </c>
    </row>
    <row r="759" spans="1:75" ht="12.75" customHeight="1">
      <c r="A759" s="4" t="s">
        <v>63</v>
      </c>
      <c r="B759" s="4" t="s">
        <v>343</v>
      </c>
      <c r="C759" s="4"/>
      <c r="D759" s="4"/>
      <c r="E759" s="4"/>
      <c r="F759" s="4" t="s">
        <v>344</v>
      </c>
      <c r="G759" s="4"/>
      <c r="H759" s="4"/>
      <c r="I759" s="4" t="s">
        <v>1307</v>
      </c>
      <c r="J759" s="4" t="s">
        <v>1308</v>
      </c>
      <c r="K759" s="4"/>
      <c r="L759" s="4"/>
      <c r="M759" s="4"/>
      <c r="N759" s="4"/>
      <c r="O759" s="4"/>
      <c r="P759" s="4"/>
      <c r="Q759" s="4"/>
      <c r="R759" s="4"/>
      <c r="S759" s="4"/>
      <c r="T759" s="4" t="s">
        <v>1309</v>
      </c>
      <c r="U759" s="4"/>
      <c r="V759" s="4"/>
      <c r="W759" s="4"/>
      <c r="X759" s="4"/>
      <c r="Y759" s="4"/>
      <c r="Z759" s="4"/>
      <c r="AA759" s="4"/>
      <c r="AB759" s="4"/>
      <c r="AC759" s="4"/>
      <c r="AD759" s="4"/>
      <c r="AE759" s="4"/>
      <c r="AF759" s="4"/>
      <c r="AG759" s="4"/>
      <c r="AH759" s="4"/>
      <c r="AI759" s="4"/>
      <c r="AJ759" s="4"/>
      <c r="AK759" s="4"/>
      <c r="AL759" s="4"/>
      <c r="AM759" s="4" t="s">
        <v>132</v>
      </c>
      <c r="AN759" s="4" t="s">
        <v>1310</v>
      </c>
      <c r="AO759" s="4"/>
      <c r="AP759" s="4"/>
      <c r="AQ759" s="4"/>
      <c r="AR759" s="4" t="s">
        <v>133</v>
      </c>
      <c r="AS759" s="4">
        <v>2013</v>
      </c>
      <c r="AT759" s="4">
        <v>45</v>
      </c>
      <c r="AU759" s="4">
        <v>1</v>
      </c>
      <c r="AV759" s="4"/>
      <c r="AW759" s="4"/>
      <c r="AX759" s="4"/>
      <c r="AY759" s="4"/>
      <c r="AZ759" s="4">
        <v>142</v>
      </c>
      <c r="BA759" s="4">
        <v>158</v>
      </c>
      <c r="BB759" s="4"/>
      <c r="BC759" s="4" t="s">
        <v>1311</v>
      </c>
      <c r="BD759" s="5" t="str">
        <f>HYPERLINK("http://dx.doi.org/10.1068/a45130","http://dx.doi.org/10.1068/a45130")</f>
        <v>http://dx.doi.org/10.1068/a45130</v>
      </c>
      <c r="BE759" s="4"/>
      <c r="BF759" s="4"/>
      <c r="BG759" s="4"/>
      <c r="BH759" s="4"/>
      <c r="BI759" s="4"/>
      <c r="BJ759" s="4" t="s">
        <v>1312</v>
      </c>
      <c r="BK759" s="4"/>
      <c r="BL759" s="4"/>
      <c r="BM759" s="4"/>
      <c r="BN759" s="4"/>
      <c r="BO759" s="4"/>
      <c r="BP759" s="4"/>
      <c r="BQ759" s="4"/>
      <c r="BR759" s="4"/>
      <c r="BS759" s="4"/>
      <c r="BT759" s="4"/>
      <c r="BU759" s="12" t="s">
        <v>7193</v>
      </c>
      <c r="BV759" s="12" t="s">
        <v>7188</v>
      </c>
      <c r="BW759" s="12" t="s">
        <v>7189</v>
      </c>
    </row>
    <row r="760" spans="1:75" ht="12.75" customHeight="1">
      <c r="A760" s="4" t="s">
        <v>63</v>
      </c>
      <c r="B760" s="4" t="s">
        <v>5245</v>
      </c>
      <c r="C760" s="4"/>
      <c r="D760" s="4"/>
      <c r="E760" s="4"/>
      <c r="F760" s="4" t="s">
        <v>5246</v>
      </c>
      <c r="G760" s="4"/>
      <c r="H760" s="4"/>
      <c r="I760" s="4" t="s">
        <v>5247</v>
      </c>
      <c r="J760" s="4" t="s">
        <v>5248</v>
      </c>
      <c r="K760" s="4"/>
      <c r="L760" s="4"/>
      <c r="M760" s="4"/>
      <c r="N760" s="4"/>
      <c r="O760" s="4"/>
      <c r="P760" s="4"/>
      <c r="Q760" s="4"/>
      <c r="R760" s="4"/>
      <c r="S760" s="4"/>
      <c r="T760" s="4" t="s">
        <v>5249</v>
      </c>
      <c r="U760" s="4"/>
      <c r="V760" s="4"/>
      <c r="W760" s="4"/>
      <c r="X760" s="4"/>
      <c r="Y760" s="4"/>
      <c r="Z760" s="4" t="s">
        <v>5250</v>
      </c>
      <c r="AA760" s="4"/>
      <c r="AB760" s="4"/>
      <c r="AC760" s="4"/>
      <c r="AD760" s="4"/>
      <c r="AE760" s="4"/>
      <c r="AF760" s="4"/>
      <c r="AG760" s="4"/>
      <c r="AH760" s="4"/>
      <c r="AI760" s="4"/>
      <c r="AJ760" s="4"/>
      <c r="AK760" s="4"/>
      <c r="AL760" s="4"/>
      <c r="AM760" s="4" t="s">
        <v>5251</v>
      </c>
      <c r="AN760" s="4" t="s">
        <v>5252</v>
      </c>
      <c r="AO760" s="4"/>
      <c r="AP760" s="4"/>
      <c r="AQ760" s="4"/>
      <c r="AR760" s="4" t="s">
        <v>81</v>
      </c>
      <c r="AS760" s="4">
        <v>2021</v>
      </c>
      <c r="AT760" s="4">
        <v>21</v>
      </c>
      <c r="AU760" s="4">
        <v>1</v>
      </c>
      <c r="AV760" s="4"/>
      <c r="AW760" s="4"/>
      <c r="AX760" s="4"/>
      <c r="AY760" s="4"/>
      <c r="AZ760" s="4">
        <v>93</v>
      </c>
      <c r="BA760" s="4">
        <v>100</v>
      </c>
      <c r="BB760" s="4"/>
      <c r="BC760" s="4"/>
      <c r="BD760" s="4"/>
      <c r="BE760" s="4"/>
      <c r="BF760" s="4"/>
      <c r="BG760" s="4"/>
      <c r="BH760" s="4"/>
      <c r="BI760" s="4">
        <v>32891801</v>
      </c>
      <c r="BJ760" s="4" t="s">
        <v>5253</v>
      </c>
      <c r="BK760" s="4"/>
      <c r="BL760" s="4"/>
      <c r="BM760" s="4"/>
      <c r="BN760" s="4"/>
      <c r="BO760" s="4"/>
      <c r="BP760" s="4"/>
      <c r="BQ760" s="4"/>
      <c r="BR760" s="4"/>
      <c r="BS760" s="4"/>
      <c r="BT760" s="4"/>
      <c r="BU760" s="12" t="s">
        <v>7497</v>
      </c>
      <c r="BV760" s="12" t="s">
        <v>7188</v>
      </c>
      <c r="BW760" s="12" t="s">
        <v>7189</v>
      </c>
    </row>
    <row r="761" spans="1:75" ht="12.75" customHeight="1">
      <c r="A761" s="3" t="s">
        <v>63</v>
      </c>
      <c r="B761" s="3" t="s">
        <v>7089</v>
      </c>
      <c r="C761" s="3"/>
      <c r="D761" s="3"/>
      <c r="E761" s="3"/>
      <c r="F761" s="3" t="s">
        <v>7090</v>
      </c>
      <c r="G761" s="3"/>
      <c r="H761" s="3"/>
      <c r="I761" s="3" t="s">
        <v>7091</v>
      </c>
      <c r="J761" s="3" t="s">
        <v>7092</v>
      </c>
      <c r="K761" s="3"/>
      <c r="L761" s="3"/>
      <c r="M761" s="3"/>
      <c r="N761" s="3"/>
      <c r="O761" s="3"/>
      <c r="P761" s="3"/>
      <c r="Q761" s="3"/>
      <c r="R761" s="3"/>
      <c r="S761" s="3"/>
      <c r="T761" s="3" t="s">
        <v>7093</v>
      </c>
      <c r="U761" s="3"/>
      <c r="V761" s="3"/>
      <c r="W761" s="3"/>
      <c r="X761" s="3"/>
      <c r="Y761" s="3"/>
      <c r="Z761" s="3" t="s">
        <v>7094</v>
      </c>
      <c r="AA761" s="3"/>
      <c r="AB761" s="3"/>
      <c r="AC761" s="3"/>
      <c r="AD761" s="3"/>
      <c r="AE761" s="3"/>
      <c r="AF761" s="3"/>
      <c r="AG761" s="3"/>
      <c r="AH761" s="3"/>
      <c r="AI761" s="3"/>
      <c r="AJ761" s="3"/>
      <c r="AK761" s="3"/>
      <c r="AL761" s="3"/>
      <c r="AM761" s="3" t="s">
        <v>7095</v>
      </c>
      <c r="AN761" s="3" t="s">
        <v>7096</v>
      </c>
      <c r="AO761" s="3"/>
      <c r="AP761" s="3"/>
      <c r="AQ761" s="3"/>
      <c r="AR761" s="3" t="s">
        <v>7097</v>
      </c>
      <c r="AS761" s="3">
        <v>2024</v>
      </c>
      <c r="AT761" s="3"/>
      <c r="AU761" s="3"/>
      <c r="AV761" s="3"/>
      <c r="AW761" s="3"/>
      <c r="AX761" s="3"/>
      <c r="AY761" s="3"/>
      <c r="AZ761" s="3"/>
      <c r="BA761" s="3"/>
      <c r="BB761" s="3"/>
      <c r="BC761" s="3" t="s">
        <v>7098</v>
      </c>
      <c r="BD761" s="15" t="str">
        <f>HYPERLINK("http://dx.doi.org/10.1111/ijpo.13151","http://dx.doi.org/10.1111/ijpo.13151")</f>
        <v>http://dx.doi.org/10.1111/ijpo.13151</v>
      </c>
      <c r="BE761" s="3"/>
      <c r="BF761" s="3" t="s">
        <v>6901</v>
      </c>
      <c r="BG761" s="3"/>
      <c r="BH761" s="3"/>
      <c r="BI761" s="3">
        <v>39092555</v>
      </c>
      <c r="BJ761" s="3" t="s">
        <v>7099</v>
      </c>
      <c r="BK761" s="3"/>
      <c r="BL761" s="3"/>
      <c r="BM761" s="3"/>
      <c r="BN761" s="3"/>
      <c r="BO761" s="3"/>
      <c r="BP761" s="3"/>
      <c r="BQ761" s="3"/>
      <c r="BR761" s="3"/>
      <c r="BS761" s="3"/>
      <c r="BT761" s="3"/>
      <c r="BU761" s="1" t="s">
        <v>7498</v>
      </c>
      <c r="BV761" s="20" t="s">
        <v>7188</v>
      </c>
      <c r="BW761" s="20" t="s">
        <v>7189</v>
      </c>
    </row>
    <row r="762" spans="1:75" ht="12.75" customHeight="1">
      <c r="A762" s="3" t="s">
        <v>63</v>
      </c>
      <c r="B762" s="3" t="s">
        <v>5254</v>
      </c>
      <c r="C762" s="3"/>
      <c r="D762" s="3"/>
      <c r="E762" s="3"/>
      <c r="F762" s="3" t="s">
        <v>5255</v>
      </c>
      <c r="G762" s="3"/>
      <c r="H762" s="3"/>
      <c r="I762" s="3" t="s">
        <v>5256</v>
      </c>
      <c r="J762" s="3" t="s">
        <v>423</v>
      </c>
      <c r="K762" s="3"/>
      <c r="L762" s="3"/>
      <c r="M762" s="3"/>
      <c r="N762" s="3"/>
      <c r="O762" s="3"/>
      <c r="P762" s="3"/>
      <c r="Q762" s="3"/>
      <c r="R762" s="3"/>
      <c r="S762" s="3"/>
      <c r="T762" s="3" t="s">
        <v>5257</v>
      </c>
      <c r="U762" s="3"/>
      <c r="V762" s="3"/>
      <c r="W762" s="3"/>
      <c r="X762" s="3"/>
      <c r="Y762" s="3"/>
      <c r="Z762" s="3"/>
      <c r="AA762" s="3"/>
      <c r="AB762" s="3"/>
      <c r="AC762" s="3"/>
      <c r="AD762" s="3"/>
      <c r="AE762" s="3"/>
      <c r="AF762" s="3"/>
      <c r="AG762" s="3"/>
      <c r="AH762" s="3"/>
      <c r="AI762" s="3"/>
      <c r="AJ762" s="3"/>
      <c r="AK762" s="3"/>
      <c r="AL762" s="3"/>
      <c r="AM762" s="3" t="s">
        <v>427</v>
      </c>
      <c r="AN762" s="3" t="s">
        <v>428</v>
      </c>
      <c r="AO762" s="3"/>
      <c r="AP762" s="3"/>
      <c r="AQ762" s="3"/>
      <c r="AR762" s="3" t="s">
        <v>3893</v>
      </c>
      <c r="AS762" s="3">
        <v>2021</v>
      </c>
      <c r="AT762" s="3">
        <v>16</v>
      </c>
      <c r="AU762" s="3">
        <v>3</v>
      </c>
      <c r="AV762" s="3"/>
      <c r="AW762" s="3"/>
      <c r="AX762" s="3"/>
      <c r="AY762" s="3"/>
      <c r="AZ762" s="3">
        <v>406</v>
      </c>
      <c r="BA762" s="3">
        <v>422</v>
      </c>
      <c r="BB762" s="3"/>
      <c r="BC762" s="3" t="s">
        <v>5258</v>
      </c>
      <c r="BD762" s="15" t="str">
        <f>HYPERLINK("http://dx.doi.org/10.1080/19320248.2019.1617818","http://dx.doi.org/10.1080/19320248.2019.1617818")</f>
        <v>http://dx.doi.org/10.1080/19320248.2019.1617818</v>
      </c>
      <c r="BE762" s="3"/>
      <c r="BF762" s="3"/>
      <c r="BG762" s="3"/>
      <c r="BH762" s="3"/>
      <c r="BI762" s="3"/>
      <c r="BJ762" s="3" t="s">
        <v>5259</v>
      </c>
      <c r="BK762" s="3"/>
      <c r="BL762" s="3"/>
      <c r="BM762" s="3"/>
      <c r="BN762" s="3"/>
      <c r="BO762" s="3"/>
      <c r="BP762" s="3"/>
      <c r="BQ762" s="3"/>
      <c r="BR762" s="3"/>
      <c r="BS762" s="3"/>
      <c r="BT762" s="3"/>
      <c r="BU762" s="1" t="s">
        <v>7388</v>
      </c>
      <c r="BV762" s="20" t="s">
        <v>7188</v>
      </c>
      <c r="BW762" s="20" t="s">
        <v>7189</v>
      </c>
    </row>
    <row r="763" spans="1:75" ht="12.75" customHeight="1">
      <c r="A763" s="4" t="s">
        <v>63</v>
      </c>
      <c r="B763" s="4" t="s">
        <v>931</v>
      </c>
      <c r="C763" s="4"/>
      <c r="D763" s="4"/>
      <c r="E763" s="4"/>
      <c r="F763" s="4" t="s">
        <v>932</v>
      </c>
      <c r="G763" s="4"/>
      <c r="H763" s="4"/>
      <c r="I763" s="4" t="s">
        <v>933</v>
      </c>
      <c r="J763" s="4" t="s">
        <v>532</v>
      </c>
      <c r="K763" s="4"/>
      <c r="L763" s="4"/>
      <c r="M763" s="4"/>
      <c r="N763" s="4"/>
      <c r="O763" s="4"/>
      <c r="P763" s="4"/>
      <c r="Q763" s="4"/>
      <c r="R763" s="4"/>
      <c r="S763" s="4"/>
      <c r="T763" s="4" t="s">
        <v>934</v>
      </c>
      <c r="U763" s="4"/>
      <c r="V763" s="4"/>
      <c r="W763" s="4"/>
      <c r="X763" s="4"/>
      <c r="Y763" s="4" t="s">
        <v>935</v>
      </c>
      <c r="Z763" s="4" t="s">
        <v>936</v>
      </c>
      <c r="AA763" s="4"/>
      <c r="AB763" s="4"/>
      <c r="AC763" s="4"/>
      <c r="AD763" s="4"/>
      <c r="AE763" s="4"/>
      <c r="AF763" s="4"/>
      <c r="AG763" s="4"/>
      <c r="AH763" s="4"/>
      <c r="AI763" s="4"/>
      <c r="AJ763" s="4"/>
      <c r="AK763" s="4"/>
      <c r="AL763" s="4"/>
      <c r="AM763" s="4" t="s">
        <v>534</v>
      </c>
      <c r="AN763" s="4" t="s">
        <v>535</v>
      </c>
      <c r="AO763" s="4"/>
      <c r="AP763" s="4"/>
      <c r="AQ763" s="4"/>
      <c r="AR763" s="4" t="s">
        <v>937</v>
      </c>
      <c r="AS763" s="4">
        <v>2012</v>
      </c>
      <c r="AT763" s="4">
        <v>3</v>
      </c>
      <c r="AU763" s="4">
        <v>1</v>
      </c>
      <c r="AV763" s="4"/>
      <c r="AW763" s="4"/>
      <c r="AX763" s="4"/>
      <c r="AY763" s="4"/>
      <c r="AZ763" s="4">
        <v>113</v>
      </c>
      <c r="BA763" s="4">
        <v>128</v>
      </c>
      <c r="BB763" s="4"/>
      <c r="BC763" s="4" t="s">
        <v>938</v>
      </c>
      <c r="BD763" s="5" t="str">
        <f>HYPERLINK("http://dx.doi.org/10.5304/jafscd.2012.031.006","http://dx.doi.org/10.5304/jafscd.2012.031.006")</f>
        <v>http://dx.doi.org/10.5304/jafscd.2012.031.006</v>
      </c>
      <c r="BE763" s="4"/>
      <c r="BF763" s="4"/>
      <c r="BG763" s="4"/>
      <c r="BH763" s="4"/>
      <c r="BI763" s="4"/>
      <c r="BJ763" s="4" t="s">
        <v>939</v>
      </c>
      <c r="BK763" s="4"/>
      <c r="BL763" s="4"/>
      <c r="BM763" s="4"/>
      <c r="BN763" s="4"/>
      <c r="BO763" s="4"/>
      <c r="BP763" s="4"/>
      <c r="BQ763" s="4"/>
      <c r="BR763" s="4"/>
      <c r="BS763" s="4"/>
      <c r="BT763" s="4"/>
      <c r="BU763" s="12" t="s">
        <v>7376</v>
      </c>
      <c r="BV763" s="12" t="s">
        <v>7188</v>
      </c>
      <c r="BW763" s="12" t="s">
        <v>7189</v>
      </c>
    </row>
    <row r="764" spans="1:75" ht="12.75" customHeight="1">
      <c r="A764" s="4" t="s">
        <v>63</v>
      </c>
      <c r="B764" s="4" t="s">
        <v>4595</v>
      </c>
      <c r="C764" s="4"/>
      <c r="D764" s="4"/>
      <c r="E764" s="4"/>
      <c r="F764" s="4" t="s">
        <v>4596</v>
      </c>
      <c r="G764" s="4"/>
      <c r="H764" s="4"/>
      <c r="I764" s="4" t="s">
        <v>4597</v>
      </c>
      <c r="J764" s="4" t="s">
        <v>3374</v>
      </c>
      <c r="K764" s="4"/>
      <c r="L764" s="4"/>
      <c r="M764" s="4"/>
      <c r="N764" s="4"/>
      <c r="O764" s="4"/>
      <c r="P764" s="4"/>
      <c r="Q764" s="4"/>
      <c r="R764" s="4"/>
      <c r="S764" s="4"/>
      <c r="T764" s="4" t="s">
        <v>4598</v>
      </c>
      <c r="U764" s="4"/>
      <c r="V764" s="4"/>
      <c r="W764" s="4"/>
      <c r="X764" s="4"/>
      <c r="Y764" s="4" t="s">
        <v>4599</v>
      </c>
      <c r="Z764" s="4" t="s">
        <v>4600</v>
      </c>
      <c r="AA764" s="4"/>
      <c r="AB764" s="4"/>
      <c r="AC764" s="4"/>
      <c r="AD764" s="4"/>
      <c r="AE764" s="4"/>
      <c r="AF764" s="4"/>
      <c r="AG764" s="4"/>
      <c r="AH764" s="4"/>
      <c r="AI764" s="4"/>
      <c r="AJ764" s="4"/>
      <c r="AK764" s="4"/>
      <c r="AL764" s="4"/>
      <c r="AM764" s="4"/>
      <c r="AN764" s="4" t="s">
        <v>3377</v>
      </c>
      <c r="AO764" s="4"/>
      <c r="AP764" s="4"/>
      <c r="AQ764" s="4"/>
      <c r="AR764" s="4" t="s">
        <v>65</v>
      </c>
      <c r="AS764" s="4">
        <v>2020</v>
      </c>
      <c r="AT764" s="4">
        <v>12</v>
      </c>
      <c r="AU764" s="4">
        <v>24</v>
      </c>
      <c r="AV764" s="4"/>
      <c r="AW764" s="4"/>
      <c r="AX764" s="4"/>
      <c r="AY764" s="4"/>
      <c r="AZ764" s="4"/>
      <c r="BA764" s="4"/>
      <c r="BB764" s="4">
        <v>10406</v>
      </c>
      <c r="BC764" s="4" t="s">
        <v>4601</v>
      </c>
      <c r="BD764" s="5" t="str">
        <f>HYPERLINK("http://dx.doi.org/10.3390/su122410406","http://dx.doi.org/10.3390/su122410406")</f>
        <v>http://dx.doi.org/10.3390/su122410406</v>
      </c>
      <c r="BE764" s="4"/>
      <c r="BF764" s="4"/>
      <c r="BG764" s="4"/>
      <c r="BH764" s="4"/>
      <c r="BI764" s="4"/>
      <c r="BJ764" s="4" t="s">
        <v>4602</v>
      </c>
      <c r="BK764" s="4"/>
      <c r="BL764" s="4"/>
      <c r="BM764" s="4"/>
      <c r="BN764" s="4"/>
      <c r="BO764" s="4"/>
      <c r="BP764" s="4"/>
      <c r="BQ764" s="4"/>
      <c r="BR764" s="4"/>
      <c r="BS764" s="4"/>
      <c r="BT764" s="4"/>
      <c r="BU764" s="12" t="s">
        <v>7499</v>
      </c>
      <c r="BV764" s="12" t="s">
        <v>7188</v>
      </c>
      <c r="BW764" s="12" t="s">
        <v>7189</v>
      </c>
    </row>
    <row r="765" spans="1:75" ht="12.75" customHeight="1">
      <c r="A765" s="4" t="s">
        <v>63</v>
      </c>
      <c r="B765" s="4" t="s">
        <v>2600</v>
      </c>
      <c r="C765" s="4"/>
      <c r="D765" s="4"/>
      <c r="E765" s="4"/>
      <c r="F765" s="4" t="s">
        <v>2601</v>
      </c>
      <c r="G765" s="4"/>
      <c r="H765" s="4"/>
      <c r="I765" s="4" t="s">
        <v>2602</v>
      </c>
      <c r="J765" s="4" t="s">
        <v>532</v>
      </c>
      <c r="K765" s="4"/>
      <c r="L765" s="4"/>
      <c r="M765" s="4"/>
      <c r="N765" s="4"/>
      <c r="O765" s="4"/>
      <c r="P765" s="4"/>
      <c r="Q765" s="4"/>
      <c r="R765" s="4"/>
      <c r="S765" s="4"/>
      <c r="T765" s="4" t="s">
        <v>2603</v>
      </c>
      <c r="U765" s="4"/>
      <c r="V765" s="4"/>
      <c r="W765" s="4"/>
      <c r="X765" s="4"/>
      <c r="Y765" s="4" t="s">
        <v>2604</v>
      </c>
      <c r="Z765" s="4"/>
      <c r="AA765" s="4"/>
      <c r="AB765" s="4"/>
      <c r="AC765" s="4"/>
      <c r="AD765" s="4"/>
      <c r="AE765" s="4"/>
      <c r="AF765" s="4"/>
      <c r="AG765" s="4"/>
      <c r="AH765" s="4"/>
      <c r="AI765" s="4"/>
      <c r="AJ765" s="4"/>
      <c r="AK765" s="4"/>
      <c r="AL765" s="4"/>
      <c r="AM765" s="4" t="s">
        <v>534</v>
      </c>
      <c r="AN765" s="4" t="s">
        <v>535</v>
      </c>
      <c r="AO765" s="4"/>
      <c r="AP765" s="4"/>
      <c r="AQ765" s="4"/>
      <c r="AR765" s="4" t="s">
        <v>937</v>
      </c>
      <c r="AS765" s="4">
        <v>2016</v>
      </c>
      <c r="AT765" s="4">
        <v>7</v>
      </c>
      <c r="AU765" s="4">
        <v>1</v>
      </c>
      <c r="AV765" s="4"/>
      <c r="AW765" s="4"/>
      <c r="AX765" s="4"/>
      <c r="AY765" s="4"/>
      <c r="AZ765" s="4">
        <v>33</v>
      </c>
      <c r="BA765" s="4">
        <v>48</v>
      </c>
      <c r="BB765" s="4"/>
      <c r="BC765" s="4" t="s">
        <v>2605</v>
      </c>
      <c r="BD765" s="5" t="str">
        <f>HYPERLINK("http://dx.doi.org/10.5304/jafscd.2016.071.005","http://dx.doi.org/10.5304/jafscd.2016.071.005")</f>
        <v>http://dx.doi.org/10.5304/jafscd.2016.071.005</v>
      </c>
      <c r="BE765" s="4"/>
      <c r="BF765" s="4"/>
      <c r="BG765" s="4"/>
      <c r="BH765" s="4"/>
      <c r="BI765" s="4"/>
      <c r="BJ765" s="4" t="s">
        <v>2606</v>
      </c>
      <c r="BK765" s="4"/>
      <c r="BL765" s="4"/>
      <c r="BM765" s="4"/>
      <c r="BN765" s="4"/>
      <c r="BO765" s="4"/>
      <c r="BP765" s="4"/>
      <c r="BQ765" s="4"/>
      <c r="BR765" s="4"/>
      <c r="BS765" s="4"/>
      <c r="BT765" s="4"/>
      <c r="BU765" s="12" t="s">
        <v>7500</v>
      </c>
      <c r="BV765" s="12" t="s">
        <v>7300</v>
      </c>
      <c r="BW765" s="12" t="s">
        <v>7301</v>
      </c>
    </row>
    <row r="766" spans="1:75" ht="12.75" customHeight="1">
      <c r="A766" s="4" t="s">
        <v>63</v>
      </c>
      <c r="B766" s="4" t="s">
        <v>5892</v>
      </c>
      <c r="C766" s="4"/>
      <c r="D766" s="4"/>
      <c r="E766" s="4"/>
      <c r="F766" s="4" t="s">
        <v>5893</v>
      </c>
      <c r="G766" s="4"/>
      <c r="H766" s="4"/>
      <c r="I766" s="4" t="s">
        <v>5894</v>
      </c>
      <c r="J766" s="4" t="s">
        <v>2382</v>
      </c>
      <c r="K766" s="4"/>
      <c r="L766" s="4"/>
      <c r="M766" s="4"/>
      <c r="N766" s="4"/>
      <c r="O766" s="4"/>
      <c r="P766" s="4"/>
      <c r="Q766" s="4"/>
      <c r="R766" s="4"/>
      <c r="S766" s="4"/>
      <c r="T766" s="4" t="s">
        <v>5895</v>
      </c>
      <c r="U766" s="4"/>
      <c r="V766" s="4"/>
      <c r="W766" s="4"/>
      <c r="X766" s="4"/>
      <c r="Y766" s="4"/>
      <c r="Z766" s="4" t="s">
        <v>5896</v>
      </c>
      <c r="AA766" s="4"/>
      <c r="AB766" s="4"/>
      <c r="AC766" s="4"/>
      <c r="AD766" s="4"/>
      <c r="AE766" s="4"/>
      <c r="AF766" s="4"/>
      <c r="AG766" s="4"/>
      <c r="AH766" s="4"/>
      <c r="AI766" s="4"/>
      <c r="AJ766" s="4"/>
      <c r="AK766" s="4"/>
      <c r="AL766" s="4"/>
      <c r="AM766" s="4"/>
      <c r="AN766" s="4" t="s">
        <v>2384</v>
      </c>
      <c r="AO766" s="4"/>
      <c r="AP766" s="4"/>
      <c r="AQ766" s="4"/>
      <c r="AR766" s="4" t="s">
        <v>5897</v>
      </c>
      <c r="AS766" s="4">
        <v>2022</v>
      </c>
      <c r="AT766" s="4">
        <v>22</v>
      </c>
      <c r="AU766" s="4">
        <v>1</v>
      </c>
      <c r="AV766" s="4"/>
      <c r="AW766" s="4"/>
      <c r="AX766" s="4"/>
      <c r="AY766" s="4"/>
      <c r="AZ766" s="4"/>
      <c r="BA766" s="4"/>
      <c r="BB766" s="4">
        <v>525</v>
      </c>
      <c r="BC766" s="4" t="s">
        <v>5898</v>
      </c>
      <c r="BD766" s="5" t="str">
        <f>HYPERLINK("http://dx.doi.org/10.1186/s12889-022-12847-0","http://dx.doi.org/10.1186/s12889-022-12847-0")</f>
        <v>http://dx.doi.org/10.1186/s12889-022-12847-0</v>
      </c>
      <c r="BE766" s="4"/>
      <c r="BF766" s="4"/>
      <c r="BG766" s="4"/>
      <c r="BH766" s="4"/>
      <c r="BI766" s="4">
        <v>35300631</v>
      </c>
      <c r="BJ766" s="4" t="s">
        <v>5899</v>
      </c>
      <c r="BK766" s="4"/>
      <c r="BL766" s="4"/>
      <c r="BM766" s="4"/>
      <c r="BN766" s="4"/>
      <c r="BO766" s="4"/>
      <c r="BP766" s="4"/>
      <c r="BQ766" s="4"/>
      <c r="BR766" s="4"/>
      <c r="BS766" s="4"/>
      <c r="BT766" s="4"/>
      <c r="BU766" s="12" t="s">
        <v>7193</v>
      </c>
      <c r="BV766" s="12" t="s">
        <v>7188</v>
      </c>
      <c r="BW766" s="12" t="s">
        <v>7189</v>
      </c>
    </row>
    <row r="767" spans="1:75" ht="12.75" customHeight="1">
      <c r="A767" s="4" t="s">
        <v>63</v>
      </c>
      <c r="B767" s="4" t="s">
        <v>3219</v>
      </c>
      <c r="C767" s="4"/>
      <c r="D767" s="4"/>
      <c r="E767" s="4"/>
      <c r="F767" s="4" t="s">
        <v>3220</v>
      </c>
      <c r="G767" s="4"/>
      <c r="H767" s="4"/>
      <c r="I767" s="4" t="s">
        <v>3221</v>
      </c>
      <c r="J767" s="4" t="s">
        <v>532</v>
      </c>
      <c r="K767" s="4"/>
      <c r="L767" s="4"/>
      <c r="M767" s="4"/>
      <c r="N767" s="4"/>
      <c r="O767" s="4"/>
      <c r="P767" s="4"/>
      <c r="Q767" s="4"/>
      <c r="R767" s="4"/>
      <c r="S767" s="4"/>
      <c r="T767" s="4" t="s">
        <v>3222</v>
      </c>
      <c r="U767" s="4"/>
      <c r="V767" s="4"/>
      <c r="W767" s="4"/>
      <c r="X767" s="4"/>
      <c r="Y767" s="4"/>
      <c r="Z767" s="4" t="s">
        <v>3223</v>
      </c>
      <c r="AA767" s="4"/>
      <c r="AB767" s="4"/>
      <c r="AC767" s="4"/>
      <c r="AD767" s="4"/>
      <c r="AE767" s="4"/>
      <c r="AF767" s="4"/>
      <c r="AG767" s="4"/>
      <c r="AH767" s="4"/>
      <c r="AI767" s="4"/>
      <c r="AJ767" s="4"/>
      <c r="AK767" s="4"/>
      <c r="AL767" s="4"/>
      <c r="AM767" s="4" t="s">
        <v>534</v>
      </c>
      <c r="AN767" s="4" t="s">
        <v>535</v>
      </c>
      <c r="AO767" s="4"/>
      <c r="AP767" s="4"/>
      <c r="AQ767" s="4"/>
      <c r="AR767" s="4" t="s">
        <v>3224</v>
      </c>
      <c r="AS767" s="4">
        <v>2017</v>
      </c>
      <c r="AT767" s="4">
        <v>7</v>
      </c>
      <c r="AU767" s="4">
        <v>3</v>
      </c>
      <c r="AV767" s="4"/>
      <c r="AW767" s="4"/>
      <c r="AX767" s="4"/>
      <c r="AY767" s="4"/>
      <c r="AZ767" s="4">
        <v>139</v>
      </c>
      <c r="BA767" s="4">
        <v>157</v>
      </c>
      <c r="BB767" s="4"/>
      <c r="BC767" s="4" t="s">
        <v>3225</v>
      </c>
      <c r="BD767" s="5" t="str">
        <f>HYPERLINK("http://dx.doi.org/10.5304/jafscd.2017.073.009","http://dx.doi.org/10.5304/jafscd.2017.073.009")</f>
        <v>http://dx.doi.org/10.5304/jafscd.2017.073.009</v>
      </c>
      <c r="BE767" s="4"/>
      <c r="BF767" s="4"/>
      <c r="BG767" s="4"/>
      <c r="BH767" s="4"/>
      <c r="BI767" s="4"/>
      <c r="BJ767" s="4" t="s">
        <v>3226</v>
      </c>
      <c r="BK767" s="4"/>
      <c r="BL767" s="4"/>
      <c r="BM767" s="4"/>
      <c r="BN767" s="4"/>
      <c r="BO767" s="4"/>
      <c r="BP767" s="4"/>
      <c r="BQ767" s="4"/>
      <c r="BR767" s="4"/>
      <c r="BS767" s="4"/>
      <c r="BT767" s="4"/>
      <c r="BU767" s="12" t="s">
        <v>7193</v>
      </c>
      <c r="BV767" s="12" t="s">
        <v>7188</v>
      </c>
      <c r="BW767" s="12" t="s">
        <v>7189</v>
      </c>
    </row>
    <row r="768" spans="1:75" ht="12.75" customHeight="1">
      <c r="A768" s="4" t="s">
        <v>63</v>
      </c>
      <c r="B768" s="4" t="s">
        <v>2124</v>
      </c>
      <c r="C768" s="4"/>
      <c r="D768" s="4"/>
      <c r="E768" s="4"/>
      <c r="F768" s="4" t="s">
        <v>2125</v>
      </c>
      <c r="G768" s="4"/>
      <c r="H768" s="4"/>
      <c r="I768" s="4" t="s">
        <v>2126</v>
      </c>
      <c r="J768" s="4" t="s">
        <v>2127</v>
      </c>
      <c r="K768" s="4"/>
      <c r="L768" s="4"/>
      <c r="M768" s="4"/>
      <c r="N768" s="4"/>
      <c r="O768" s="4"/>
      <c r="P768" s="4"/>
      <c r="Q768" s="4"/>
      <c r="R768" s="4"/>
      <c r="S768" s="4"/>
      <c r="T768" s="4" t="s">
        <v>2128</v>
      </c>
      <c r="U768" s="4"/>
      <c r="V768" s="4"/>
      <c r="W768" s="4"/>
      <c r="X768" s="4"/>
      <c r="Y768" s="4" t="s">
        <v>2129</v>
      </c>
      <c r="Z768" s="4"/>
      <c r="AA768" s="4"/>
      <c r="AB768" s="4"/>
      <c r="AC768" s="4"/>
      <c r="AD768" s="4"/>
      <c r="AE768" s="4"/>
      <c r="AF768" s="4"/>
      <c r="AG768" s="4"/>
      <c r="AH768" s="4"/>
      <c r="AI768" s="4"/>
      <c r="AJ768" s="4"/>
      <c r="AK768" s="4"/>
      <c r="AL768" s="4"/>
      <c r="AM768" s="4" t="s">
        <v>534</v>
      </c>
      <c r="AN768" s="4" t="s">
        <v>535</v>
      </c>
      <c r="AO768" s="4"/>
      <c r="AP768" s="4"/>
      <c r="AQ768" s="4"/>
      <c r="AR768" s="4" t="s">
        <v>279</v>
      </c>
      <c r="AS768" s="4">
        <v>2015</v>
      </c>
      <c r="AT768" s="4">
        <v>5</v>
      </c>
      <c r="AU768" s="4">
        <v>4</v>
      </c>
      <c r="AV768" s="4"/>
      <c r="AW768" s="4"/>
      <c r="AX768" s="4"/>
      <c r="AY768" s="4"/>
      <c r="AZ768" s="4">
        <v>109</v>
      </c>
      <c r="BA768" s="4">
        <v>114</v>
      </c>
      <c r="BB768" s="4"/>
      <c r="BC768" s="4" t="s">
        <v>2130</v>
      </c>
      <c r="BD768" s="5" t="str">
        <f>HYPERLINK("http://dx.doi.org/10.5304/jafscd.2015.054.018","http://dx.doi.org/10.5304/jafscd.2015.054.018")</f>
        <v>http://dx.doi.org/10.5304/jafscd.2015.054.018</v>
      </c>
      <c r="BE768" s="4"/>
      <c r="BF768" s="4"/>
      <c r="BG768" s="4"/>
      <c r="BH768" s="4"/>
      <c r="BI768" s="4"/>
      <c r="BJ768" s="4" t="s">
        <v>2131</v>
      </c>
      <c r="BK768" s="4"/>
      <c r="BL768" s="4"/>
      <c r="BM768" s="4"/>
      <c r="BN768" s="4"/>
      <c r="BO768" s="4"/>
      <c r="BP768" s="4"/>
      <c r="BQ768" s="4"/>
      <c r="BR768" s="4"/>
      <c r="BS768" s="4"/>
      <c r="BT768" s="4"/>
      <c r="BU768" s="12" t="s">
        <v>7497</v>
      </c>
      <c r="BV768" s="12" t="s">
        <v>7188</v>
      </c>
      <c r="BW768" s="12" t="s">
        <v>7189</v>
      </c>
    </row>
    <row r="769" spans="1:75" ht="12.75" customHeight="1">
      <c r="A769" s="4" t="s">
        <v>201</v>
      </c>
      <c r="B769" s="4" t="s">
        <v>2607</v>
      </c>
      <c r="C769" s="4"/>
      <c r="D769" s="4"/>
      <c r="E769" s="4" t="s">
        <v>2608</v>
      </c>
      <c r="F769" s="4" t="s">
        <v>2609</v>
      </c>
      <c r="G769" s="4"/>
      <c r="H769" s="4"/>
      <c r="I769" s="4" t="s">
        <v>2610</v>
      </c>
      <c r="J769" s="4" t="s">
        <v>2611</v>
      </c>
      <c r="K769" s="4"/>
      <c r="L769" s="4"/>
      <c r="M769" s="4"/>
      <c r="N769" s="4" t="s">
        <v>2612</v>
      </c>
      <c r="O769" s="4" t="s">
        <v>2613</v>
      </c>
      <c r="P769" s="4" t="s">
        <v>2614</v>
      </c>
      <c r="Q769" s="4"/>
      <c r="R769" s="4"/>
      <c r="S769" s="4"/>
      <c r="T769" s="4" t="s">
        <v>2615</v>
      </c>
      <c r="U769" s="4"/>
      <c r="V769" s="4"/>
      <c r="W769" s="4"/>
      <c r="X769" s="4"/>
      <c r="Y769" s="4" t="s">
        <v>2616</v>
      </c>
      <c r="Z769" s="4" t="s">
        <v>2617</v>
      </c>
      <c r="AA769" s="4"/>
      <c r="AB769" s="4"/>
      <c r="AC769" s="4"/>
      <c r="AD769" s="4"/>
      <c r="AE769" s="4"/>
      <c r="AF769" s="4"/>
      <c r="AG769" s="4"/>
      <c r="AH769" s="4"/>
      <c r="AI769" s="4"/>
      <c r="AJ769" s="4"/>
      <c r="AK769" s="4"/>
      <c r="AL769" s="4"/>
      <c r="AM769" s="4"/>
      <c r="AN769" s="4"/>
      <c r="AO769" s="4" t="s">
        <v>2618</v>
      </c>
      <c r="AP769" s="4"/>
      <c r="AQ769" s="4"/>
      <c r="AR769" s="4"/>
      <c r="AS769" s="4">
        <v>2016</v>
      </c>
      <c r="AT769" s="4"/>
      <c r="AU769" s="4"/>
      <c r="AV769" s="4"/>
      <c r="AW769" s="4"/>
      <c r="AX769" s="4"/>
      <c r="AY769" s="4"/>
      <c r="AZ769" s="4">
        <v>983</v>
      </c>
      <c r="BA769" s="4">
        <v>995</v>
      </c>
      <c r="BB769" s="4"/>
      <c r="BC769" s="4"/>
      <c r="BD769" s="4"/>
      <c r="BE769" s="4"/>
      <c r="BF769" s="4"/>
      <c r="BG769" s="4"/>
      <c r="BH769" s="4"/>
      <c r="BI769" s="4"/>
      <c r="BJ769" s="4" t="s">
        <v>2619</v>
      </c>
      <c r="BK769" s="4"/>
      <c r="BL769" s="4"/>
      <c r="BM769" s="4"/>
      <c r="BN769" s="4"/>
      <c r="BO769" s="4"/>
      <c r="BP769" s="4"/>
      <c r="BQ769" s="4"/>
      <c r="BR769" s="4"/>
      <c r="BS769" s="4"/>
      <c r="BT769" s="4"/>
      <c r="BU769" s="12" t="s">
        <v>7276</v>
      </c>
      <c r="BV769" s="12" t="s">
        <v>7501</v>
      </c>
      <c r="BW769" s="12" t="s">
        <v>7205</v>
      </c>
    </row>
    <row r="770" spans="1:75" ht="12.75" customHeight="1">
      <c r="A770" s="4" t="s">
        <v>63</v>
      </c>
      <c r="B770" s="4" t="s">
        <v>518</v>
      </c>
      <c r="C770" s="4"/>
      <c r="D770" s="4"/>
      <c r="E770" s="4"/>
      <c r="F770" s="4" t="s">
        <v>519</v>
      </c>
      <c r="G770" s="4"/>
      <c r="H770" s="4"/>
      <c r="I770" s="4" t="s">
        <v>520</v>
      </c>
      <c r="J770" s="4" t="s">
        <v>521</v>
      </c>
      <c r="K770" s="4"/>
      <c r="L770" s="4"/>
      <c r="M770" s="4"/>
      <c r="N770" s="4"/>
      <c r="O770" s="4"/>
      <c r="P770" s="4"/>
      <c r="Q770" s="4"/>
      <c r="R770" s="4"/>
      <c r="S770" s="4"/>
      <c r="T770" s="4" t="s">
        <v>522</v>
      </c>
      <c r="U770" s="4"/>
      <c r="V770" s="4"/>
      <c r="W770" s="4"/>
      <c r="X770" s="4"/>
      <c r="Y770" s="4" t="s">
        <v>523</v>
      </c>
      <c r="Z770" s="4" t="s">
        <v>524</v>
      </c>
      <c r="AA770" s="4"/>
      <c r="AB770" s="4"/>
      <c r="AC770" s="4"/>
      <c r="AD770" s="4"/>
      <c r="AE770" s="4"/>
      <c r="AF770" s="4"/>
      <c r="AG770" s="4"/>
      <c r="AH770" s="4"/>
      <c r="AI770" s="4"/>
      <c r="AJ770" s="4"/>
      <c r="AK770" s="4"/>
      <c r="AL770" s="4"/>
      <c r="AM770" s="4" t="s">
        <v>525</v>
      </c>
      <c r="AN770" s="4" t="s">
        <v>526</v>
      </c>
      <c r="AO770" s="4"/>
      <c r="AP770" s="4"/>
      <c r="AQ770" s="4"/>
      <c r="AR770" s="4" t="s">
        <v>527</v>
      </c>
      <c r="AS770" s="4">
        <v>2010</v>
      </c>
      <c r="AT770" s="4">
        <v>15</v>
      </c>
      <c r="AU770" s="4">
        <v>1</v>
      </c>
      <c r="AV770" s="4"/>
      <c r="AW770" s="4"/>
      <c r="AX770" s="4"/>
      <c r="AY770" s="4"/>
      <c r="AZ770" s="4">
        <v>89</v>
      </c>
      <c r="BA770" s="4">
        <v>93</v>
      </c>
      <c r="BB770" s="4"/>
      <c r="BC770" s="4"/>
      <c r="BD770" s="4"/>
      <c r="BE770" s="4"/>
      <c r="BF770" s="4"/>
      <c r="BG770" s="4"/>
      <c r="BH770" s="4"/>
      <c r="BI770" s="4">
        <v>20414933</v>
      </c>
      <c r="BJ770" s="4" t="s">
        <v>528</v>
      </c>
      <c r="BK770" s="4"/>
      <c r="BL770" s="4"/>
      <c r="BM770" s="4"/>
      <c r="BN770" s="4"/>
      <c r="BO770" s="4"/>
      <c r="BP770" s="4"/>
      <c r="BQ770" s="4"/>
      <c r="BR770" s="4"/>
      <c r="BS770" s="4"/>
      <c r="BT770" s="4"/>
      <c r="BU770" s="12" t="s">
        <v>7502</v>
      </c>
      <c r="BV770" s="12" t="s">
        <v>7503</v>
      </c>
      <c r="BW770" s="12" t="s">
        <v>7205</v>
      </c>
    </row>
    <row r="771" spans="1:75" ht="12.75" customHeight="1">
      <c r="A771" s="4" t="s">
        <v>63</v>
      </c>
      <c r="B771" s="4" t="s">
        <v>1358</v>
      </c>
      <c r="C771" s="4"/>
      <c r="D771" s="4"/>
      <c r="E771" s="4"/>
      <c r="F771" s="4" t="s">
        <v>1680</v>
      </c>
      <c r="G771" s="4"/>
      <c r="H771" s="4"/>
      <c r="I771" s="4" t="s">
        <v>1681</v>
      </c>
      <c r="J771" s="4" t="s">
        <v>1361</v>
      </c>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t="s">
        <v>1363</v>
      </c>
      <c r="AN771" s="4" t="s">
        <v>1364</v>
      </c>
      <c r="AO771" s="4"/>
      <c r="AP771" s="4"/>
      <c r="AQ771" s="4"/>
      <c r="AR771" s="4"/>
      <c r="AS771" s="4">
        <v>2014</v>
      </c>
      <c r="AT771" s="4">
        <v>45</v>
      </c>
      <c r="AU771" s="4">
        <v>4</v>
      </c>
      <c r="AV771" s="4"/>
      <c r="AW771" s="4"/>
      <c r="AX771" s="4"/>
      <c r="AY771" s="4"/>
      <c r="AZ771" s="4"/>
      <c r="BA771" s="4"/>
      <c r="BB771" s="4"/>
      <c r="BC771" s="4" t="s">
        <v>1682</v>
      </c>
      <c r="BD771" s="5" t="str">
        <f>HYPERLINK("http://dx.doi.org/10.1080/15575330.2014.954349","http://dx.doi.org/10.1080/15575330.2014.954349")</f>
        <v>http://dx.doi.org/10.1080/15575330.2014.954349</v>
      </c>
      <c r="BE771" s="4"/>
      <c r="BF771" s="4"/>
      <c r="BG771" s="4"/>
      <c r="BH771" s="4"/>
      <c r="BI771" s="4"/>
      <c r="BJ771" s="4" t="s">
        <v>1683</v>
      </c>
      <c r="BK771" s="4"/>
      <c r="BL771" s="4"/>
      <c r="BM771" s="4"/>
      <c r="BN771" s="4"/>
      <c r="BO771" s="4"/>
      <c r="BP771" s="4"/>
      <c r="BQ771" s="4"/>
      <c r="BR771" s="4"/>
      <c r="BS771" s="4"/>
      <c r="BT771" s="4"/>
      <c r="BU771" s="12" t="s">
        <v>7504</v>
      </c>
      <c r="BV771" s="12" t="s">
        <v>7188</v>
      </c>
      <c r="BW771" s="12" t="s">
        <v>7189</v>
      </c>
    </row>
    <row r="772" spans="1:75" ht="12.75" customHeight="1">
      <c r="A772" s="6" t="s">
        <v>63</v>
      </c>
      <c r="B772" s="6" t="s">
        <v>4068</v>
      </c>
      <c r="C772" s="6"/>
      <c r="D772" s="6"/>
      <c r="E772" s="6"/>
      <c r="F772" s="6" t="s">
        <v>4069</v>
      </c>
      <c r="G772" s="6"/>
      <c r="H772" s="6"/>
      <c r="I772" s="6" t="s">
        <v>4070</v>
      </c>
      <c r="J772" s="6" t="s">
        <v>905</v>
      </c>
      <c r="K772" s="6"/>
      <c r="L772" s="6"/>
      <c r="M772" s="6"/>
      <c r="N772" s="6"/>
      <c r="O772" s="6"/>
      <c r="P772" s="6"/>
      <c r="Q772" s="6"/>
      <c r="R772" s="6"/>
      <c r="S772" s="6"/>
      <c r="T772" s="6" t="s">
        <v>4071</v>
      </c>
      <c r="U772" s="6"/>
      <c r="V772" s="6"/>
      <c r="W772" s="6"/>
      <c r="X772" s="6"/>
      <c r="Y772" s="6" t="s">
        <v>3557</v>
      </c>
      <c r="Z772" s="6"/>
      <c r="AA772" s="6"/>
      <c r="AB772" s="6"/>
      <c r="AC772" s="6"/>
      <c r="AD772" s="6"/>
      <c r="AE772" s="6"/>
      <c r="AF772" s="6"/>
      <c r="AG772" s="6"/>
      <c r="AH772" s="6"/>
      <c r="AI772" s="6"/>
      <c r="AJ772" s="6"/>
      <c r="AK772" s="6"/>
      <c r="AL772" s="6"/>
      <c r="AM772" s="6" t="s">
        <v>908</v>
      </c>
      <c r="AN772" s="6" t="s">
        <v>909</v>
      </c>
      <c r="AO772" s="6"/>
      <c r="AP772" s="6"/>
      <c r="AQ772" s="6"/>
      <c r="AR772" s="6" t="s">
        <v>133</v>
      </c>
      <c r="AS772" s="6">
        <v>2019</v>
      </c>
      <c r="AT772" s="6">
        <v>119</v>
      </c>
      <c r="AU772" s="6">
        <v>1</v>
      </c>
      <c r="AV772" s="6"/>
      <c r="AW772" s="6"/>
      <c r="AX772" s="6"/>
      <c r="AY772" s="6"/>
      <c r="AZ772" s="6">
        <v>76</v>
      </c>
      <c r="BA772" s="6" t="s">
        <v>1460</v>
      </c>
      <c r="BB772" s="6"/>
      <c r="BC772" s="6" t="s">
        <v>4072</v>
      </c>
      <c r="BD772" s="9" t="str">
        <f>HYPERLINK("http://dx.doi.org/10.1016/j.jand.2018.02.022","http://dx.doi.org/10.1016/j.jand.2018.02.022")</f>
        <v>http://dx.doi.org/10.1016/j.jand.2018.02.022</v>
      </c>
      <c r="BE772" s="6"/>
      <c r="BF772" s="6"/>
      <c r="BG772" s="6"/>
      <c r="BH772" s="6"/>
      <c r="BI772" s="6">
        <v>29764767</v>
      </c>
      <c r="BJ772" s="6" t="s">
        <v>4073</v>
      </c>
      <c r="BK772" s="6"/>
      <c r="BL772" s="6"/>
      <c r="BM772" s="6"/>
      <c r="BN772" s="6"/>
      <c r="BO772" s="6"/>
      <c r="BP772" s="6"/>
      <c r="BQ772" s="6"/>
      <c r="BR772" s="6"/>
      <c r="BS772" s="6"/>
      <c r="BT772" s="6"/>
      <c r="BU772" s="8" t="s">
        <v>7193</v>
      </c>
      <c r="BV772" s="8" t="s">
        <v>7188</v>
      </c>
      <c r="BW772" s="8" t="s">
        <v>7189</v>
      </c>
    </row>
    <row r="773" spans="1:75" ht="12.75" customHeight="1">
      <c r="A773" s="3" t="s">
        <v>63</v>
      </c>
      <c r="B773" s="3" t="s">
        <v>5260</v>
      </c>
      <c r="C773" s="3"/>
      <c r="D773" s="3"/>
      <c r="E773" s="3"/>
      <c r="F773" s="3" t="s">
        <v>5261</v>
      </c>
      <c r="G773" s="3"/>
      <c r="H773" s="3"/>
      <c r="I773" s="3" t="s">
        <v>5262</v>
      </c>
      <c r="J773" s="3" t="s">
        <v>5105</v>
      </c>
      <c r="K773" s="3"/>
      <c r="L773" s="3"/>
      <c r="M773" s="3"/>
      <c r="N773" s="3"/>
      <c r="O773" s="3"/>
      <c r="P773" s="3"/>
      <c r="Q773" s="3"/>
      <c r="R773" s="3"/>
      <c r="S773" s="3"/>
      <c r="T773" s="3" t="s">
        <v>5263</v>
      </c>
      <c r="U773" s="3"/>
      <c r="V773" s="3"/>
      <c r="W773" s="3"/>
      <c r="X773" s="3"/>
      <c r="Y773" s="3"/>
      <c r="Z773" s="3" t="s">
        <v>5264</v>
      </c>
      <c r="AA773" s="3"/>
      <c r="AB773" s="3"/>
      <c r="AC773" s="3"/>
      <c r="AD773" s="3"/>
      <c r="AE773" s="3"/>
      <c r="AF773" s="3"/>
      <c r="AG773" s="3"/>
      <c r="AH773" s="3"/>
      <c r="AI773" s="3"/>
      <c r="AJ773" s="3"/>
      <c r="AK773" s="3"/>
      <c r="AL773" s="3"/>
      <c r="AM773" s="3" t="s">
        <v>5107</v>
      </c>
      <c r="AN773" s="3" t="s">
        <v>5108</v>
      </c>
      <c r="AO773" s="3"/>
      <c r="AP773" s="3"/>
      <c r="AQ773" s="3"/>
      <c r="AR773" s="3" t="s">
        <v>121</v>
      </c>
      <c r="AS773" s="3">
        <v>2021</v>
      </c>
      <c r="AT773" s="3">
        <v>8</v>
      </c>
      <c r="AU773" s="3">
        <v>4</v>
      </c>
      <c r="AV773" s="3"/>
      <c r="AW773" s="3"/>
      <c r="AX773" s="3"/>
      <c r="AY773" s="3"/>
      <c r="AZ773" s="3">
        <v>1012</v>
      </c>
      <c r="BA773" s="3">
        <v>1025</v>
      </c>
      <c r="BB773" s="3"/>
      <c r="BC773" s="3" t="s">
        <v>5265</v>
      </c>
      <c r="BD773" s="15" t="str">
        <f>HYPERLINK("http://dx.doi.org/10.1007/s40615-020-00857-w","http://dx.doi.org/10.1007/s40615-020-00857-w")</f>
        <v>http://dx.doi.org/10.1007/s40615-020-00857-w</v>
      </c>
      <c r="BE773" s="3"/>
      <c r="BF773" s="3" t="s">
        <v>4372</v>
      </c>
      <c r="BG773" s="3"/>
      <c r="BH773" s="3"/>
      <c r="BI773" s="3">
        <v>32946069</v>
      </c>
      <c r="BJ773" s="3" t="s">
        <v>5266</v>
      </c>
      <c r="BK773" s="3"/>
      <c r="BL773" s="3"/>
      <c r="BM773" s="3"/>
      <c r="BN773" s="3"/>
      <c r="BO773" s="3"/>
      <c r="BP773" s="3"/>
      <c r="BQ773" s="3"/>
      <c r="BR773" s="3"/>
      <c r="BS773" s="3"/>
      <c r="BT773" s="3"/>
      <c r="BU773" s="1" t="s">
        <v>7496</v>
      </c>
      <c r="BV773" s="20" t="s">
        <v>7188</v>
      </c>
      <c r="BW773" s="20" t="s">
        <v>7189</v>
      </c>
    </row>
    <row r="774" spans="1:75" ht="12.75" customHeight="1">
      <c r="A774" s="3" t="s">
        <v>63</v>
      </c>
      <c r="B774" s="3" t="s">
        <v>3560</v>
      </c>
      <c r="C774" s="3"/>
      <c r="D774" s="3"/>
      <c r="E774" s="3"/>
      <c r="F774" s="3" t="s">
        <v>3561</v>
      </c>
      <c r="G774" s="3"/>
      <c r="H774" s="3"/>
      <c r="I774" s="3" t="s">
        <v>3562</v>
      </c>
      <c r="J774" s="3" t="s">
        <v>3563</v>
      </c>
      <c r="K774" s="3"/>
      <c r="L774" s="3"/>
      <c r="M774" s="3"/>
      <c r="N774" s="3"/>
      <c r="O774" s="3"/>
      <c r="P774" s="3"/>
      <c r="Q774" s="3"/>
      <c r="R774" s="3"/>
      <c r="S774" s="3"/>
      <c r="T774" s="3" t="s">
        <v>3564</v>
      </c>
      <c r="U774" s="3"/>
      <c r="V774" s="3"/>
      <c r="W774" s="3"/>
      <c r="X774" s="3"/>
      <c r="Y774" s="3" t="s">
        <v>3565</v>
      </c>
      <c r="Z774" s="3" t="s">
        <v>3566</v>
      </c>
      <c r="AA774" s="3"/>
      <c r="AB774" s="3"/>
      <c r="AC774" s="3"/>
      <c r="AD774" s="3"/>
      <c r="AE774" s="3"/>
      <c r="AF774" s="3"/>
      <c r="AG774" s="3"/>
      <c r="AH774" s="3"/>
      <c r="AI774" s="3"/>
      <c r="AJ774" s="3"/>
      <c r="AK774" s="3"/>
      <c r="AL774" s="3"/>
      <c r="AM774" s="3"/>
      <c r="AN774" s="3" t="s">
        <v>3567</v>
      </c>
      <c r="AO774" s="3"/>
      <c r="AP774" s="3"/>
      <c r="AQ774" s="3"/>
      <c r="AR774" s="3" t="s">
        <v>3568</v>
      </c>
      <c r="AS774" s="3">
        <v>2018</v>
      </c>
      <c r="AT774" s="3">
        <v>6</v>
      </c>
      <c r="AU774" s="3"/>
      <c r="AV774" s="3"/>
      <c r="AW774" s="3"/>
      <c r="AX774" s="3"/>
      <c r="AY774" s="3"/>
      <c r="AZ774" s="3"/>
      <c r="BA774" s="3"/>
      <c r="BB774" s="3">
        <v>89</v>
      </c>
      <c r="BC774" s="3" t="s">
        <v>3569</v>
      </c>
      <c r="BD774" s="15" t="str">
        <f>HYPERLINK("http://dx.doi.org/10.3389/fpubh.2018.00089","http://dx.doi.org/10.3389/fpubh.2018.00089")</f>
        <v>http://dx.doi.org/10.3389/fpubh.2018.00089</v>
      </c>
      <c r="BE774" s="3"/>
      <c r="BF774" s="3"/>
      <c r="BG774" s="3"/>
      <c r="BH774" s="3"/>
      <c r="BI774" s="3">
        <v>29632857</v>
      </c>
      <c r="BJ774" s="3" t="s">
        <v>3570</v>
      </c>
      <c r="BK774" s="3"/>
      <c r="BL774" s="3"/>
      <c r="BM774" s="3"/>
      <c r="BN774" s="3"/>
      <c r="BO774" s="3"/>
      <c r="BP774" s="3"/>
      <c r="BQ774" s="3"/>
      <c r="BR774" s="3"/>
      <c r="BS774" s="3"/>
      <c r="BT774" s="3"/>
      <c r="BU774" s="13" t="s">
        <v>7306</v>
      </c>
      <c r="BV774" s="20" t="s">
        <v>7188</v>
      </c>
      <c r="BW774" s="20" t="s">
        <v>7189</v>
      </c>
    </row>
    <row r="775" spans="1:75" ht="12.75" customHeight="1">
      <c r="A775" s="4" t="s">
        <v>63</v>
      </c>
      <c r="B775" s="4" t="s">
        <v>4074</v>
      </c>
      <c r="C775" s="4"/>
      <c r="D775" s="4"/>
      <c r="E775" s="4"/>
      <c r="F775" s="4" t="s">
        <v>4075</v>
      </c>
      <c r="G775" s="4"/>
      <c r="H775" s="4"/>
      <c r="I775" s="4" t="s">
        <v>4076</v>
      </c>
      <c r="J775" s="4" t="s">
        <v>4077</v>
      </c>
      <c r="K775" s="4"/>
      <c r="L775" s="4"/>
      <c r="M775" s="4"/>
      <c r="N775" s="4"/>
      <c r="O775" s="4"/>
      <c r="P775" s="4"/>
      <c r="Q775" s="4"/>
      <c r="R775" s="4"/>
      <c r="S775" s="4"/>
      <c r="T775" s="4" t="s">
        <v>4078</v>
      </c>
      <c r="U775" s="4"/>
      <c r="V775" s="4"/>
      <c r="W775" s="4"/>
      <c r="X775" s="4"/>
      <c r="Y775" s="4"/>
      <c r="Z775" s="4" t="s">
        <v>4079</v>
      </c>
      <c r="AA775" s="4"/>
      <c r="AB775" s="4"/>
      <c r="AC775" s="4"/>
      <c r="AD775" s="4"/>
      <c r="AE775" s="4"/>
      <c r="AF775" s="4"/>
      <c r="AG775" s="4"/>
      <c r="AH775" s="4"/>
      <c r="AI775" s="4"/>
      <c r="AJ775" s="4"/>
      <c r="AK775" s="4"/>
      <c r="AL775" s="4"/>
      <c r="AM775" s="4" t="s">
        <v>4080</v>
      </c>
      <c r="AN775" s="4" t="s">
        <v>4081</v>
      </c>
      <c r="AO775" s="4"/>
      <c r="AP775" s="4"/>
      <c r="AQ775" s="4"/>
      <c r="AR775" s="4" t="s">
        <v>4082</v>
      </c>
      <c r="AS775" s="4">
        <v>2019</v>
      </c>
      <c r="AT775" s="4">
        <v>13</v>
      </c>
      <c r="AU775" s="4">
        <v>1</v>
      </c>
      <c r="AV775" s="4"/>
      <c r="AW775" s="4"/>
      <c r="AX775" s="4" t="s">
        <v>569</v>
      </c>
      <c r="AY775" s="4"/>
      <c r="AZ775" s="4">
        <v>30</v>
      </c>
      <c r="BA775" s="4">
        <v>46</v>
      </c>
      <c r="BB775" s="4"/>
      <c r="BC775" s="4" t="s">
        <v>4083</v>
      </c>
      <c r="BD775" s="5" t="str">
        <f>HYPERLINK("http://dx.doi.org/10.1108/JPMD-05-2019-0033","http://dx.doi.org/10.1108/JPMD-05-2019-0033")</f>
        <v>http://dx.doi.org/10.1108/JPMD-05-2019-0033</v>
      </c>
      <c r="BE775" s="4"/>
      <c r="BF775" s="4" t="s">
        <v>4084</v>
      </c>
      <c r="BG775" s="4"/>
      <c r="BH775" s="4"/>
      <c r="BI775" s="4"/>
      <c r="BJ775" s="4" t="s">
        <v>4085</v>
      </c>
      <c r="BK775" s="4"/>
      <c r="BL775" s="4"/>
      <c r="BM775" s="4"/>
      <c r="BN775" s="4"/>
      <c r="BO775" s="4"/>
      <c r="BP775" s="4"/>
      <c r="BQ775" s="4"/>
      <c r="BR775" s="4"/>
      <c r="BS775" s="4"/>
      <c r="BT775" s="4"/>
      <c r="BU775" s="12" t="s">
        <v>7193</v>
      </c>
      <c r="BV775" s="12" t="s">
        <v>7188</v>
      </c>
      <c r="BW775" s="12" t="s">
        <v>7189</v>
      </c>
    </row>
    <row r="776" spans="1:75" ht="12.75" customHeight="1">
      <c r="A776" s="3" t="s">
        <v>63</v>
      </c>
      <c r="B776" s="3" t="s">
        <v>5900</v>
      </c>
      <c r="C776" s="3"/>
      <c r="D776" s="3"/>
      <c r="E776" s="3"/>
      <c r="F776" s="3" t="s">
        <v>5901</v>
      </c>
      <c r="G776" s="3"/>
      <c r="H776" s="3"/>
      <c r="I776" s="3" t="s">
        <v>5902</v>
      </c>
      <c r="J776" s="3" t="s">
        <v>5903</v>
      </c>
      <c r="K776" s="3"/>
      <c r="L776" s="3"/>
      <c r="M776" s="3"/>
      <c r="N776" s="3"/>
      <c r="O776" s="3"/>
      <c r="P776" s="3"/>
      <c r="Q776" s="3"/>
      <c r="R776" s="3"/>
      <c r="S776" s="3"/>
      <c r="T776" s="3" t="s">
        <v>5904</v>
      </c>
      <c r="U776" s="3"/>
      <c r="V776" s="3"/>
      <c r="W776" s="3"/>
      <c r="X776" s="3"/>
      <c r="Y776" s="3" t="s">
        <v>5905</v>
      </c>
      <c r="Z776" s="3"/>
      <c r="AA776" s="3"/>
      <c r="AB776" s="3"/>
      <c r="AC776" s="3"/>
      <c r="AD776" s="3"/>
      <c r="AE776" s="3"/>
      <c r="AF776" s="3"/>
      <c r="AG776" s="3"/>
      <c r="AH776" s="3"/>
      <c r="AI776" s="3"/>
      <c r="AJ776" s="3"/>
      <c r="AK776" s="3"/>
      <c r="AL776" s="3"/>
      <c r="AM776" s="3" t="s">
        <v>5906</v>
      </c>
      <c r="AN776" s="3" t="s">
        <v>5907</v>
      </c>
      <c r="AO776" s="3"/>
      <c r="AP776" s="3"/>
      <c r="AQ776" s="3"/>
      <c r="AR776" s="3" t="s">
        <v>68</v>
      </c>
      <c r="AS776" s="3">
        <v>2022</v>
      </c>
      <c r="AT776" s="3">
        <v>30</v>
      </c>
      <c r="AU776" s="3">
        <v>4</v>
      </c>
      <c r="AV776" s="3"/>
      <c r="AW776" s="3"/>
      <c r="AX776" s="3"/>
      <c r="AY776" s="3"/>
      <c r="AZ776" s="3">
        <v>871</v>
      </c>
      <c r="BA776" s="3">
        <v>878</v>
      </c>
      <c r="BB776" s="3"/>
      <c r="BC776" s="3" t="s">
        <v>5908</v>
      </c>
      <c r="BD776" s="15" t="str">
        <f>HYPERLINK("http://dx.doi.org/10.1007/s10389-020-01358-0","http://dx.doi.org/10.1007/s10389-020-01358-0")</f>
        <v>http://dx.doi.org/10.1007/s10389-020-01358-0</v>
      </c>
      <c r="BE776" s="3"/>
      <c r="BF776" s="3" t="s">
        <v>4441</v>
      </c>
      <c r="BG776" s="3"/>
      <c r="BH776" s="3"/>
      <c r="BI776" s="3">
        <v>37868935</v>
      </c>
      <c r="BJ776" s="3" t="s">
        <v>5909</v>
      </c>
      <c r="BK776" s="3"/>
      <c r="BL776" s="3"/>
      <c r="BM776" s="3"/>
      <c r="BN776" s="3"/>
      <c r="BO776" s="3"/>
      <c r="BP776" s="3"/>
      <c r="BQ776" s="3"/>
      <c r="BR776" s="3"/>
      <c r="BS776" s="3"/>
      <c r="BT776" s="3"/>
      <c r="BU776" s="13" t="s">
        <v>7505</v>
      </c>
      <c r="BV776" s="20" t="s">
        <v>7188</v>
      </c>
      <c r="BW776" s="20" t="s">
        <v>7189</v>
      </c>
    </row>
    <row r="777" spans="1:75" ht="12.75" customHeight="1">
      <c r="A777" s="6" t="s">
        <v>63</v>
      </c>
      <c r="B777" s="6" t="s">
        <v>3571</v>
      </c>
      <c r="C777" s="6"/>
      <c r="D777" s="6"/>
      <c r="E777" s="6"/>
      <c r="F777" s="6" t="s">
        <v>3572</v>
      </c>
      <c r="G777" s="6"/>
      <c r="H777" s="6"/>
      <c r="I777" s="6" t="s">
        <v>3573</v>
      </c>
      <c r="J777" s="6" t="s">
        <v>1142</v>
      </c>
      <c r="K777" s="6"/>
      <c r="L777" s="6"/>
      <c r="M777" s="6"/>
      <c r="N777" s="6"/>
      <c r="O777" s="6"/>
      <c r="P777" s="6"/>
      <c r="Q777" s="6"/>
      <c r="R777" s="6"/>
      <c r="S777" s="6"/>
      <c r="T777" s="6" t="s">
        <v>3574</v>
      </c>
      <c r="U777" s="6"/>
      <c r="V777" s="6"/>
      <c r="W777" s="6"/>
      <c r="X777" s="6"/>
      <c r="Y777" s="6" t="s">
        <v>3198</v>
      </c>
      <c r="Z777" s="6" t="s">
        <v>3199</v>
      </c>
      <c r="AA777" s="6"/>
      <c r="AB777" s="6"/>
      <c r="AC777" s="6"/>
      <c r="AD777" s="6"/>
      <c r="AE777" s="6"/>
      <c r="AF777" s="6"/>
      <c r="AG777" s="6"/>
      <c r="AH777" s="6"/>
      <c r="AI777" s="6"/>
      <c r="AJ777" s="6"/>
      <c r="AK777" s="6"/>
      <c r="AL777" s="6"/>
      <c r="AM777" s="6"/>
      <c r="AN777" s="6" t="s">
        <v>1144</v>
      </c>
      <c r="AO777" s="6"/>
      <c r="AP777" s="6"/>
      <c r="AQ777" s="6"/>
      <c r="AR777" s="6" t="s">
        <v>65</v>
      </c>
      <c r="AS777" s="6">
        <v>2018</v>
      </c>
      <c r="AT777" s="6">
        <v>15</v>
      </c>
      <c r="AU777" s="6">
        <v>12</v>
      </c>
      <c r="AV777" s="6"/>
      <c r="AW777" s="6"/>
      <c r="AX777" s="6"/>
      <c r="AY777" s="6"/>
      <c r="AZ777" s="6"/>
      <c r="BA777" s="6"/>
      <c r="BB777" s="6">
        <v>2681</v>
      </c>
      <c r="BC777" s="6" t="s">
        <v>3575</v>
      </c>
      <c r="BD777" s="9" t="str">
        <f>HYPERLINK("http://dx.doi.org/10.3390/ijerph15122681","http://dx.doi.org/10.3390/ijerph15122681")</f>
        <v>http://dx.doi.org/10.3390/ijerph15122681</v>
      </c>
      <c r="BE777" s="6"/>
      <c r="BF777" s="6"/>
      <c r="BG777" s="6"/>
      <c r="BH777" s="6"/>
      <c r="BI777" s="6">
        <v>30487427</v>
      </c>
      <c r="BJ777" s="6" t="s">
        <v>3576</v>
      </c>
      <c r="BK777" s="6"/>
      <c r="BL777" s="6"/>
      <c r="BM777" s="6"/>
      <c r="BN777" s="6"/>
      <c r="BO777" s="6"/>
      <c r="BP777" s="6"/>
      <c r="BQ777" s="6"/>
      <c r="BR777" s="6"/>
      <c r="BS777" s="6"/>
      <c r="BT777" s="6"/>
      <c r="BU777" s="8" t="s">
        <v>7225</v>
      </c>
      <c r="BV777" s="8" t="s">
        <v>7188</v>
      </c>
      <c r="BW777" s="8" t="s">
        <v>7189</v>
      </c>
    </row>
    <row r="778" spans="1:75" ht="12.75" customHeight="1">
      <c r="A778" s="4" t="s">
        <v>63</v>
      </c>
      <c r="B778" s="4" t="s">
        <v>7100</v>
      </c>
      <c r="C778" s="4"/>
      <c r="D778" s="4"/>
      <c r="E778" s="4"/>
      <c r="F778" s="4" t="s">
        <v>7101</v>
      </c>
      <c r="G778" s="4"/>
      <c r="H778" s="4"/>
      <c r="I778" s="4" t="s">
        <v>7102</v>
      </c>
      <c r="J778" s="4" t="s">
        <v>2043</v>
      </c>
      <c r="K778" s="4"/>
      <c r="L778" s="4"/>
      <c r="M778" s="4"/>
      <c r="N778" s="4"/>
      <c r="O778" s="4"/>
      <c r="P778" s="4"/>
      <c r="Q778" s="4"/>
      <c r="R778" s="4"/>
      <c r="S778" s="4"/>
      <c r="T778" s="4" t="s">
        <v>7103</v>
      </c>
      <c r="U778" s="4"/>
      <c r="V778" s="4"/>
      <c r="W778" s="4"/>
      <c r="X778" s="4"/>
      <c r="Y778" s="4"/>
      <c r="Z778" s="4" t="s">
        <v>5896</v>
      </c>
      <c r="AA778" s="4"/>
      <c r="AB778" s="4"/>
      <c r="AC778" s="4"/>
      <c r="AD778" s="4"/>
      <c r="AE778" s="4"/>
      <c r="AF778" s="4"/>
      <c r="AG778" s="4"/>
      <c r="AH778" s="4"/>
      <c r="AI778" s="4"/>
      <c r="AJ778" s="4"/>
      <c r="AK778" s="4"/>
      <c r="AL778" s="4"/>
      <c r="AM778" s="4" t="s">
        <v>2046</v>
      </c>
      <c r="AN778" s="4" t="s">
        <v>2047</v>
      </c>
      <c r="AO778" s="4"/>
      <c r="AP778" s="4"/>
      <c r="AQ778" s="4"/>
      <c r="AR778" s="4" t="s">
        <v>67</v>
      </c>
      <c r="AS778" s="4">
        <v>2024</v>
      </c>
      <c r="AT778" s="4">
        <v>115</v>
      </c>
      <c r="AU778" s="4">
        <v>1</v>
      </c>
      <c r="AV778" s="4"/>
      <c r="AW778" s="4"/>
      <c r="AX778" s="4"/>
      <c r="AY778" s="4"/>
      <c r="AZ778" s="4">
        <v>99</v>
      </c>
      <c r="BA778" s="4">
        <v>110</v>
      </c>
      <c r="BB778" s="4"/>
      <c r="BC778" s="4" t="s">
        <v>7104</v>
      </c>
      <c r="BD778" s="5" t="str">
        <f>HYPERLINK("http://dx.doi.org/10.17269/s41997-023-00831-z","http://dx.doi.org/10.17269/s41997-023-00831-z")</f>
        <v>http://dx.doi.org/10.17269/s41997-023-00831-z</v>
      </c>
      <c r="BE778" s="4"/>
      <c r="BF778" s="4" t="s">
        <v>6154</v>
      </c>
      <c r="BG778" s="4"/>
      <c r="BH778" s="4"/>
      <c r="BI778" s="4">
        <v>38036852</v>
      </c>
      <c r="BJ778" s="4" t="s">
        <v>7105</v>
      </c>
      <c r="BK778" s="4"/>
      <c r="BL778" s="4"/>
      <c r="BM778" s="4"/>
      <c r="BN778" s="4"/>
      <c r="BO778" s="4"/>
      <c r="BP778" s="4"/>
      <c r="BQ778" s="4"/>
      <c r="BR778" s="4"/>
      <c r="BS778" s="4"/>
      <c r="BT778" s="4"/>
      <c r="BU778" s="12" t="s">
        <v>7202</v>
      </c>
      <c r="BV778" s="12" t="s">
        <v>2039</v>
      </c>
      <c r="BW778" s="12" t="s">
        <v>7189</v>
      </c>
    </row>
    <row r="779" spans="1:75" ht="12.75" customHeight="1">
      <c r="A779" s="4" t="s">
        <v>63</v>
      </c>
      <c r="B779" s="4" t="s">
        <v>3227</v>
      </c>
      <c r="C779" s="4"/>
      <c r="D779" s="4"/>
      <c r="E779" s="4"/>
      <c r="F779" s="4" t="s">
        <v>3228</v>
      </c>
      <c r="G779" s="4"/>
      <c r="H779" s="4"/>
      <c r="I779" s="4" t="s">
        <v>3229</v>
      </c>
      <c r="J779" s="4" t="s">
        <v>3230</v>
      </c>
      <c r="K779" s="4"/>
      <c r="L779" s="4"/>
      <c r="M779" s="4"/>
      <c r="N779" s="4"/>
      <c r="O779" s="4"/>
      <c r="P779" s="4"/>
      <c r="Q779" s="4"/>
      <c r="R779" s="4"/>
      <c r="S779" s="4"/>
      <c r="T779" s="4" t="s">
        <v>3231</v>
      </c>
      <c r="U779" s="4"/>
      <c r="V779" s="4"/>
      <c r="W779" s="4"/>
      <c r="X779" s="4"/>
      <c r="Y779" s="4"/>
      <c r="Z779" s="4"/>
      <c r="AA779" s="4"/>
      <c r="AB779" s="4"/>
      <c r="AC779" s="4"/>
      <c r="AD779" s="4"/>
      <c r="AE779" s="4"/>
      <c r="AF779" s="4"/>
      <c r="AG779" s="4"/>
      <c r="AH779" s="4"/>
      <c r="AI779" s="4"/>
      <c r="AJ779" s="4"/>
      <c r="AK779" s="4"/>
      <c r="AL779" s="4"/>
      <c r="AM779" s="4" t="s">
        <v>3232</v>
      </c>
      <c r="AN779" s="4" t="s">
        <v>3233</v>
      </c>
      <c r="AO779" s="4"/>
      <c r="AP779" s="4"/>
      <c r="AQ779" s="4"/>
      <c r="AR779" s="4" t="s">
        <v>82</v>
      </c>
      <c r="AS779" s="4">
        <v>2017</v>
      </c>
      <c r="AT779" s="4">
        <v>93</v>
      </c>
      <c r="AU779" s="4">
        <v>1</v>
      </c>
      <c r="AV779" s="4"/>
      <c r="AW779" s="4"/>
      <c r="AX779" s="4" t="s">
        <v>569</v>
      </c>
      <c r="AY779" s="4"/>
      <c r="AZ779" s="4">
        <v>65</v>
      </c>
      <c r="BA779" s="4">
        <v>78</v>
      </c>
      <c r="BB779" s="4"/>
      <c r="BC779" s="4" t="s">
        <v>3234</v>
      </c>
      <c r="BD779" s="5" t="str">
        <f>HYPERLINK("http://dx.doi.org/10.1016/j.jretai.2016.12.007","http://dx.doi.org/10.1016/j.jretai.2016.12.007")</f>
        <v>http://dx.doi.org/10.1016/j.jretai.2016.12.007</v>
      </c>
      <c r="BE779" s="4"/>
      <c r="BF779" s="4"/>
      <c r="BG779" s="4"/>
      <c r="BH779" s="4"/>
      <c r="BI779" s="4"/>
      <c r="BJ779" s="4" t="s">
        <v>3235</v>
      </c>
      <c r="BK779" s="4"/>
      <c r="BL779" s="4"/>
      <c r="BM779" s="4"/>
      <c r="BN779" s="4"/>
      <c r="BO779" s="4"/>
      <c r="BP779" s="4"/>
      <c r="BQ779" s="4"/>
      <c r="BR779" s="4"/>
      <c r="BS779" s="4"/>
      <c r="BT779" s="4"/>
      <c r="BU779" s="12" t="s">
        <v>7193</v>
      </c>
      <c r="BV779" s="12" t="s">
        <v>7188</v>
      </c>
      <c r="BW779" s="12" t="s">
        <v>7189</v>
      </c>
    </row>
    <row r="780" spans="1:75" ht="12.75" customHeight="1">
      <c r="A780" s="4" t="s">
        <v>63</v>
      </c>
      <c r="B780" s="4" t="s">
        <v>69</v>
      </c>
      <c r="C780" s="4"/>
      <c r="D780" s="4"/>
      <c r="E780" s="4"/>
      <c r="F780" s="4" t="s">
        <v>69</v>
      </c>
      <c r="G780" s="4"/>
      <c r="H780" s="4"/>
      <c r="I780" s="4" t="s">
        <v>70</v>
      </c>
      <c r="J780" s="4" t="s">
        <v>71</v>
      </c>
      <c r="K780" s="4"/>
      <c r="L780" s="4"/>
      <c r="M780" s="4"/>
      <c r="N780" s="4" t="s">
        <v>72</v>
      </c>
      <c r="O780" s="4" t="s">
        <v>73</v>
      </c>
      <c r="P780" s="4" t="s">
        <v>74</v>
      </c>
      <c r="Q780" s="4" t="s">
        <v>75</v>
      </c>
      <c r="R780" s="4"/>
      <c r="S780" s="4"/>
      <c r="T780" s="4" t="s">
        <v>76</v>
      </c>
      <c r="U780" s="4"/>
      <c r="V780" s="4"/>
      <c r="W780" s="4"/>
      <c r="X780" s="4"/>
      <c r="Y780" s="4"/>
      <c r="Z780" s="4"/>
      <c r="AA780" s="4"/>
      <c r="AB780" s="4"/>
      <c r="AC780" s="4"/>
      <c r="AD780" s="4"/>
      <c r="AE780" s="4"/>
      <c r="AF780" s="4"/>
      <c r="AG780" s="4"/>
      <c r="AH780" s="4"/>
      <c r="AI780" s="4"/>
      <c r="AJ780" s="4"/>
      <c r="AK780" s="4"/>
      <c r="AL780" s="4"/>
      <c r="AM780" s="4" t="s">
        <v>77</v>
      </c>
      <c r="AN780" s="4"/>
      <c r="AO780" s="4"/>
      <c r="AP780" s="4"/>
      <c r="AQ780" s="4"/>
      <c r="AR780" s="4" t="s">
        <v>78</v>
      </c>
      <c r="AS780" s="4">
        <v>2000</v>
      </c>
      <c r="AT780" s="4">
        <v>59</v>
      </c>
      <c r="AU780" s="4">
        <v>2</v>
      </c>
      <c r="AV780" s="4"/>
      <c r="AW780" s="4"/>
      <c r="AX780" s="4"/>
      <c r="AY780" s="4"/>
      <c r="AZ780" s="4">
        <v>307</v>
      </c>
      <c r="BA780" s="4">
        <v>315</v>
      </c>
      <c r="BB780" s="4"/>
      <c r="BC780" s="4" t="s">
        <v>79</v>
      </c>
      <c r="BD780" s="5" t="str">
        <f>HYPERLINK("http://dx.doi.org/10.1017/S0029665100000343","http://dx.doi.org/10.1017/S0029665100000343")</f>
        <v>http://dx.doi.org/10.1017/S0029665100000343</v>
      </c>
      <c r="BE780" s="4"/>
      <c r="BF780" s="4"/>
      <c r="BG780" s="4"/>
      <c r="BH780" s="4"/>
      <c r="BI780" s="4">
        <v>10946800</v>
      </c>
      <c r="BJ780" s="4" t="s">
        <v>80</v>
      </c>
      <c r="BK780" s="4"/>
      <c r="BL780" s="4"/>
      <c r="BM780" s="4"/>
      <c r="BN780" s="4"/>
      <c r="BO780" s="4"/>
      <c r="BP780" s="4"/>
      <c r="BQ780" s="4"/>
      <c r="BR780" s="4"/>
      <c r="BS780" s="4"/>
      <c r="BT780" s="4"/>
      <c r="BU780" s="12" t="s">
        <v>7373</v>
      </c>
      <c r="BV780" s="12" t="s">
        <v>7214</v>
      </c>
      <c r="BW780" s="12" t="s">
        <v>7205</v>
      </c>
    </row>
    <row r="781" spans="1:75" ht="12.75" customHeight="1">
      <c r="A781" s="4" t="s">
        <v>63</v>
      </c>
      <c r="B781" s="4" t="s">
        <v>6531</v>
      </c>
      <c r="C781" s="4"/>
      <c r="D781" s="4"/>
      <c r="E781" s="4"/>
      <c r="F781" s="4" t="s">
        <v>6532</v>
      </c>
      <c r="G781" s="4"/>
      <c r="H781" s="4"/>
      <c r="I781" s="4" t="s">
        <v>6533</v>
      </c>
      <c r="J781" s="4" t="s">
        <v>6534</v>
      </c>
      <c r="K781" s="4"/>
      <c r="L781" s="4"/>
      <c r="M781" s="4"/>
      <c r="N781" s="4"/>
      <c r="O781" s="4"/>
      <c r="P781" s="4"/>
      <c r="Q781" s="4"/>
      <c r="R781" s="4"/>
      <c r="S781" s="4"/>
      <c r="T781" s="4" t="s">
        <v>6535</v>
      </c>
      <c r="U781" s="4"/>
      <c r="V781" s="4"/>
      <c r="W781" s="4"/>
      <c r="X781" s="4"/>
      <c r="Y781" s="4" t="s">
        <v>6536</v>
      </c>
      <c r="Z781" s="4" t="s">
        <v>6537</v>
      </c>
      <c r="AA781" s="4"/>
      <c r="AB781" s="4"/>
      <c r="AC781" s="4"/>
      <c r="AD781" s="4"/>
      <c r="AE781" s="4"/>
      <c r="AF781" s="4"/>
      <c r="AG781" s="4"/>
      <c r="AH781" s="4"/>
      <c r="AI781" s="4"/>
      <c r="AJ781" s="4"/>
      <c r="AK781" s="4"/>
      <c r="AL781" s="4"/>
      <c r="AM781" s="4"/>
      <c r="AN781" s="4" t="s">
        <v>6538</v>
      </c>
      <c r="AO781" s="4"/>
      <c r="AP781" s="4"/>
      <c r="AQ781" s="4"/>
      <c r="AR781" s="4" t="s">
        <v>82</v>
      </c>
      <c r="AS781" s="4">
        <v>2023</v>
      </c>
      <c r="AT781" s="4">
        <v>26</v>
      </c>
      <c r="AU781" s="4">
        <v>1</v>
      </c>
      <c r="AV781" s="4"/>
      <c r="AW781" s="4"/>
      <c r="AX781" s="4"/>
      <c r="AY781" s="4"/>
      <c r="AZ781" s="4">
        <v>23</v>
      </c>
      <c r="BA781" s="4">
        <v>30</v>
      </c>
      <c r="BB781" s="4"/>
      <c r="BC781" s="4" t="s">
        <v>6539</v>
      </c>
      <c r="BD781" s="5" t="str">
        <f>HYPERLINK("http://dx.doi.org/10.5770/cgj.26.602","http://dx.doi.org/10.5770/cgj.26.602")</f>
        <v>http://dx.doi.org/10.5770/cgj.26.602</v>
      </c>
      <c r="BE781" s="4"/>
      <c r="BF781" s="4"/>
      <c r="BG781" s="4"/>
      <c r="BH781" s="4"/>
      <c r="BI781" s="4">
        <v>36865406</v>
      </c>
      <c r="BJ781" s="4" t="s">
        <v>6540</v>
      </c>
      <c r="BK781" s="4"/>
      <c r="BL781" s="4"/>
      <c r="BM781" s="4"/>
      <c r="BN781" s="4"/>
      <c r="BO781" s="4"/>
      <c r="BP781" s="4"/>
      <c r="BQ781" s="4"/>
      <c r="BR781" s="4"/>
      <c r="BS781" s="4"/>
      <c r="BT781" s="4"/>
      <c r="BU781" s="12" t="s">
        <v>7249</v>
      </c>
      <c r="BV781" s="12" t="s">
        <v>2039</v>
      </c>
      <c r="BW781" s="12" t="s">
        <v>7189</v>
      </c>
    </row>
    <row r="782" spans="1:75" ht="12.75" customHeight="1">
      <c r="A782" s="4" t="s">
        <v>63</v>
      </c>
      <c r="B782" s="4" t="s">
        <v>6541</v>
      </c>
      <c r="C782" s="4"/>
      <c r="D782" s="4"/>
      <c r="E782" s="4"/>
      <c r="F782" s="4" t="s">
        <v>6542</v>
      </c>
      <c r="G782" s="4"/>
      <c r="H782" s="4"/>
      <c r="I782" s="4" t="s">
        <v>6543</v>
      </c>
      <c r="J782" s="4" t="s">
        <v>3563</v>
      </c>
      <c r="K782" s="4"/>
      <c r="L782" s="4"/>
      <c r="M782" s="4"/>
      <c r="N782" s="4"/>
      <c r="O782" s="4"/>
      <c r="P782" s="4"/>
      <c r="Q782" s="4"/>
      <c r="R782" s="4"/>
      <c r="S782" s="4"/>
      <c r="T782" s="4" t="s">
        <v>6544</v>
      </c>
      <c r="U782" s="4"/>
      <c r="V782" s="4"/>
      <c r="W782" s="4"/>
      <c r="X782" s="4"/>
      <c r="Y782" s="4"/>
      <c r="Z782" s="4"/>
      <c r="AA782" s="4"/>
      <c r="AB782" s="4"/>
      <c r="AC782" s="4"/>
      <c r="AD782" s="4"/>
      <c r="AE782" s="4"/>
      <c r="AF782" s="4"/>
      <c r="AG782" s="4"/>
      <c r="AH782" s="4"/>
      <c r="AI782" s="4"/>
      <c r="AJ782" s="4"/>
      <c r="AK782" s="4"/>
      <c r="AL782" s="4"/>
      <c r="AM782" s="4"/>
      <c r="AN782" s="4" t="s">
        <v>3567</v>
      </c>
      <c r="AO782" s="4"/>
      <c r="AP782" s="4"/>
      <c r="AQ782" s="4"/>
      <c r="AR782" s="4" t="s">
        <v>6545</v>
      </c>
      <c r="AS782" s="4">
        <v>2023</v>
      </c>
      <c r="AT782" s="4">
        <v>11</v>
      </c>
      <c r="AU782" s="4"/>
      <c r="AV782" s="4"/>
      <c r="AW782" s="4"/>
      <c r="AX782" s="4"/>
      <c r="AY782" s="4"/>
      <c r="AZ782" s="4"/>
      <c r="BA782" s="4"/>
      <c r="BB782" s="4">
        <v>1114868</v>
      </c>
      <c r="BC782" s="4" t="s">
        <v>6546</v>
      </c>
      <c r="BD782" s="5" t="str">
        <f>HYPERLINK("http://dx.doi.org/10.3389/fpubh.2023.1114868","http://dx.doi.org/10.3389/fpubh.2023.1114868")</f>
        <v>http://dx.doi.org/10.3389/fpubh.2023.1114868</v>
      </c>
      <c r="BE782" s="4"/>
      <c r="BF782" s="4"/>
      <c r="BG782" s="4"/>
      <c r="BH782" s="4"/>
      <c r="BI782" s="4">
        <v>37404270</v>
      </c>
      <c r="BJ782" s="4" t="s">
        <v>6547</v>
      </c>
      <c r="BK782" s="4"/>
      <c r="BL782" s="4"/>
      <c r="BM782" s="4"/>
      <c r="BN782" s="4"/>
      <c r="BO782" s="4"/>
      <c r="BP782" s="4"/>
      <c r="BQ782" s="4"/>
      <c r="BR782" s="4"/>
      <c r="BS782" s="4"/>
      <c r="BT782" s="4"/>
      <c r="BU782" s="12" t="s">
        <v>7376</v>
      </c>
      <c r="BV782" s="12" t="s">
        <v>7188</v>
      </c>
      <c r="BW782" s="12" t="s">
        <v>7189</v>
      </c>
    </row>
    <row r="783" spans="1:75" ht="12.75" customHeight="1">
      <c r="A783" s="6" t="s">
        <v>63</v>
      </c>
      <c r="B783" s="6" t="s">
        <v>3577</v>
      </c>
      <c r="C783" s="6"/>
      <c r="D783" s="6"/>
      <c r="E783" s="6"/>
      <c r="F783" s="6" t="s">
        <v>3578</v>
      </c>
      <c r="G783" s="6"/>
      <c r="H783" s="6"/>
      <c r="I783" s="6" t="s">
        <v>3579</v>
      </c>
      <c r="J783" s="6" t="s">
        <v>1142</v>
      </c>
      <c r="K783" s="6"/>
      <c r="L783" s="6"/>
      <c r="M783" s="6"/>
      <c r="N783" s="6"/>
      <c r="O783" s="6"/>
      <c r="P783" s="6"/>
      <c r="Q783" s="6"/>
      <c r="R783" s="6"/>
      <c r="S783" s="6"/>
      <c r="T783" s="6" t="s">
        <v>3580</v>
      </c>
      <c r="U783" s="6"/>
      <c r="V783" s="6"/>
      <c r="W783" s="6"/>
      <c r="X783" s="6"/>
      <c r="Y783" s="6" t="s">
        <v>3581</v>
      </c>
      <c r="Z783" s="6" t="s">
        <v>3582</v>
      </c>
      <c r="AA783" s="6"/>
      <c r="AB783" s="6"/>
      <c r="AC783" s="6"/>
      <c r="AD783" s="6"/>
      <c r="AE783" s="6"/>
      <c r="AF783" s="6"/>
      <c r="AG783" s="6"/>
      <c r="AH783" s="6"/>
      <c r="AI783" s="6"/>
      <c r="AJ783" s="6"/>
      <c r="AK783" s="6"/>
      <c r="AL783" s="6"/>
      <c r="AM783" s="6"/>
      <c r="AN783" s="6" t="s">
        <v>1144</v>
      </c>
      <c r="AO783" s="6"/>
      <c r="AP783" s="6"/>
      <c r="AQ783" s="6"/>
      <c r="AR783" s="6" t="s">
        <v>92</v>
      </c>
      <c r="AS783" s="6">
        <v>2018</v>
      </c>
      <c r="AT783" s="6">
        <v>15</v>
      </c>
      <c r="AU783" s="6">
        <v>10</v>
      </c>
      <c r="AV783" s="6"/>
      <c r="AW783" s="6"/>
      <c r="AX783" s="6"/>
      <c r="AY783" s="6"/>
      <c r="AZ783" s="6"/>
      <c r="BA783" s="6"/>
      <c r="BB783" s="6">
        <v>2247</v>
      </c>
      <c r="BC783" s="6" t="s">
        <v>3583</v>
      </c>
      <c r="BD783" s="9" t="str">
        <f>HYPERLINK("http://dx.doi.org/10.3390/ijerph15102247","http://dx.doi.org/10.3390/ijerph15102247")</f>
        <v>http://dx.doi.org/10.3390/ijerph15102247</v>
      </c>
      <c r="BE783" s="6"/>
      <c r="BF783" s="6"/>
      <c r="BG783" s="6"/>
      <c r="BH783" s="6"/>
      <c r="BI783" s="6">
        <v>30322198</v>
      </c>
      <c r="BJ783" s="6" t="s">
        <v>3584</v>
      </c>
      <c r="BK783" s="6"/>
      <c r="BL783" s="6"/>
      <c r="BM783" s="6"/>
      <c r="BN783" s="6"/>
      <c r="BO783" s="6"/>
      <c r="BP783" s="6"/>
      <c r="BQ783" s="6"/>
      <c r="BR783" s="6"/>
      <c r="BS783" s="6"/>
      <c r="BT783" s="6"/>
      <c r="BU783" s="8" t="s">
        <v>7506</v>
      </c>
      <c r="BV783" s="8" t="s">
        <v>7506</v>
      </c>
      <c r="BW783" s="8" t="s">
        <v>7245</v>
      </c>
    </row>
    <row r="784" spans="1:75" ht="12.75" customHeight="1">
      <c r="A784" s="4" t="s">
        <v>63</v>
      </c>
      <c r="B784" s="4" t="s">
        <v>5910</v>
      </c>
      <c r="C784" s="4"/>
      <c r="D784" s="4"/>
      <c r="E784" s="4"/>
      <c r="F784" s="4" t="s">
        <v>5911</v>
      </c>
      <c r="G784" s="4"/>
      <c r="H784" s="4"/>
      <c r="I784" s="4" t="s">
        <v>5912</v>
      </c>
      <c r="J784" s="4" t="s">
        <v>3351</v>
      </c>
      <c r="K784" s="4"/>
      <c r="L784" s="4"/>
      <c r="M784" s="4"/>
      <c r="N784" s="4"/>
      <c r="O784" s="4"/>
      <c r="P784" s="4"/>
      <c r="Q784" s="4"/>
      <c r="R784" s="4"/>
      <c r="S784" s="4"/>
      <c r="T784" s="4" t="s">
        <v>5913</v>
      </c>
      <c r="U784" s="4"/>
      <c r="V784" s="4"/>
      <c r="W784" s="4"/>
      <c r="X784" s="4"/>
      <c r="Y784" s="4" t="s">
        <v>5914</v>
      </c>
      <c r="Z784" s="4" t="s">
        <v>5915</v>
      </c>
      <c r="AA784" s="4"/>
      <c r="AB784" s="4"/>
      <c r="AC784" s="4"/>
      <c r="AD784" s="4"/>
      <c r="AE784" s="4"/>
      <c r="AF784" s="4"/>
      <c r="AG784" s="4"/>
      <c r="AH784" s="4"/>
      <c r="AI784" s="4"/>
      <c r="AJ784" s="4"/>
      <c r="AK784" s="4"/>
      <c r="AL784" s="4"/>
      <c r="AM784" s="4"/>
      <c r="AN784" s="4" t="s">
        <v>3354</v>
      </c>
      <c r="AO784" s="4"/>
      <c r="AP784" s="4"/>
      <c r="AQ784" s="4"/>
      <c r="AR784" s="4" t="s">
        <v>1701</v>
      </c>
      <c r="AS784" s="4">
        <v>2022</v>
      </c>
      <c r="AT784" s="4">
        <v>6</v>
      </c>
      <c r="AU784" s="4">
        <v>1</v>
      </c>
      <c r="AV784" s="4"/>
      <c r="AW784" s="4"/>
      <c r="AX784" s="4"/>
      <c r="AY784" s="4"/>
      <c r="AZ784" s="4">
        <v>49</v>
      </c>
      <c r="BA784" s="4">
        <v>54</v>
      </c>
      <c r="BB784" s="4"/>
      <c r="BC784" s="4" t="s">
        <v>5916</v>
      </c>
      <c r="BD784" s="5" t="str">
        <f>HYPERLINK("http://dx.doi.org/10.1089/heq.2021.0006","http://dx.doi.org/10.1089/heq.2021.0006")</f>
        <v>http://dx.doi.org/10.1089/heq.2021.0006</v>
      </c>
      <c r="BE784" s="4"/>
      <c r="BF784" s="4"/>
      <c r="BG784" s="4"/>
      <c r="BH784" s="4"/>
      <c r="BI784" s="4">
        <v>35112046</v>
      </c>
      <c r="BJ784" s="4" t="s">
        <v>5917</v>
      </c>
      <c r="BK784" s="4"/>
      <c r="BL784" s="4"/>
      <c r="BM784" s="4"/>
      <c r="BN784" s="4"/>
      <c r="BO784" s="4"/>
      <c r="BP784" s="4"/>
      <c r="BQ784" s="4"/>
      <c r="BR784" s="4"/>
      <c r="BS784" s="4"/>
      <c r="BT784" s="4"/>
      <c r="BU784" s="12" t="s">
        <v>7302</v>
      </c>
      <c r="BV784" s="12" t="s">
        <v>7188</v>
      </c>
      <c r="BW784" s="12" t="s">
        <v>7189</v>
      </c>
    </row>
    <row r="785" spans="1:75" ht="12.75" customHeight="1">
      <c r="A785" s="3" t="s">
        <v>63</v>
      </c>
      <c r="B785" s="3" t="s">
        <v>5918</v>
      </c>
      <c r="C785" s="3"/>
      <c r="D785" s="3"/>
      <c r="E785" s="3"/>
      <c r="F785" s="3" t="s">
        <v>5919</v>
      </c>
      <c r="G785" s="3"/>
      <c r="H785" s="3"/>
      <c r="I785" s="3" t="s">
        <v>5920</v>
      </c>
      <c r="J785" s="3" t="s">
        <v>2442</v>
      </c>
      <c r="K785" s="3"/>
      <c r="L785" s="3"/>
      <c r="M785" s="3"/>
      <c r="N785" s="3" t="s">
        <v>5921</v>
      </c>
      <c r="O785" s="3" t="s">
        <v>2542</v>
      </c>
      <c r="P785" s="3" t="s">
        <v>2533</v>
      </c>
      <c r="Q785" s="3"/>
      <c r="R785" s="3"/>
      <c r="S785" s="3"/>
      <c r="T785" s="3"/>
      <c r="U785" s="3"/>
      <c r="V785" s="3"/>
      <c r="W785" s="3"/>
      <c r="X785" s="3"/>
      <c r="Y785" s="3" t="s">
        <v>5799</v>
      </c>
      <c r="Z785" s="3"/>
      <c r="AA785" s="3"/>
      <c r="AB785" s="3"/>
      <c r="AC785" s="3"/>
      <c r="AD785" s="3"/>
      <c r="AE785" s="3"/>
      <c r="AF785" s="3"/>
      <c r="AG785" s="3"/>
      <c r="AH785" s="3"/>
      <c r="AI785" s="3"/>
      <c r="AJ785" s="3"/>
      <c r="AK785" s="3"/>
      <c r="AL785" s="3"/>
      <c r="AM785" s="3" t="s">
        <v>2445</v>
      </c>
      <c r="AN785" s="3" t="s">
        <v>2446</v>
      </c>
      <c r="AO785" s="3"/>
      <c r="AP785" s="3"/>
      <c r="AQ785" s="3"/>
      <c r="AR785" s="3" t="s">
        <v>5922</v>
      </c>
      <c r="AS785" s="3">
        <v>2022</v>
      </c>
      <c r="AT785" s="3">
        <v>146</v>
      </c>
      <c r="AU785" s="3"/>
      <c r="AV785" s="3"/>
      <c r="AW785" s="3">
        <v>1</v>
      </c>
      <c r="AX785" s="3"/>
      <c r="AY785" s="3" t="s">
        <v>5923</v>
      </c>
      <c r="AZ785" s="3"/>
      <c r="BA785" s="3"/>
      <c r="BB785" s="3"/>
      <c r="BC785" s="3"/>
      <c r="BD785" s="3"/>
      <c r="BE785" s="3"/>
      <c r="BF785" s="3"/>
      <c r="BG785" s="3"/>
      <c r="BH785" s="3"/>
      <c r="BI785" s="3"/>
      <c r="BJ785" s="3" t="s">
        <v>5924</v>
      </c>
      <c r="BK785" s="3"/>
      <c r="BL785" s="3"/>
      <c r="BM785" s="3"/>
      <c r="BN785" s="3"/>
      <c r="BO785" s="3"/>
      <c r="BP785" s="3"/>
      <c r="BQ785" s="3"/>
      <c r="BR785" s="3"/>
      <c r="BS785" s="3"/>
      <c r="BT785" s="3"/>
      <c r="BU785" s="1" t="s">
        <v>7271</v>
      </c>
      <c r="BV785" s="20" t="s">
        <v>7188</v>
      </c>
      <c r="BW785" s="20" t="s">
        <v>7189</v>
      </c>
    </row>
    <row r="786" spans="1:75" ht="12.75" customHeight="1">
      <c r="A786" s="4" t="s">
        <v>63</v>
      </c>
      <c r="B786" s="4" t="s">
        <v>1684</v>
      </c>
      <c r="C786" s="4"/>
      <c r="D786" s="4"/>
      <c r="E786" s="4"/>
      <c r="F786" s="4" t="s">
        <v>1685</v>
      </c>
      <c r="G786" s="4"/>
      <c r="H786" s="4"/>
      <c r="I786" s="4" t="s">
        <v>1686</v>
      </c>
      <c r="J786" s="4" t="s">
        <v>264</v>
      </c>
      <c r="K786" s="4"/>
      <c r="L786" s="4"/>
      <c r="M786" s="4"/>
      <c r="N786" s="4"/>
      <c r="O786" s="4"/>
      <c r="P786" s="4"/>
      <c r="Q786" s="4"/>
      <c r="R786" s="4"/>
      <c r="S786" s="4"/>
      <c r="T786" s="4" t="s">
        <v>1687</v>
      </c>
      <c r="U786" s="4"/>
      <c r="V786" s="4"/>
      <c r="W786" s="4"/>
      <c r="X786" s="4"/>
      <c r="Y786" s="4" t="s">
        <v>1688</v>
      </c>
      <c r="Z786" s="4"/>
      <c r="AA786" s="4"/>
      <c r="AB786" s="4"/>
      <c r="AC786" s="4"/>
      <c r="AD786" s="4"/>
      <c r="AE786" s="4"/>
      <c r="AF786" s="4"/>
      <c r="AG786" s="4"/>
      <c r="AH786" s="4"/>
      <c r="AI786" s="4"/>
      <c r="AJ786" s="4"/>
      <c r="AK786" s="4"/>
      <c r="AL786" s="4"/>
      <c r="AM786" s="4" t="s">
        <v>265</v>
      </c>
      <c r="AN786" s="4" t="s">
        <v>1689</v>
      </c>
      <c r="AO786" s="4"/>
      <c r="AP786" s="4"/>
      <c r="AQ786" s="4"/>
      <c r="AR786" s="4" t="s">
        <v>173</v>
      </c>
      <c r="AS786" s="4">
        <v>2014</v>
      </c>
      <c r="AT786" s="4">
        <v>134</v>
      </c>
      <c r="AU786" s="4"/>
      <c r="AV786" s="4"/>
      <c r="AW786" s="4"/>
      <c r="AX786" s="4" t="s">
        <v>569</v>
      </c>
      <c r="AY786" s="4"/>
      <c r="AZ786" s="4">
        <v>20</v>
      </c>
      <c r="BA786" s="4">
        <v>31</v>
      </c>
      <c r="BB786" s="4"/>
      <c r="BC786" s="4" t="s">
        <v>1690</v>
      </c>
      <c r="BD786" s="5" t="str">
        <f>HYPERLINK("http://dx.doi.org/10.1016/j.physbeh.2014.03.001","http://dx.doi.org/10.1016/j.physbeh.2014.03.001")</f>
        <v>http://dx.doi.org/10.1016/j.physbeh.2014.03.001</v>
      </c>
      <c r="BE786" s="4"/>
      <c r="BF786" s="4"/>
      <c r="BG786" s="4"/>
      <c r="BH786" s="4"/>
      <c r="BI786" s="4">
        <v>24631301</v>
      </c>
      <c r="BJ786" s="4" t="s">
        <v>1691</v>
      </c>
      <c r="BK786" s="4"/>
      <c r="BL786" s="4"/>
      <c r="BM786" s="4"/>
      <c r="BN786" s="4"/>
      <c r="BO786" s="4"/>
      <c r="BP786" s="4"/>
      <c r="BQ786" s="4"/>
      <c r="BR786" s="4"/>
      <c r="BS786" s="4"/>
      <c r="BT786" s="4"/>
      <c r="BU786" s="12" t="s">
        <v>7201</v>
      </c>
      <c r="BV786" s="12" t="s">
        <v>7188</v>
      </c>
      <c r="BW786" s="12" t="s">
        <v>7189</v>
      </c>
    </row>
    <row r="787" spans="1:75" ht="12.75" customHeight="1">
      <c r="A787" s="4" t="s">
        <v>63</v>
      </c>
      <c r="B787" s="4" t="s">
        <v>6548</v>
      </c>
      <c r="C787" s="4"/>
      <c r="D787" s="4"/>
      <c r="E787" s="4"/>
      <c r="F787" s="4" t="s">
        <v>6549</v>
      </c>
      <c r="G787" s="4"/>
      <c r="H787" s="4"/>
      <c r="I787" s="4" t="s">
        <v>6550</v>
      </c>
      <c r="J787" s="4" t="s">
        <v>3282</v>
      </c>
      <c r="K787" s="4"/>
      <c r="L787" s="4"/>
      <c r="M787" s="4"/>
      <c r="N787" s="4"/>
      <c r="O787" s="4"/>
      <c r="P787" s="4"/>
      <c r="Q787" s="4"/>
      <c r="R787" s="4"/>
      <c r="S787" s="4"/>
      <c r="T787" s="4" t="s">
        <v>6551</v>
      </c>
      <c r="U787" s="4"/>
      <c r="V787" s="4"/>
      <c r="W787" s="4"/>
      <c r="X787" s="4"/>
      <c r="Y787" s="4"/>
      <c r="Z787" s="4"/>
      <c r="AA787" s="4"/>
      <c r="AB787" s="4"/>
      <c r="AC787" s="4"/>
      <c r="AD787" s="4"/>
      <c r="AE787" s="4"/>
      <c r="AF787" s="4"/>
      <c r="AG787" s="4"/>
      <c r="AH787" s="4"/>
      <c r="AI787" s="4"/>
      <c r="AJ787" s="4"/>
      <c r="AK787" s="4"/>
      <c r="AL787" s="4"/>
      <c r="AM787" s="4"/>
      <c r="AN787" s="4" t="s">
        <v>3285</v>
      </c>
      <c r="AO787" s="4"/>
      <c r="AP787" s="4"/>
      <c r="AQ787" s="4"/>
      <c r="AR787" s="4" t="s">
        <v>66</v>
      </c>
      <c r="AS787" s="4">
        <v>2023</v>
      </c>
      <c r="AT787" s="4">
        <v>7</v>
      </c>
      <c r="AU787" s="4">
        <v>2</v>
      </c>
      <c r="AV787" s="4"/>
      <c r="AW787" s="4"/>
      <c r="AX787" s="4"/>
      <c r="AY787" s="4"/>
      <c r="AZ787" s="4"/>
      <c r="BA787" s="4"/>
      <c r="BB787" s="4">
        <v>54</v>
      </c>
      <c r="BC787" s="4" t="s">
        <v>6552</v>
      </c>
      <c r="BD787" s="5" t="str">
        <f>HYPERLINK("http://dx.doi.org/10.3390/urbansci7020054","http://dx.doi.org/10.3390/urbansci7020054")</f>
        <v>http://dx.doi.org/10.3390/urbansci7020054</v>
      </c>
      <c r="BE787" s="4"/>
      <c r="BF787" s="4"/>
      <c r="BG787" s="4"/>
      <c r="BH787" s="4"/>
      <c r="BI787" s="4"/>
      <c r="BJ787" s="4" t="s">
        <v>6553</v>
      </c>
      <c r="BK787" s="4"/>
      <c r="BL787" s="4"/>
      <c r="BM787" s="4"/>
      <c r="BN787" s="4"/>
      <c r="BO787" s="4"/>
      <c r="BP787" s="4"/>
      <c r="BQ787" s="4"/>
      <c r="BR787" s="4"/>
      <c r="BS787" s="4"/>
      <c r="BT787" s="4"/>
      <c r="BU787" s="12" t="s">
        <v>7193</v>
      </c>
      <c r="BV787" s="12" t="s">
        <v>7507</v>
      </c>
      <c r="BW787" s="12" t="s">
        <v>7245</v>
      </c>
    </row>
    <row r="788" spans="1:75" ht="12.75" customHeight="1">
      <c r="A788" s="6" t="s">
        <v>63</v>
      </c>
      <c r="B788" s="6" t="s">
        <v>4603</v>
      </c>
      <c r="C788" s="6"/>
      <c r="D788" s="6"/>
      <c r="E788" s="6"/>
      <c r="F788" s="6" t="s">
        <v>4604</v>
      </c>
      <c r="G788" s="6"/>
      <c r="H788" s="6"/>
      <c r="I788" s="6" t="s">
        <v>4605</v>
      </c>
      <c r="J788" s="6" t="s">
        <v>1142</v>
      </c>
      <c r="K788" s="6"/>
      <c r="L788" s="6"/>
      <c r="M788" s="6"/>
      <c r="N788" s="6"/>
      <c r="O788" s="6"/>
      <c r="P788" s="6"/>
      <c r="Q788" s="6"/>
      <c r="R788" s="6"/>
      <c r="S788" s="6"/>
      <c r="T788" s="6" t="s">
        <v>4606</v>
      </c>
      <c r="U788" s="6"/>
      <c r="V788" s="6"/>
      <c r="W788" s="6"/>
      <c r="X788" s="6"/>
      <c r="Y788" s="6" t="s">
        <v>4607</v>
      </c>
      <c r="Z788" s="6" t="s">
        <v>4608</v>
      </c>
      <c r="AA788" s="6"/>
      <c r="AB788" s="6"/>
      <c r="AC788" s="6"/>
      <c r="AD788" s="6"/>
      <c r="AE788" s="6"/>
      <c r="AF788" s="6"/>
      <c r="AG788" s="6"/>
      <c r="AH788" s="6"/>
      <c r="AI788" s="6"/>
      <c r="AJ788" s="6"/>
      <c r="AK788" s="6"/>
      <c r="AL788" s="6"/>
      <c r="AM788" s="6"/>
      <c r="AN788" s="6" t="s">
        <v>1144</v>
      </c>
      <c r="AO788" s="6"/>
      <c r="AP788" s="6"/>
      <c r="AQ788" s="6"/>
      <c r="AR788" s="6" t="s">
        <v>64</v>
      </c>
      <c r="AS788" s="6">
        <v>2020</v>
      </c>
      <c r="AT788" s="6">
        <v>17</v>
      </c>
      <c r="AU788" s="6">
        <v>21</v>
      </c>
      <c r="AV788" s="6"/>
      <c r="AW788" s="6"/>
      <c r="AX788" s="6"/>
      <c r="AY788" s="6"/>
      <c r="AZ788" s="6"/>
      <c r="BA788" s="6"/>
      <c r="BB788" s="6">
        <v>7936</v>
      </c>
      <c r="BC788" s="6" t="s">
        <v>4609</v>
      </c>
      <c r="BD788" s="9" t="str">
        <f>HYPERLINK("http://dx.doi.org/10.3390/ijerph17217936","http://dx.doi.org/10.3390/ijerph17217936")</f>
        <v>http://dx.doi.org/10.3390/ijerph17217936</v>
      </c>
      <c r="BE788" s="6"/>
      <c r="BF788" s="6"/>
      <c r="BG788" s="6"/>
      <c r="BH788" s="6"/>
      <c r="BI788" s="6">
        <v>33138016</v>
      </c>
      <c r="BJ788" s="6" t="s">
        <v>4610</v>
      </c>
      <c r="BK788" s="6"/>
      <c r="BL788" s="6"/>
      <c r="BM788" s="6"/>
      <c r="BN788" s="6"/>
      <c r="BO788" s="6"/>
      <c r="BP788" s="6"/>
      <c r="BQ788" s="6"/>
      <c r="BR788" s="6"/>
      <c r="BS788" s="6"/>
      <c r="BT788" s="6"/>
      <c r="BU788" s="8" t="s">
        <v>7193</v>
      </c>
      <c r="BV788" s="8" t="s">
        <v>7270</v>
      </c>
      <c r="BW788" s="8" t="s">
        <v>7245</v>
      </c>
    </row>
    <row r="789" spans="1:75" ht="12.75" customHeight="1">
      <c r="A789" s="3" t="s">
        <v>63</v>
      </c>
      <c r="B789" s="3" t="s">
        <v>3585</v>
      </c>
      <c r="C789" s="3"/>
      <c r="D789" s="3"/>
      <c r="E789" s="3"/>
      <c r="F789" s="3" t="s">
        <v>3586</v>
      </c>
      <c r="G789" s="3"/>
      <c r="H789" s="3"/>
      <c r="I789" s="3" t="s">
        <v>3587</v>
      </c>
      <c r="J789" s="3" t="s">
        <v>905</v>
      </c>
      <c r="K789" s="3"/>
      <c r="L789" s="3"/>
      <c r="M789" s="3"/>
      <c r="N789" s="3"/>
      <c r="O789" s="3"/>
      <c r="P789" s="3"/>
      <c r="Q789" s="3"/>
      <c r="R789" s="3"/>
      <c r="S789" s="3"/>
      <c r="T789" s="3" t="s">
        <v>3588</v>
      </c>
      <c r="U789" s="3"/>
      <c r="V789" s="3"/>
      <c r="W789" s="3"/>
      <c r="X789" s="3"/>
      <c r="Y789" s="3"/>
      <c r="Z789" s="3"/>
      <c r="AA789" s="3"/>
      <c r="AB789" s="3"/>
      <c r="AC789" s="3"/>
      <c r="AD789" s="3"/>
      <c r="AE789" s="3"/>
      <c r="AF789" s="3"/>
      <c r="AG789" s="3"/>
      <c r="AH789" s="3"/>
      <c r="AI789" s="3"/>
      <c r="AJ789" s="3"/>
      <c r="AK789" s="3"/>
      <c r="AL789" s="3"/>
      <c r="AM789" s="3" t="s">
        <v>908</v>
      </c>
      <c r="AN789" s="3" t="s">
        <v>909</v>
      </c>
      <c r="AO789" s="3"/>
      <c r="AP789" s="3"/>
      <c r="AQ789" s="3"/>
      <c r="AR789" s="3" t="s">
        <v>78</v>
      </c>
      <c r="AS789" s="3">
        <v>2018</v>
      </c>
      <c r="AT789" s="3">
        <v>118</v>
      </c>
      <c r="AU789" s="3">
        <v>5</v>
      </c>
      <c r="AV789" s="3"/>
      <c r="AW789" s="3"/>
      <c r="AX789" s="3"/>
      <c r="AY789" s="3"/>
      <c r="AZ789" s="3">
        <v>815</v>
      </c>
      <c r="BA789" s="3">
        <v>823</v>
      </c>
      <c r="BB789" s="3"/>
      <c r="BC789" s="3" t="s">
        <v>3589</v>
      </c>
      <c r="BD789" s="15" t="str">
        <f>HYPERLINK("http://dx.doi.org/10.1016/j.jand.2017.11.009","http://dx.doi.org/10.1016/j.jand.2017.11.009")</f>
        <v>http://dx.doi.org/10.1016/j.jand.2017.11.009</v>
      </c>
      <c r="BE789" s="3"/>
      <c r="BF789" s="3"/>
      <c r="BG789" s="3"/>
      <c r="BH789" s="3"/>
      <c r="BI789" s="3">
        <v>29396154</v>
      </c>
      <c r="BJ789" s="3" t="s">
        <v>3590</v>
      </c>
      <c r="BK789" s="3"/>
      <c r="BL789" s="3"/>
      <c r="BM789" s="3"/>
      <c r="BN789" s="3"/>
      <c r="BO789" s="3"/>
      <c r="BP789" s="3"/>
      <c r="BQ789" s="3"/>
      <c r="BR789" s="3"/>
      <c r="BS789" s="3"/>
      <c r="BT789" s="3"/>
      <c r="BU789" s="2" t="s">
        <v>7508</v>
      </c>
      <c r="BV789" s="20" t="s">
        <v>7188</v>
      </c>
      <c r="BW789" s="20" t="s">
        <v>7189</v>
      </c>
    </row>
    <row r="790" spans="1:75" ht="12.75" customHeight="1">
      <c r="A790" s="7" t="s">
        <v>63</v>
      </c>
      <c r="B790" s="7" t="s">
        <v>1692</v>
      </c>
      <c r="C790" s="7"/>
      <c r="D790" s="7"/>
      <c r="E790" s="7"/>
      <c r="F790" s="7" t="s">
        <v>1693</v>
      </c>
      <c r="G790" s="7"/>
      <c r="H790" s="7"/>
      <c r="I790" s="7" t="s">
        <v>1694</v>
      </c>
      <c r="J790" s="7" t="s">
        <v>1695</v>
      </c>
      <c r="K790" s="7"/>
      <c r="L790" s="7"/>
      <c r="M790" s="7"/>
      <c r="N790" s="7"/>
      <c r="O790" s="7"/>
      <c r="P790" s="7"/>
      <c r="Q790" s="7"/>
      <c r="R790" s="7"/>
      <c r="S790" s="7"/>
      <c r="T790" s="7" t="s">
        <v>1696</v>
      </c>
      <c r="U790" s="7"/>
      <c r="V790" s="7"/>
      <c r="W790" s="7"/>
      <c r="X790" s="7"/>
      <c r="Y790" s="7"/>
      <c r="Z790" s="7"/>
      <c r="AA790" s="7"/>
      <c r="AB790" s="7"/>
      <c r="AC790" s="7"/>
      <c r="AD790" s="7"/>
      <c r="AE790" s="7"/>
      <c r="AF790" s="7"/>
      <c r="AG790" s="7"/>
      <c r="AH790" s="7"/>
      <c r="AI790" s="7"/>
      <c r="AJ790" s="7"/>
      <c r="AK790" s="7"/>
      <c r="AL790" s="7"/>
      <c r="AM790" s="7" t="s">
        <v>1697</v>
      </c>
      <c r="AN790" s="7" t="s">
        <v>1698</v>
      </c>
      <c r="AO790" s="7"/>
      <c r="AP790" s="7"/>
      <c r="AQ790" s="7"/>
      <c r="AR790" s="7" t="s">
        <v>1561</v>
      </c>
      <c r="AS790" s="7">
        <v>2014</v>
      </c>
      <c r="AT790" s="7">
        <v>35</v>
      </c>
      <c r="AU790" s="7">
        <v>1</v>
      </c>
      <c r="AV790" s="7"/>
      <c r="AW790" s="7"/>
      <c r="AX790" s="7"/>
      <c r="AY790" s="7"/>
      <c r="AZ790" s="7">
        <v>133</v>
      </c>
      <c r="BA790" s="7">
        <v>151</v>
      </c>
      <c r="BB790" s="7"/>
      <c r="BC790" s="7" t="s">
        <v>1699</v>
      </c>
      <c r="BD790" s="11" t="str">
        <f>HYPERLINK("http://dx.doi.org/10.1080/02723638.2013.856195","http://dx.doi.org/10.1080/02723638.2013.856195")</f>
        <v>http://dx.doi.org/10.1080/02723638.2013.856195</v>
      </c>
      <c r="BE790" s="7"/>
      <c r="BF790" s="7"/>
      <c r="BG790" s="7"/>
      <c r="BH790" s="7"/>
      <c r="BI790" s="7"/>
      <c r="BJ790" s="7" t="s">
        <v>1700</v>
      </c>
      <c r="BK790" s="7"/>
      <c r="BL790" s="7"/>
      <c r="BM790" s="7"/>
      <c r="BN790" s="7"/>
      <c r="BO790" s="7"/>
      <c r="BP790" s="7"/>
      <c r="BQ790" s="7"/>
      <c r="BR790" s="7"/>
      <c r="BS790" s="7"/>
      <c r="BT790" s="7"/>
      <c r="BU790" s="1" t="s">
        <v>7471</v>
      </c>
      <c r="BV790" s="20" t="s">
        <v>7188</v>
      </c>
      <c r="BW790" s="20" t="s">
        <v>7189</v>
      </c>
    </row>
    <row r="791" spans="1:75" ht="12.75" customHeight="1">
      <c r="A791" s="3" t="s">
        <v>63</v>
      </c>
      <c r="B791" s="3" t="s">
        <v>7172</v>
      </c>
      <c r="C791" s="3"/>
      <c r="D791" s="3"/>
      <c r="E791" s="3"/>
      <c r="F791" s="3" t="s">
        <v>7173</v>
      </c>
      <c r="G791" s="3"/>
      <c r="H791" s="3"/>
      <c r="I791" s="3" t="s">
        <v>7174</v>
      </c>
      <c r="J791" s="3" t="s">
        <v>7175</v>
      </c>
      <c r="K791" s="3"/>
      <c r="L791" s="3"/>
      <c r="M791" s="3"/>
      <c r="N791" s="3"/>
      <c r="O791" s="3"/>
      <c r="P791" s="3"/>
      <c r="Q791" s="3"/>
      <c r="R791" s="3"/>
      <c r="S791" s="3"/>
      <c r="T791" s="3" t="s">
        <v>7176</v>
      </c>
      <c r="U791" s="3"/>
      <c r="V791" s="3"/>
      <c r="W791" s="3"/>
      <c r="X791" s="3"/>
      <c r="Y791" s="3" t="s">
        <v>7177</v>
      </c>
      <c r="Z791" s="3" t="s">
        <v>7178</v>
      </c>
      <c r="AA791" s="3"/>
      <c r="AB791" s="3"/>
      <c r="AC791" s="3"/>
      <c r="AD791" s="3"/>
      <c r="AE791" s="3"/>
      <c r="AF791" s="3"/>
      <c r="AG791" s="3"/>
      <c r="AH791" s="3"/>
      <c r="AI791" s="3"/>
      <c r="AJ791" s="3"/>
      <c r="AK791" s="3"/>
      <c r="AL791" s="3"/>
      <c r="AM791" s="3" t="s">
        <v>7179</v>
      </c>
      <c r="AN791" s="3" t="s">
        <v>7180</v>
      </c>
      <c r="AO791" s="3"/>
      <c r="AP791" s="3"/>
      <c r="AQ791" s="3"/>
      <c r="AR791" s="3" t="s">
        <v>133</v>
      </c>
      <c r="AS791" s="3">
        <v>2025</v>
      </c>
      <c r="AT791" s="3">
        <v>38</v>
      </c>
      <c r="AU791" s="3"/>
      <c r="AV791" s="3"/>
      <c r="AW791" s="3"/>
      <c r="AX791" s="3"/>
      <c r="AY791" s="3"/>
      <c r="AZ791" s="3"/>
      <c r="BA791" s="3"/>
      <c r="BB791" s="3">
        <v>100889</v>
      </c>
      <c r="BC791" s="3" t="s">
        <v>7181</v>
      </c>
      <c r="BD791" s="15" t="str">
        <f>HYPERLINK("http://dx.doi.org/10.1016/j.tbs.2024.100889","http://dx.doi.org/10.1016/j.tbs.2024.100889")</f>
        <v>http://dx.doi.org/10.1016/j.tbs.2024.100889</v>
      </c>
      <c r="BE791" s="3"/>
      <c r="BF791" s="3" t="s">
        <v>6901</v>
      </c>
      <c r="BG791" s="3"/>
      <c r="BH791" s="3"/>
      <c r="BI791" s="3"/>
      <c r="BJ791" s="3" t="s">
        <v>7182</v>
      </c>
      <c r="BK791" s="3"/>
      <c r="BL791" s="3"/>
      <c r="BM791" s="3"/>
      <c r="BN791" s="3"/>
      <c r="BO791" s="3"/>
      <c r="BP791" s="3"/>
      <c r="BQ791" s="3"/>
      <c r="BR791" s="3"/>
      <c r="BS791" s="3"/>
      <c r="BT791" s="3"/>
      <c r="BU791" s="1" t="s">
        <v>7294</v>
      </c>
      <c r="BV791" s="2" t="s">
        <v>6423</v>
      </c>
      <c r="BW791" s="2" t="s">
        <v>7196</v>
      </c>
    </row>
    <row r="792" spans="1:75" ht="12.75" customHeight="1">
      <c r="A792" s="4" t="s">
        <v>63</v>
      </c>
      <c r="B792" s="4" t="s">
        <v>4611</v>
      </c>
      <c r="C792" s="4"/>
      <c r="D792" s="4"/>
      <c r="E792" s="4"/>
      <c r="F792" s="4" t="s">
        <v>4612</v>
      </c>
      <c r="G792" s="4"/>
      <c r="H792" s="4"/>
      <c r="I792" s="4" t="s">
        <v>4613</v>
      </c>
      <c r="J792" s="4" t="s">
        <v>4614</v>
      </c>
      <c r="K792" s="4"/>
      <c r="L792" s="4"/>
      <c r="M792" s="4"/>
      <c r="N792" s="4"/>
      <c r="O792" s="4"/>
      <c r="P792" s="4"/>
      <c r="Q792" s="4"/>
      <c r="R792" s="4"/>
      <c r="S792" s="4"/>
      <c r="T792" s="4" t="s">
        <v>4615</v>
      </c>
      <c r="U792" s="4"/>
      <c r="V792" s="4"/>
      <c r="W792" s="4"/>
      <c r="X792" s="4"/>
      <c r="Y792" s="4"/>
      <c r="Z792" s="4" t="s">
        <v>4616</v>
      </c>
      <c r="AA792" s="4"/>
      <c r="AB792" s="4"/>
      <c r="AC792" s="4"/>
      <c r="AD792" s="4"/>
      <c r="AE792" s="4"/>
      <c r="AF792" s="4"/>
      <c r="AG792" s="4"/>
      <c r="AH792" s="4"/>
      <c r="AI792" s="4"/>
      <c r="AJ792" s="4"/>
      <c r="AK792" s="4"/>
      <c r="AL792" s="4"/>
      <c r="AM792" s="4" t="s">
        <v>4617</v>
      </c>
      <c r="AN792" s="4"/>
      <c r="AO792" s="4"/>
      <c r="AP792" s="4"/>
      <c r="AQ792" s="4"/>
      <c r="AR792" s="4" t="s">
        <v>64</v>
      </c>
      <c r="AS792" s="4">
        <v>2020</v>
      </c>
      <c r="AT792" s="4">
        <v>2</v>
      </c>
      <c r="AU792" s="4">
        <v>4</v>
      </c>
      <c r="AV792" s="4"/>
      <c r="AW792" s="4"/>
      <c r="AX792" s="4"/>
      <c r="AY792" s="4"/>
      <c r="AZ792" s="4"/>
      <c r="BA792" s="4"/>
      <c r="BB792" s="4">
        <v>100204</v>
      </c>
      <c r="BC792" s="4" t="s">
        <v>4618</v>
      </c>
      <c r="BD792" s="5" t="str">
        <f>HYPERLINK("http://dx.doi.org/10.1016/j.ajogmf.2020.100204","http://dx.doi.org/10.1016/j.ajogmf.2020.100204")</f>
        <v>http://dx.doi.org/10.1016/j.ajogmf.2020.100204</v>
      </c>
      <c r="BE792" s="4"/>
      <c r="BF792" s="4"/>
      <c r="BG792" s="4"/>
      <c r="BH792" s="4"/>
      <c r="BI792" s="4">
        <v>33345920</v>
      </c>
      <c r="BJ792" s="4" t="s">
        <v>4619</v>
      </c>
      <c r="BK792" s="4"/>
      <c r="BL792" s="4"/>
      <c r="BM792" s="4"/>
      <c r="BN792" s="4"/>
      <c r="BO792" s="4"/>
      <c r="BP792" s="4"/>
      <c r="BQ792" s="4"/>
      <c r="BR792" s="4"/>
      <c r="BS792" s="4"/>
      <c r="BT792" s="4"/>
      <c r="BU792" s="12" t="s">
        <v>7509</v>
      </c>
      <c r="BV792" s="12" t="s">
        <v>7188</v>
      </c>
      <c r="BW792" s="12" t="s">
        <v>7189</v>
      </c>
    </row>
    <row r="793" spans="1:75" ht="12.75" customHeight="1">
      <c r="A793" s="4" t="s">
        <v>63</v>
      </c>
      <c r="B793" s="4" t="s">
        <v>940</v>
      </c>
      <c r="C793" s="4"/>
      <c r="D793" s="4"/>
      <c r="E793" s="4"/>
      <c r="F793" s="4" t="s">
        <v>941</v>
      </c>
      <c r="G793" s="4"/>
      <c r="H793" s="4"/>
      <c r="I793" s="4" t="s">
        <v>942</v>
      </c>
      <c r="J793" s="4" t="s">
        <v>166</v>
      </c>
      <c r="K793" s="4"/>
      <c r="L793" s="4"/>
      <c r="M793" s="4"/>
      <c r="N793" s="4"/>
      <c r="O793" s="4"/>
      <c r="P793" s="4"/>
      <c r="Q793" s="4"/>
      <c r="R793" s="4"/>
      <c r="S793" s="4"/>
      <c r="T793" s="4" t="s">
        <v>943</v>
      </c>
      <c r="U793" s="4"/>
      <c r="V793" s="4"/>
      <c r="W793" s="4"/>
      <c r="X793" s="4"/>
      <c r="Y793" s="4"/>
      <c r="Z793" s="4" t="s">
        <v>944</v>
      </c>
      <c r="AA793" s="4"/>
      <c r="AB793" s="4"/>
      <c r="AC793" s="4"/>
      <c r="AD793" s="4"/>
      <c r="AE793" s="4"/>
      <c r="AF793" s="4"/>
      <c r="AG793" s="4"/>
      <c r="AH793" s="4"/>
      <c r="AI793" s="4"/>
      <c r="AJ793" s="4"/>
      <c r="AK793" s="4"/>
      <c r="AL793" s="4"/>
      <c r="AM793" s="4" t="s">
        <v>170</v>
      </c>
      <c r="AN793" s="4" t="s">
        <v>945</v>
      </c>
      <c r="AO793" s="4"/>
      <c r="AP793" s="4"/>
      <c r="AQ793" s="4"/>
      <c r="AR793" s="4" t="s">
        <v>92</v>
      </c>
      <c r="AS793" s="4">
        <v>2012</v>
      </c>
      <c r="AT793" s="4">
        <v>59</v>
      </c>
      <c r="AU793" s="4">
        <v>2</v>
      </c>
      <c r="AV793" s="4"/>
      <c r="AW793" s="4"/>
      <c r="AX793" s="4"/>
      <c r="AY793" s="4"/>
      <c r="AZ793" s="4">
        <v>212</v>
      </c>
      <c r="BA793" s="4">
        <v>217</v>
      </c>
      <c r="BB793" s="4"/>
      <c r="BC793" s="4" t="s">
        <v>946</v>
      </c>
      <c r="BD793" s="5" t="str">
        <f>HYPERLINK("http://dx.doi.org/10.1016/j.appet.2012.04.012","http://dx.doi.org/10.1016/j.appet.2012.04.012")</f>
        <v>http://dx.doi.org/10.1016/j.appet.2012.04.012</v>
      </c>
      <c r="BE793" s="4"/>
      <c r="BF793" s="4"/>
      <c r="BG793" s="4"/>
      <c r="BH793" s="4"/>
      <c r="BI793" s="4">
        <v>22531289</v>
      </c>
      <c r="BJ793" s="4" t="s">
        <v>947</v>
      </c>
      <c r="BK793" s="4"/>
      <c r="BL793" s="4"/>
      <c r="BM793" s="4"/>
      <c r="BN793" s="4"/>
      <c r="BO793" s="4"/>
      <c r="BP793" s="4"/>
      <c r="BQ793" s="4"/>
      <c r="BR793" s="4"/>
      <c r="BS793" s="4"/>
      <c r="BT793" s="4"/>
      <c r="BU793" s="12" t="s">
        <v>7510</v>
      </c>
      <c r="BV793" s="12" t="s">
        <v>7188</v>
      </c>
      <c r="BW793" s="12" t="s">
        <v>7189</v>
      </c>
    </row>
    <row r="794" spans="1:75" ht="12.75" customHeight="1">
      <c r="A794" s="4" t="s">
        <v>63</v>
      </c>
      <c r="B794" s="4" t="s">
        <v>2620</v>
      </c>
      <c r="C794" s="4"/>
      <c r="D794" s="4"/>
      <c r="E794" s="4"/>
      <c r="F794" s="4" t="s">
        <v>2621</v>
      </c>
      <c r="G794" s="4"/>
      <c r="H794" s="4"/>
      <c r="I794" s="4" t="s">
        <v>2622</v>
      </c>
      <c r="J794" s="4" t="s">
        <v>886</v>
      </c>
      <c r="K794" s="4"/>
      <c r="L794" s="4"/>
      <c r="M794" s="4"/>
      <c r="N794" s="4"/>
      <c r="O794" s="4"/>
      <c r="P794" s="4"/>
      <c r="Q794" s="4"/>
      <c r="R794" s="4"/>
      <c r="S794" s="4"/>
      <c r="T794" s="4" t="s">
        <v>2623</v>
      </c>
      <c r="U794" s="4"/>
      <c r="V794" s="4"/>
      <c r="W794" s="4"/>
      <c r="X794" s="4"/>
      <c r="Y794" s="4" t="s">
        <v>2624</v>
      </c>
      <c r="Z794" s="4"/>
      <c r="AA794" s="4"/>
      <c r="AB794" s="4"/>
      <c r="AC794" s="4"/>
      <c r="AD794" s="4"/>
      <c r="AE794" s="4"/>
      <c r="AF794" s="4"/>
      <c r="AG794" s="4"/>
      <c r="AH794" s="4"/>
      <c r="AI794" s="4"/>
      <c r="AJ794" s="4"/>
      <c r="AK794" s="4"/>
      <c r="AL794" s="4"/>
      <c r="AM794" s="4" t="s">
        <v>888</v>
      </c>
      <c r="AN794" s="4" t="s">
        <v>2193</v>
      </c>
      <c r="AO794" s="4"/>
      <c r="AP794" s="4"/>
      <c r="AQ794" s="4"/>
      <c r="AR794" s="4" t="s">
        <v>65</v>
      </c>
      <c r="AS794" s="4">
        <v>2016</v>
      </c>
      <c r="AT794" s="4">
        <v>36</v>
      </c>
      <c r="AU794" s="4">
        <v>4</v>
      </c>
      <c r="AV794" s="4"/>
      <c r="AW794" s="4"/>
      <c r="AX794" s="4"/>
      <c r="AY794" s="4"/>
      <c r="AZ794" s="4">
        <v>400</v>
      </c>
      <c r="BA794" s="4">
        <v>411</v>
      </c>
      <c r="BB794" s="4"/>
      <c r="BC794" s="4" t="s">
        <v>2625</v>
      </c>
      <c r="BD794" s="5" t="str">
        <f>HYPERLINK("http://dx.doi.org/10.1177/0276146715622243","http://dx.doi.org/10.1177/0276146715622243")</f>
        <v>http://dx.doi.org/10.1177/0276146715622243</v>
      </c>
      <c r="BE794" s="4"/>
      <c r="BF794" s="4"/>
      <c r="BG794" s="4"/>
      <c r="BH794" s="4"/>
      <c r="BI794" s="4"/>
      <c r="BJ794" s="4" t="s">
        <v>2626</v>
      </c>
      <c r="BK794" s="4"/>
      <c r="BL794" s="4"/>
      <c r="BM794" s="4"/>
      <c r="BN794" s="4"/>
      <c r="BO794" s="4"/>
      <c r="BP794" s="4"/>
      <c r="BQ794" s="4"/>
      <c r="BR794" s="4"/>
      <c r="BS794" s="4"/>
      <c r="BT794" s="4"/>
      <c r="BU794" s="12" t="s">
        <v>7201</v>
      </c>
      <c r="BV794" s="12" t="s">
        <v>7188</v>
      </c>
      <c r="BW794" s="12" t="s">
        <v>7189</v>
      </c>
    </row>
    <row r="795" spans="1:75" ht="12.75" customHeight="1">
      <c r="A795" s="6" t="s">
        <v>63</v>
      </c>
      <c r="B795" s="6" t="s">
        <v>4620</v>
      </c>
      <c r="C795" s="6"/>
      <c r="D795" s="6"/>
      <c r="E795" s="6"/>
      <c r="F795" s="6" t="s">
        <v>4621</v>
      </c>
      <c r="G795" s="6"/>
      <c r="H795" s="6"/>
      <c r="I795" s="6" t="s">
        <v>4622</v>
      </c>
      <c r="J795" s="6" t="s">
        <v>1663</v>
      </c>
      <c r="K795" s="6"/>
      <c r="L795" s="6"/>
      <c r="M795" s="6"/>
      <c r="N795" s="6"/>
      <c r="O795" s="6"/>
      <c r="P795" s="6"/>
      <c r="Q795" s="6"/>
      <c r="R795" s="6"/>
      <c r="S795" s="6"/>
      <c r="T795" s="6" t="s">
        <v>4623</v>
      </c>
      <c r="U795" s="6"/>
      <c r="V795" s="6"/>
      <c r="W795" s="6"/>
      <c r="X795" s="6"/>
      <c r="Y795" s="6" t="s">
        <v>4624</v>
      </c>
      <c r="Z795" s="6" t="s">
        <v>4625</v>
      </c>
      <c r="AA795" s="6"/>
      <c r="AB795" s="6"/>
      <c r="AC795" s="6"/>
      <c r="AD795" s="6"/>
      <c r="AE795" s="6"/>
      <c r="AF795" s="6"/>
      <c r="AG795" s="6"/>
      <c r="AH795" s="6"/>
      <c r="AI795" s="6"/>
      <c r="AJ795" s="6"/>
      <c r="AK795" s="6"/>
      <c r="AL795" s="6"/>
      <c r="AM795" s="6" t="s">
        <v>1665</v>
      </c>
      <c r="AN795" s="6" t="s">
        <v>1666</v>
      </c>
      <c r="AO795" s="6"/>
      <c r="AP795" s="6"/>
      <c r="AQ795" s="6"/>
      <c r="AR795" s="6" t="s">
        <v>82</v>
      </c>
      <c r="AS795" s="6">
        <v>2020</v>
      </c>
      <c r="AT795" s="6">
        <v>11</v>
      </c>
      <c r="AU795" s="6">
        <v>2</v>
      </c>
      <c r="AV795" s="6"/>
      <c r="AW795" s="6"/>
      <c r="AX795" s="6"/>
      <c r="AY795" s="6"/>
      <c r="AZ795" s="6">
        <v>387</v>
      </c>
      <c r="BA795" s="6">
        <v>397</v>
      </c>
      <c r="BB795" s="6"/>
      <c r="BC795" s="6" t="s">
        <v>4626</v>
      </c>
      <c r="BD795" s="9" t="str">
        <f>HYPERLINK("http://dx.doi.org/10.1093/advances/nmz031","http://dx.doi.org/10.1093/advances/nmz031")</f>
        <v>http://dx.doi.org/10.1093/advances/nmz031</v>
      </c>
      <c r="BE795" s="6"/>
      <c r="BF795" s="6"/>
      <c r="BG795" s="6"/>
      <c r="BH795" s="6"/>
      <c r="BI795" s="6">
        <v>31079142</v>
      </c>
      <c r="BJ795" s="6" t="s">
        <v>4627</v>
      </c>
      <c r="BK795" s="6"/>
      <c r="BL795" s="6"/>
      <c r="BM795" s="6"/>
      <c r="BN795" s="6"/>
      <c r="BO795" s="6"/>
      <c r="BP795" s="6"/>
      <c r="BQ795" s="6"/>
      <c r="BR795" s="6"/>
      <c r="BS795" s="6"/>
      <c r="BT795" s="6"/>
      <c r="BU795" s="8" t="s">
        <v>7209</v>
      </c>
      <c r="BV795" s="8" t="s">
        <v>7209</v>
      </c>
      <c r="BW795" s="12" t="s">
        <v>7209</v>
      </c>
    </row>
    <row r="796" spans="1:75" ht="12.75" customHeight="1">
      <c r="A796" s="4" t="s">
        <v>63</v>
      </c>
      <c r="B796" s="4" t="s">
        <v>4628</v>
      </c>
      <c r="C796" s="4"/>
      <c r="D796" s="4"/>
      <c r="E796" s="4"/>
      <c r="F796" s="4" t="s">
        <v>4629</v>
      </c>
      <c r="G796" s="4"/>
      <c r="H796" s="4"/>
      <c r="I796" s="4" t="s">
        <v>4630</v>
      </c>
      <c r="J796" s="4" t="s">
        <v>2382</v>
      </c>
      <c r="K796" s="4"/>
      <c r="L796" s="4"/>
      <c r="M796" s="4"/>
      <c r="N796" s="4"/>
      <c r="O796" s="4"/>
      <c r="P796" s="4"/>
      <c r="Q796" s="4"/>
      <c r="R796" s="4"/>
      <c r="S796" s="4"/>
      <c r="T796" s="4" t="s">
        <v>4631</v>
      </c>
      <c r="U796" s="4"/>
      <c r="V796" s="4"/>
      <c r="W796" s="4"/>
      <c r="X796" s="4"/>
      <c r="Y796" s="4"/>
      <c r="Z796" s="4" t="s">
        <v>4632</v>
      </c>
      <c r="AA796" s="4"/>
      <c r="AB796" s="4"/>
      <c r="AC796" s="4"/>
      <c r="AD796" s="4"/>
      <c r="AE796" s="4"/>
      <c r="AF796" s="4"/>
      <c r="AG796" s="4"/>
      <c r="AH796" s="4"/>
      <c r="AI796" s="4"/>
      <c r="AJ796" s="4"/>
      <c r="AK796" s="4"/>
      <c r="AL796" s="4"/>
      <c r="AM796" s="4"/>
      <c r="AN796" s="4" t="s">
        <v>2384</v>
      </c>
      <c r="AO796" s="4"/>
      <c r="AP796" s="4"/>
      <c r="AQ796" s="4"/>
      <c r="AR796" s="4" t="s">
        <v>4633</v>
      </c>
      <c r="AS796" s="4">
        <v>2020</v>
      </c>
      <c r="AT796" s="4">
        <v>20</v>
      </c>
      <c r="AU796" s="4">
        <v>1</v>
      </c>
      <c r="AV796" s="4"/>
      <c r="AW796" s="4"/>
      <c r="AX796" s="4"/>
      <c r="AY796" s="4"/>
      <c r="AZ796" s="4"/>
      <c r="BA796" s="4"/>
      <c r="BB796" s="4">
        <v>1459</v>
      </c>
      <c r="BC796" s="4" t="s">
        <v>4634</v>
      </c>
      <c r="BD796" s="5" t="str">
        <f>HYPERLINK("http://dx.doi.org/10.1186/s12889-020-09513-8","http://dx.doi.org/10.1186/s12889-020-09513-8")</f>
        <v>http://dx.doi.org/10.1186/s12889-020-09513-8</v>
      </c>
      <c r="BE796" s="4"/>
      <c r="BF796" s="4"/>
      <c r="BG796" s="4"/>
      <c r="BH796" s="4"/>
      <c r="BI796" s="4">
        <v>32977801</v>
      </c>
      <c r="BJ796" s="4" t="s">
        <v>4635</v>
      </c>
      <c r="BK796" s="4"/>
      <c r="BL796" s="4"/>
      <c r="BM796" s="4"/>
      <c r="BN796" s="4"/>
      <c r="BO796" s="4"/>
      <c r="BP796" s="4"/>
      <c r="BQ796" s="4"/>
      <c r="BR796" s="4"/>
      <c r="BS796" s="4"/>
      <c r="BT796" s="4"/>
      <c r="BU796" s="12" t="s">
        <v>7201</v>
      </c>
      <c r="BV796" s="12" t="s">
        <v>7188</v>
      </c>
      <c r="BW796" s="12" t="s">
        <v>7189</v>
      </c>
    </row>
    <row r="797" spans="1:75" ht="12.75" customHeight="1">
      <c r="A797" s="4" t="s">
        <v>63</v>
      </c>
      <c r="B797" s="4" t="s">
        <v>5925</v>
      </c>
      <c r="C797" s="4"/>
      <c r="D797" s="4"/>
      <c r="E797" s="4"/>
      <c r="F797" s="4" t="s">
        <v>5926</v>
      </c>
      <c r="G797" s="4"/>
      <c r="H797" s="4"/>
      <c r="I797" s="4" t="s">
        <v>5927</v>
      </c>
      <c r="J797" s="4" t="s">
        <v>5928</v>
      </c>
      <c r="K797" s="4"/>
      <c r="L797" s="4"/>
      <c r="M797" s="4"/>
      <c r="N797" s="4"/>
      <c r="O797" s="4"/>
      <c r="P797" s="4"/>
      <c r="Q797" s="4"/>
      <c r="R797" s="4"/>
      <c r="S797" s="4"/>
      <c r="T797" s="4" t="s">
        <v>5929</v>
      </c>
      <c r="U797" s="4"/>
      <c r="V797" s="4"/>
      <c r="W797" s="4"/>
      <c r="X797" s="4"/>
      <c r="Y797" s="4" t="s">
        <v>5930</v>
      </c>
      <c r="Z797" s="4" t="s">
        <v>5931</v>
      </c>
      <c r="AA797" s="4"/>
      <c r="AB797" s="4"/>
      <c r="AC797" s="4"/>
      <c r="AD797" s="4"/>
      <c r="AE797" s="4"/>
      <c r="AF797" s="4"/>
      <c r="AG797" s="4"/>
      <c r="AH797" s="4"/>
      <c r="AI797" s="4"/>
      <c r="AJ797" s="4"/>
      <c r="AK797" s="4"/>
      <c r="AL797" s="4"/>
      <c r="AM797" s="4"/>
      <c r="AN797" s="4" t="s">
        <v>5932</v>
      </c>
      <c r="AO797" s="4"/>
      <c r="AP797" s="4"/>
      <c r="AQ797" s="4"/>
      <c r="AR797" s="4" t="s">
        <v>133</v>
      </c>
      <c r="AS797" s="4">
        <v>2022</v>
      </c>
      <c r="AT797" s="4">
        <v>6</v>
      </c>
      <c r="AU797" s="4">
        <v>1</v>
      </c>
      <c r="AV797" s="4"/>
      <c r="AW797" s="4"/>
      <c r="AX797" s="4"/>
      <c r="AY797" s="4"/>
      <c r="AZ797" s="4"/>
      <c r="BA797" s="4"/>
      <c r="BB797" s="4" t="s">
        <v>5933</v>
      </c>
      <c r="BC797" s="4" t="s">
        <v>5934</v>
      </c>
      <c r="BD797" s="5" t="str">
        <f>HYPERLINK("http://dx.doi.org/10.2196/25444","http://dx.doi.org/10.2196/25444")</f>
        <v>http://dx.doi.org/10.2196/25444</v>
      </c>
      <c r="BE797" s="4"/>
      <c r="BF797" s="4"/>
      <c r="BG797" s="4"/>
      <c r="BH797" s="4"/>
      <c r="BI797" s="4">
        <v>35014970</v>
      </c>
      <c r="BJ797" s="4" t="s">
        <v>5935</v>
      </c>
      <c r="BK797" s="4"/>
      <c r="BL797" s="4"/>
      <c r="BM797" s="4"/>
      <c r="BN797" s="4"/>
      <c r="BO797" s="4"/>
      <c r="BP797" s="4"/>
      <c r="BQ797" s="4"/>
      <c r="BR797" s="4"/>
      <c r="BS797" s="4"/>
      <c r="BT797" s="4"/>
      <c r="BU797" s="12" t="s">
        <v>7376</v>
      </c>
      <c r="BV797" s="12" t="s">
        <v>7188</v>
      </c>
      <c r="BW797" s="12" t="s">
        <v>7189</v>
      </c>
    </row>
    <row r="798" spans="1:75" ht="12.75" customHeight="1">
      <c r="A798" s="3" t="s">
        <v>63</v>
      </c>
      <c r="B798" s="3" t="s">
        <v>4636</v>
      </c>
      <c r="C798" s="3"/>
      <c r="D798" s="3"/>
      <c r="E798" s="3"/>
      <c r="F798" s="3" t="s">
        <v>4637</v>
      </c>
      <c r="G798" s="3"/>
      <c r="H798" s="3"/>
      <c r="I798" s="3" t="s">
        <v>4638</v>
      </c>
      <c r="J798" s="3" t="s">
        <v>4017</v>
      </c>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t="s">
        <v>4021</v>
      </c>
      <c r="AN798" s="3"/>
      <c r="AO798" s="3"/>
      <c r="AP798" s="3"/>
      <c r="AQ798" s="3"/>
      <c r="AR798" s="3" t="s">
        <v>65</v>
      </c>
      <c r="AS798" s="3">
        <v>2020</v>
      </c>
      <c r="AT798" s="3">
        <v>12</v>
      </c>
      <c r="AU798" s="3"/>
      <c r="AV798" s="3"/>
      <c r="AW798" s="3"/>
      <c r="AX798" s="3"/>
      <c r="AY798" s="3"/>
      <c r="AZ798" s="3"/>
      <c r="BA798" s="3"/>
      <c r="BB798" s="3"/>
      <c r="BC798" s="3"/>
      <c r="BD798" s="3"/>
      <c r="BE798" s="3"/>
      <c r="BF798" s="3"/>
      <c r="BG798" s="3"/>
      <c r="BH798" s="3"/>
      <c r="BI798" s="3"/>
      <c r="BJ798" s="3" t="s">
        <v>4639</v>
      </c>
      <c r="BK798" s="3"/>
      <c r="BL798" s="3"/>
      <c r="BM798" s="3"/>
      <c r="BN798" s="3"/>
      <c r="BO798" s="3"/>
      <c r="BP798" s="3"/>
      <c r="BQ798" s="3"/>
      <c r="BR798" s="3"/>
      <c r="BS798" s="3"/>
      <c r="BT798" s="3"/>
      <c r="BU798" s="2" t="s">
        <v>7193</v>
      </c>
      <c r="BV798" s="2" t="s">
        <v>7193</v>
      </c>
      <c r="BW798" s="2" t="s">
        <v>7193</v>
      </c>
    </row>
    <row r="799" spans="1:75" ht="12.75" customHeight="1">
      <c r="A799" s="6" t="s">
        <v>63</v>
      </c>
      <c r="B799" s="6" t="s">
        <v>5936</v>
      </c>
      <c r="C799" s="6"/>
      <c r="D799" s="6"/>
      <c r="E799" s="6"/>
      <c r="F799" s="6" t="s">
        <v>5937</v>
      </c>
      <c r="G799" s="6"/>
      <c r="H799" s="6"/>
      <c r="I799" s="6" t="s">
        <v>5938</v>
      </c>
      <c r="J799" s="6" t="s">
        <v>5939</v>
      </c>
      <c r="K799" s="6"/>
      <c r="L799" s="6"/>
      <c r="M799" s="6"/>
      <c r="N799" s="6"/>
      <c r="O799" s="6"/>
      <c r="P799" s="6"/>
      <c r="Q799" s="6"/>
      <c r="R799" s="6"/>
      <c r="S799" s="6"/>
      <c r="T799" s="6" t="s">
        <v>5940</v>
      </c>
      <c r="U799" s="6"/>
      <c r="V799" s="6"/>
      <c r="W799" s="6"/>
      <c r="X799" s="6"/>
      <c r="Y799" s="6"/>
      <c r="Z799" s="6" t="s">
        <v>5941</v>
      </c>
      <c r="AA799" s="6"/>
      <c r="AB799" s="6"/>
      <c r="AC799" s="6"/>
      <c r="AD799" s="6"/>
      <c r="AE799" s="6"/>
      <c r="AF799" s="6"/>
      <c r="AG799" s="6"/>
      <c r="AH799" s="6"/>
      <c r="AI799" s="6"/>
      <c r="AJ799" s="6"/>
      <c r="AK799" s="6"/>
      <c r="AL799" s="6"/>
      <c r="AM799" s="6" t="s">
        <v>5942</v>
      </c>
      <c r="AN799" s="6" t="s">
        <v>5943</v>
      </c>
      <c r="AO799" s="6"/>
      <c r="AP799" s="6"/>
      <c r="AQ799" s="6"/>
      <c r="AR799" s="6" t="s">
        <v>68</v>
      </c>
      <c r="AS799" s="6">
        <v>2022</v>
      </c>
      <c r="AT799" s="6">
        <v>26</v>
      </c>
      <c r="AU799" s="6">
        <v>4</v>
      </c>
      <c r="AV799" s="6"/>
      <c r="AW799" s="6"/>
      <c r="AX799" s="6" t="s">
        <v>569</v>
      </c>
      <c r="AY799" s="6"/>
      <c r="AZ799" s="6">
        <v>863</v>
      </c>
      <c r="BA799" s="6">
        <v>871</v>
      </c>
      <c r="BB799" s="6"/>
      <c r="BC799" s="6" t="s">
        <v>5944</v>
      </c>
      <c r="BD799" s="9" t="str">
        <f>HYPERLINK("http://dx.doi.org/10.1007/s10995-021-03196-2","http://dx.doi.org/10.1007/s10995-021-03196-2")</f>
        <v>http://dx.doi.org/10.1007/s10995-021-03196-2</v>
      </c>
      <c r="BE799" s="6"/>
      <c r="BF799" s="6" t="s">
        <v>5167</v>
      </c>
      <c r="BG799" s="6"/>
      <c r="BH799" s="6"/>
      <c r="BI799" s="6">
        <v>34170452</v>
      </c>
      <c r="BJ799" s="6" t="s">
        <v>5945</v>
      </c>
      <c r="BK799" s="6"/>
      <c r="BL799" s="6"/>
      <c r="BM799" s="6"/>
      <c r="BN799" s="6"/>
      <c r="BO799" s="6"/>
      <c r="BP799" s="6"/>
      <c r="BQ799" s="6"/>
      <c r="BR799" s="6"/>
      <c r="BS799" s="6"/>
      <c r="BT799" s="6"/>
      <c r="BU799" s="8" t="s">
        <v>7511</v>
      </c>
      <c r="BV799" s="8" t="s">
        <v>7188</v>
      </c>
      <c r="BW799" s="8" t="s">
        <v>7189</v>
      </c>
    </row>
    <row r="800" spans="1:75" ht="12.75" customHeight="1">
      <c r="A800" s="3" t="s">
        <v>63</v>
      </c>
      <c r="B800" s="3" t="s">
        <v>6554</v>
      </c>
      <c r="C800" s="3"/>
      <c r="D800" s="3"/>
      <c r="E800" s="3"/>
      <c r="F800" s="3" t="s">
        <v>6555</v>
      </c>
      <c r="G800" s="3"/>
      <c r="H800" s="3"/>
      <c r="I800" s="3" t="s">
        <v>6556</v>
      </c>
      <c r="J800" s="3" t="s">
        <v>6557</v>
      </c>
      <c r="K800" s="3"/>
      <c r="L800" s="3"/>
      <c r="M800" s="3"/>
      <c r="N800" s="3"/>
      <c r="O800" s="3"/>
      <c r="P800" s="3"/>
      <c r="Q800" s="3"/>
      <c r="R800" s="3"/>
      <c r="S800" s="3"/>
      <c r="T800" s="3" t="s">
        <v>6558</v>
      </c>
      <c r="U800" s="3"/>
      <c r="V800" s="3"/>
      <c r="W800" s="3"/>
      <c r="X800" s="3"/>
      <c r="Y800" s="3"/>
      <c r="Z800" s="3"/>
      <c r="AA800" s="3"/>
      <c r="AB800" s="3"/>
      <c r="AC800" s="3"/>
      <c r="AD800" s="3"/>
      <c r="AE800" s="3"/>
      <c r="AF800" s="3"/>
      <c r="AG800" s="3"/>
      <c r="AH800" s="3"/>
      <c r="AI800" s="3"/>
      <c r="AJ800" s="3"/>
      <c r="AK800" s="3"/>
      <c r="AL800" s="3"/>
      <c r="AM800" s="3" t="s">
        <v>6559</v>
      </c>
      <c r="AN800" s="3" t="s">
        <v>6560</v>
      </c>
      <c r="AO800" s="3"/>
      <c r="AP800" s="3"/>
      <c r="AQ800" s="3"/>
      <c r="AR800" s="3" t="s">
        <v>173</v>
      </c>
      <c r="AS800" s="3">
        <v>2023</v>
      </c>
      <c r="AT800" s="3">
        <v>23</v>
      </c>
      <c r="AU800" s="3">
        <v>1</v>
      </c>
      <c r="AV800" s="3"/>
      <c r="AW800" s="3"/>
      <c r="AX800" s="3"/>
      <c r="AY800" s="3"/>
      <c r="AZ800" s="3"/>
      <c r="BA800" s="3"/>
      <c r="BB800" s="3" t="s">
        <v>6561</v>
      </c>
      <c r="BC800" s="3"/>
      <c r="BD800" s="3"/>
      <c r="BE800" s="3"/>
      <c r="BF800" s="3"/>
      <c r="BG800" s="3"/>
      <c r="BH800" s="3"/>
      <c r="BI800" s="3"/>
      <c r="BJ800" s="3" t="s">
        <v>6562</v>
      </c>
      <c r="BK800" s="3"/>
      <c r="BL800" s="3"/>
      <c r="BM800" s="3"/>
      <c r="BN800" s="3"/>
      <c r="BO800" s="3"/>
      <c r="BP800" s="3"/>
      <c r="BQ800" s="3"/>
      <c r="BR800" s="3"/>
      <c r="BS800" s="3"/>
      <c r="BT800" s="3"/>
      <c r="BU800" s="1" t="s">
        <v>7512</v>
      </c>
      <c r="BV800" s="2" t="s">
        <v>7316</v>
      </c>
      <c r="BW800" s="2" t="s">
        <v>7189</v>
      </c>
    </row>
    <row r="801" spans="1:75" ht="12.75" customHeight="1">
      <c r="A801" s="4" t="s">
        <v>63</v>
      </c>
      <c r="B801" s="4" t="s">
        <v>529</v>
      </c>
      <c r="C801" s="4"/>
      <c r="D801" s="4"/>
      <c r="E801" s="4"/>
      <c r="F801" s="4" t="s">
        <v>530</v>
      </c>
      <c r="G801" s="4"/>
      <c r="H801" s="4"/>
      <c r="I801" s="4" t="s">
        <v>531</v>
      </c>
      <c r="J801" s="4" t="s">
        <v>532</v>
      </c>
      <c r="K801" s="4"/>
      <c r="L801" s="4"/>
      <c r="M801" s="4"/>
      <c r="N801" s="4"/>
      <c r="O801" s="4"/>
      <c r="P801" s="4"/>
      <c r="Q801" s="4"/>
      <c r="R801" s="4"/>
      <c r="S801" s="4"/>
      <c r="T801" s="4" t="s">
        <v>533</v>
      </c>
      <c r="U801" s="4"/>
      <c r="V801" s="4"/>
      <c r="W801" s="4"/>
      <c r="X801" s="4"/>
      <c r="Y801" s="4"/>
      <c r="Z801" s="4"/>
      <c r="AA801" s="4"/>
      <c r="AB801" s="4"/>
      <c r="AC801" s="4"/>
      <c r="AD801" s="4"/>
      <c r="AE801" s="4"/>
      <c r="AF801" s="4"/>
      <c r="AG801" s="4"/>
      <c r="AH801" s="4"/>
      <c r="AI801" s="4"/>
      <c r="AJ801" s="4"/>
      <c r="AK801" s="4"/>
      <c r="AL801" s="4"/>
      <c r="AM801" s="4" t="s">
        <v>534</v>
      </c>
      <c r="AN801" s="4" t="s">
        <v>535</v>
      </c>
      <c r="AO801" s="4"/>
      <c r="AP801" s="4"/>
      <c r="AQ801" s="4"/>
      <c r="AR801" s="4" t="s">
        <v>536</v>
      </c>
      <c r="AS801" s="4">
        <v>2010</v>
      </c>
      <c r="AT801" s="4">
        <v>1</v>
      </c>
      <c r="AU801" s="4">
        <v>3</v>
      </c>
      <c r="AV801" s="4"/>
      <c r="AW801" s="4"/>
      <c r="AX801" s="4"/>
      <c r="AY801" s="4"/>
      <c r="AZ801" s="4">
        <v>99</v>
      </c>
      <c r="BA801" s="4">
        <v>114</v>
      </c>
      <c r="BB801" s="4"/>
      <c r="BC801" s="4" t="s">
        <v>537</v>
      </c>
      <c r="BD801" s="5" t="str">
        <f>HYPERLINK("http://dx.doi.org/10.5304/jafscd.2011.013.007","http://dx.doi.org/10.5304/jafscd.2011.013.007")</f>
        <v>http://dx.doi.org/10.5304/jafscd.2011.013.007</v>
      </c>
      <c r="BE801" s="4"/>
      <c r="BF801" s="4"/>
      <c r="BG801" s="4"/>
      <c r="BH801" s="4"/>
      <c r="BI801" s="4"/>
      <c r="BJ801" s="4" t="s">
        <v>538</v>
      </c>
      <c r="BK801" s="4"/>
      <c r="BL801" s="4"/>
      <c r="BM801" s="4"/>
      <c r="BN801" s="4"/>
      <c r="BO801" s="4"/>
      <c r="BP801" s="4"/>
      <c r="BQ801" s="4"/>
      <c r="BR801" s="4"/>
      <c r="BS801" s="4"/>
      <c r="BT801" s="4"/>
      <c r="BU801" s="12" t="s">
        <v>7302</v>
      </c>
      <c r="BV801" s="12" t="s">
        <v>7188</v>
      </c>
      <c r="BW801" s="12" t="s">
        <v>7189</v>
      </c>
    </row>
    <row r="802" spans="1:75" ht="12.75" customHeight="1">
      <c r="A802" s="4" t="s">
        <v>63</v>
      </c>
      <c r="B802" s="4" t="s">
        <v>4086</v>
      </c>
      <c r="C802" s="4"/>
      <c r="D802" s="4"/>
      <c r="E802" s="4"/>
      <c r="F802" s="4" t="s">
        <v>4087</v>
      </c>
      <c r="G802" s="4"/>
      <c r="H802" s="4"/>
      <c r="I802" s="4" t="s">
        <v>4088</v>
      </c>
      <c r="J802" s="4" t="s">
        <v>1142</v>
      </c>
      <c r="K802" s="4"/>
      <c r="L802" s="4"/>
      <c r="M802" s="4"/>
      <c r="N802" s="4"/>
      <c r="O802" s="4"/>
      <c r="P802" s="4"/>
      <c r="Q802" s="4"/>
      <c r="R802" s="4"/>
      <c r="S802" s="4"/>
      <c r="T802" s="4" t="s">
        <v>4089</v>
      </c>
      <c r="U802" s="4"/>
      <c r="V802" s="4"/>
      <c r="W802" s="4"/>
      <c r="X802" s="4"/>
      <c r="Y802" s="4"/>
      <c r="Z802" s="4" t="s">
        <v>4090</v>
      </c>
      <c r="AA802" s="4"/>
      <c r="AB802" s="4"/>
      <c r="AC802" s="4"/>
      <c r="AD802" s="4"/>
      <c r="AE802" s="4"/>
      <c r="AF802" s="4"/>
      <c r="AG802" s="4"/>
      <c r="AH802" s="4"/>
      <c r="AI802" s="4"/>
      <c r="AJ802" s="4"/>
      <c r="AK802" s="4"/>
      <c r="AL802" s="4"/>
      <c r="AM802" s="4"/>
      <c r="AN802" s="4" t="s">
        <v>1144</v>
      </c>
      <c r="AO802" s="4"/>
      <c r="AP802" s="4"/>
      <c r="AQ802" s="4"/>
      <c r="AR802" s="4" t="s">
        <v>4091</v>
      </c>
      <c r="AS802" s="4">
        <v>2019</v>
      </c>
      <c r="AT802" s="4">
        <v>16</v>
      </c>
      <c r="AU802" s="4">
        <v>6</v>
      </c>
      <c r="AV802" s="4"/>
      <c r="AW802" s="4"/>
      <c r="AX802" s="4"/>
      <c r="AY802" s="4"/>
      <c r="AZ802" s="4"/>
      <c r="BA802" s="4"/>
      <c r="BB802" s="4">
        <v>1052</v>
      </c>
      <c r="BC802" s="4" t="s">
        <v>4092</v>
      </c>
      <c r="BD802" s="5" t="str">
        <f>HYPERLINK("http://dx.doi.org/10.3390/ijerph16061052","http://dx.doi.org/10.3390/ijerph16061052")</f>
        <v>http://dx.doi.org/10.3390/ijerph16061052</v>
      </c>
      <c r="BE802" s="4"/>
      <c r="BF802" s="4"/>
      <c r="BG802" s="4"/>
      <c r="BH802" s="4"/>
      <c r="BI802" s="4">
        <v>30909551</v>
      </c>
      <c r="BJ802" s="4" t="s">
        <v>4093</v>
      </c>
      <c r="BK802" s="4"/>
      <c r="BL802" s="4"/>
      <c r="BM802" s="4"/>
      <c r="BN802" s="4"/>
      <c r="BO802" s="4"/>
      <c r="BP802" s="4"/>
      <c r="BQ802" s="4"/>
      <c r="BR802" s="4"/>
      <c r="BS802" s="4"/>
      <c r="BT802" s="4"/>
      <c r="BU802" s="12" t="s">
        <v>7219</v>
      </c>
      <c r="BV802" s="12" t="s">
        <v>7188</v>
      </c>
      <c r="BW802" s="12" t="s">
        <v>7189</v>
      </c>
    </row>
    <row r="803" spans="1:75" ht="12.75" customHeight="1">
      <c r="A803" s="3" t="s">
        <v>63</v>
      </c>
      <c r="B803" s="3" t="s">
        <v>7106</v>
      </c>
      <c r="C803" s="3"/>
      <c r="D803" s="3"/>
      <c r="E803" s="3"/>
      <c r="F803" s="3" t="s">
        <v>7107</v>
      </c>
      <c r="G803" s="3"/>
      <c r="H803" s="3"/>
      <c r="I803" s="3" t="s">
        <v>7108</v>
      </c>
      <c r="J803" s="3" t="s">
        <v>7109</v>
      </c>
      <c r="K803" s="3"/>
      <c r="L803" s="3"/>
      <c r="M803" s="3"/>
      <c r="N803" s="3"/>
      <c r="O803" s="3"/>
      <c r="P803" s="3"/>
      <c r="Q803" s="3"/>
      <c r="R803" s="3"/>
      <c r="S803" s="3"/>
      <c r="T803" s="3" t="s">
        <v>7110</v>
      </c>
      <c r="U803" s="3"/>
      <c r="V803" s="3"/>
      <c r="W803" s="3"/>
      <c r="X803" s="3"/>
      <c r="Y803" s="3"/>
      <c r="Z803" s="3"/>
      <c r="AA803" s="3"/>
      <c r="AB803" s="3"/>
      <c r="AC803" s="3"/>
      <c r="AD803" s="3"/>
      <c r="AE803" s="3"/>
      <c r="AF803" s="3"/>
      <c r="AG803" s="3"/>
      <c r="AH803" s="3"/>
      <c r="AI803" s="3"/>
      <c r="AJ803" s="3"/>
      <c r="AK803" s="3"/>
      <c r="AL803" s="3"/>
      <c r="AM803" s="3" t="s">
        <v>7111</v>
      </c>
      <c r="AN803" s="3" t="s">
        <v>7112</v>
      </c>
      <c r="AO803" s="3"/>
      <c r="AP803" s="3"/>
      <c r="AQ803" s="3"/>
      <c r="AR803" s="3" t="s">
        <v>7113</v>
      </c>
      <c r="AS803" s="3">
        <v>2024</v>
      </c>
      <c r="AT803" s="3">
        <v>28</v>
      </c>
      <c r="AU803" s="3">
        <v>4</v>
      </c>
      <c r="AV803" s="3"/>
      <c r="AW803" s="3"/>
      <c r="AX803" s="3" t="s">
        <v>569</v>
      </c>
      <c r="AY803" s="3"/>
      <c r="AZ803" s="3">
        <v>682</v>
      </c>
      <c r="BA803" s="3">
        <v>698</v>
      </c>
      <c r="BB803" s="3"/>
      <c r="BC803" s="3" t="s">
        <v>7114</v>
      </c>
      <c r="BD803" s="15" t="str">
        <f>HYPERLINK("http://dx.doi.org/10.1080/17409292.2024.2384794","http://dx.doi.org/10.1080/17409292.2024.2384794")</f>
        <v>http://dx.doi.org/10.1080/17409292.2024.2384794</v>
      </c>
      <c r="BE803" s="3"/>
      <c r="BF803" s="3"/>
      <c r="BG803" s="3"/>
      <c r="BH803" s="3"/>
      <c r="BI803" s="3"/>
      <c r="BJ803" s="3" t="s">
        <v>7115</v>
      </c>
      <c r="BK803" s="3"/>
      <c r="BL803" s="3"/>
      <c r="BM803" s="3"/>
      <c r="BN803" s="3"/>
      <c r="BO803" s="3"/>
      <c r="BP803" s="3"/>
      <c r="BQ803" s="3"/>
      <c r="BR803" s="3"/>
      <c r="BS803" s="3"/>
      <c r="BT803" s="3"/>
      <c r="BU803" s="2" t="s">
        <v>7193</v>
      </c>
      <c r="BV803" s="2" t="s">
        <v>7341</v>
      </c>
      <c r="BW803" s="2" t="s">
        <v>7205</v>
      </c>
    </row>
    <row r="804" spans="1:75" ht="12.75" customHeight="1">
      <c r="A804" s="3" t="s">
        <v>63</v>
      </c>
      <c r="B804" s="3" t="s">
        <v>5267</v>
      </c>
      <c r="C804" s="3"/>
      <c r="D804" s="3"/>
      <c r="E804" s="3"/>
      <c r="F804" s="3" t="s">
        <v>5268</v>
      </c>
      <c r="G804" s="3"/>
      <c r="H804" s="3"/>
      <c r="I804" s="3" t="s">
        <v>5269</v>
      </c>
      <c r="J804" s="3" t="s">
        <v>434</v>
      </c>
      <c r="K804" s="3"/>
      <c r="L804" s="3"/>
      <c r="M804" s="3"/>
      <c r="N804" s="3"/>
      <c r="O804" s="3"/>
      <c r="P804" s="3"/>
      <c r="Q804" s="3"/>
      <c r="R804" s="3"/>
      <c r="S804" s="3"/>
      <c r="T804" s="3" t="s">
        <v>5270</v>
      </c>
      <c r="U804" s="3"/>
      <c r="V804" s="3"/>
      <c r="W804" s="3"/>
      <c r="X804" s="3"/>
      <c r="Y804" s="3"/>
      <c r="Z804" s="3" t="s">
        <v>5271</v>
      </c>
      <c r="AA804" s="3"/>
      <c r="AB804" s="3"/>
      <c r="AC804" s="3"/>
      <c r="AD804" s="3"/>
      <c r="AE804" s="3"/>
      <c r="AF804" s="3"/>
      <c r="AG804" s="3"/>
      <c r="AH804" s="3"/>
      <c r="AI804" s="3"/>
      <c r="AJ804" s="3"/>
      <c r="AK804" s="3"/>
      <c r="AL804" s="3"/>
      <c r="AM804" s="3" t="s">
        <v>436</v>
      </c>
      <c r="AN804" s="3" t="s">
        <v>568</v>
      </c>
      <c r="AO804" s="3"/>
      <c r="AP804" s="3"/>
      <c r="AQ804" s="3"/>
      <c r="AR804" s="3" t="s">
        <v>82</v>
      </c>
      <c r="AS804" s="3">
        <v>2021</v>
      </c>
      <c r="AT804" s="3">
        <v>128</v>
      </c>
      <c r="AU804" s="3"/>
      <c r="AV804" s="3"/>
      <c r="AW804" s="3"/>
      <c r="AX804" s="3"/>
      <c r="AY804" s="3"/>
      <c r="AZ804" s="3"/>
      <c r="BA804" s="3"/>
      <c r="BB804" s="3">
        <v>102415</v>
      </c>
      <c r="BC804" s="3" t="s">
        <v>5272</v>
      </c>
      <c r="BD804" s="15" t="str">
        <f>HYPERLINK("http://dx.doi.org/10.1016/j.apgeog.2021.102415","http://dx.doi.org/10.1016/j.apgeog.2021.102415")</f>
        <v>http://dx.doi.org/10.1016/j.apgeog.2021.102415</v>
      </c>
      <c r="BE804" s="3"/>
      <c r="BF804" s="3" t="s">
        <v>4861</v>
      </c>
      <c r="BG804" s="3"/>
      <c r="BH804" s="3"/>
      <c r="BI804" s="3"/>
      <c r="BJ804" s="3" t="s">
        <v>5273</v>
      </c>
      <c r="BK804" s="3"/>
      <c r="BL804" s="3"/>
      <c r="BM804" s="3"/>
      <c r="BN804" s="3"/>
      <c r="BO804" s="3"/>
      <c r="BP804" s="3"/>
      <c r="BQ804" s="3"/>
      <c r="BR804" s="3"/>
      <c r="BS804" s="3"/>
      <c r="BT804" s="3"/>
      <c r="BU804" s="13" t="s">
        <v>7225</v>
      </c>
      <c r="BV804" s="2" t="s">
        <v>7188</v>
      </c>
      <c r="BW804" s="2" t="s">
        <v>7189</v>
      </c>
    </row>
    <row r="805" spans="1:75" ht="12.75" customHeight="1">
      <c r="A805" s="3" t="s">
        <v>63</v>
      </c>
      <c r="B805" s="3" t="s">
        <v>948</v>
      </c>
      <c r="C805" s="3"/>
      <c r="D805" s="3"/>
      <c r="E805" s="3"/>
      <c r="F805" s="3" t="s">
        <v>949</v>
      </c>
      <c r="G805" s="3"/>
      <c r="H805" s="3"/>
      <c r="I805" s="3" t="s">
        <v>950</v>
      </c>
      <c r="J805" s="3" t="s">
        <v>532</v>
      </c>
      <c r="K805" s="3"/>
      <c r="L805" s="3"/>
      <c r="M805" s="3"/>
      <c r="N805" s="3"/>
      <c r="O805" s="3"/>
      <c r="P805" s="3"/>
      <c r="Q805" s="3"/>
      <c r="R805" s="3"/>
      <c r="S805" s="3"/>
      <c r="T805" s="3" t="s">
        <v>951</v>
      </c>
      <c r="U805" s="3"/>
      <c r="V805" s="3"/>
      <c r="W805" s="3"/>
      <c r="X805" s="3"/>
      <c r="Y805" s="3" t="s">
        <v>952</v>
      </c>
      <c r="Z805" s="3" t="s">
        <v>953</v>
      </c>
      <c r="AA805" s="3"/>
      <c r="AB805" s="3"/>
      <c r="AC805" s="3"/>
      <c r="AD805" s="3"/>
      <c r="AE805" s="3"/>
      <c r="AF805" s="3"/>
      <c r="AG805" s="3"/>
      <c r="AH805" s="3"/>
      <c r="AI805" s="3"/>
      <c r="AJ805" s="3"/>
      <c r="AK805" s="3"/>
      <c r="AL805" s="3"/>
      <c r="AM805" s="3" t="s">
        <v>534</v>
      </c>
      <c r="AN805" s="3" t="s">
        <v>535</v>
      </c>
      <c r="AO805" s="3"/>
      <c r="AP805" s="3"/>
      <c r="AQ805" s="3"/>
      <c r="AR805" s="3" t="s">
        <v>937</v>
      </c>
      <c r="AS805" s="3">
        <v>2012</v>
      </c>
      <c r="AT805" s="3">
        <v>3</v>
      </c>
      <c r="AU805" s="3">
        <v>1</v>
      </c>
      <c r="AV805" s="3"/>
      <c r="AW805" s="3"/>
      <c r="AX805" s="3"/>
      <c r="AY805" s="3"/>
      <c r="AZ805" s="3">
        <v>143</v>
      </c>
      <c r="BA805" s="3">
        <v>160</v>
      </c>
      <c r="BB805" s="3"/>
      <c r="BC805" s="3" t="s">
        <v>954</v>
      </c>
      <c r="BD805" s="15" t="str">
        <f>HYPERLINK("http://dx.doi.org/10.5304/jafscd.2012.031.013","http://dx.doi.org/10.5304/jafscd.2012.031.013")</f>
        <v>http://dx.doi.org/10.5304/jafscd.2012.031.013</v>
      </c>
      <c r="BE805" s="3"/>
      <c r="BF805" s="3"/>
      <c r="BG805" s="3"/>
      <c r="BH805" s="3"/>
      <c r="BI805" s="3"/>
      <c r="BJ805" s="3" t="s">
        <v>955</v>
      </c>
      <c r="BK805" s="3"/>
      <c r="BL805" s="3"/>
      <c r="BM805" s="3"/>
      <c r="BN805" s="3"/>
      <c r="BO805" s="3"/>
      <c r="BP805" s="3"/>
      <c r="BQ805" s="3"/>
      <c r="BR805" s="3"/>
      <c r="BS805" s="3"/>
      <c r="BT805" s="3"/>
      <c r="BU805" s="1" t="s">
        <v>7347</v>
      </c>
      <c r="BV805" s="2" t="s">
        <v>7188</v>
      </c>
      <c r="BW805" s="2" t="s">
        <v>7189</v>
      </c>
    </row>
    <row r="806" spans="1:75" ht="12.75" customHeight="1">
      <c r="A806" s="3" t="s">
        <v>63</v>
      </c>
      <c r="B806" s="3" t="s">
        <v>5946</v>
      </c>
      <c r="C806" s="3"/>
      <c r="D806" s="3"/>
      <c r="E806" s="3"/>
      <c r="F806" s="3" t="s">
        <v>5947</v>
      </c>
      <c r="G806" s="3"/>
      <c r="H806" s="3"/>
      <c r="I806" s="3" t="s">
        <v>5948</v>
      </c>
      <c r="J806" s="3" t="s">
        <v>5949</v>
      </c>
      <c r="K806" s="3"/>
      <c r="L806" s="3"/>
      <c r="M806" s="3"/>
      <c r="N806" s="3"/>
      <c r="O806" s="3"/>
      <c r="P806" s="3"/>
      <c r="Q806" s="3"/>
      <c r="R806" s="3"/>
      <c r="S806" s="3"/>
      <c r="T806" s="3" t="s">
        <v>5950</v>
      </c>
      <c r="U806" s="3"/>
      <c r="V806" s="3"/>
      <c r="W806" s="3"/>
      <c r="X806" s="3"/>
      <c r="Y806" s="3"/>
      <c r="Z806" s="3" t="s">
        <v>5951</v>
      </c>
      <c r="AA806" s="3"/>
      <c r="AB806" s="3"/>
      <c r="AC806" s="3"/>
      <c r="AD806" s="3"/>
      <c r="AE806" s="3"/>
      <c r="AF806" s="3"/>
      <c r="AG806" s="3"/>
      <c r="AH806" s="3"/>
      <c r="AI806" s="3"/>
      <c r="AJ806" s="3"/>
      <c r="AK806" s="3"/>
      <c r="AL806" s="3"/>
      <c r="AM806" s="3" t="s">
        <v>5952</v>
      </c>
      <c r="AN806" s="3" t="s">
        <v>5953</v>
      </c>
      <c r="AO806" s="3"/>
      <c r="AP806" s="3"/>
      <c r="AQ806" s="3"/>
      <c r="AR806" s="3"/>
      <c r="AS806" s="3">
        <v>2022</v>
      </c>
      <c r="AT806" s="3">
        <v>12</v>
      </c>
      <c r="AU806" s="3">
        <v>2</v>
      </c>
      <c r="AV806" s="3"/>
      <c r="AW806" s="3"/>
      <c r="AX806" s="3"/>
      <c r="AY806" s="3"/>
      <c r="AZ806" s="3">
        <v>46</v>
      </c>
      <c r="BA806" s="3">
        <v>74</v>
      </c>
      <c r="BB806" s="3"/>
      <c r="BC806" s="3" t="s">
        <v>5954</v>
      </c>
      <c r="BD806" s="15" t="str">
        <f>HYPERLINK("http://dx.doi.org/10.15196/RS120208","http://dx.doi.org/10.15196/RS120208")</f>
        <v>http://dx.doi.org/10.15196/RS120208</v>
      </c>
      <c r="BE806" s="3"/>
      <c r="BF806" s="3" t="s">
        <v>5628</v>
      </c>
      <c r="BG806" s="3"/>
      <c r="BH806" s="3"/>
      <c r="BI806" s="3"/>
      <c r="BJ806" s="3" t="s">
        <v>5955</v>
      </c>
      <c r="BK806" s="3"/>
      <c r="BL806" s="3"/>
      <c r="BM806" s="3"/>
      <c r="BN806" s="3"/>
      <c r="BO806" s="3"/>
      <c r="BP806" s="3"/>
      <c r="BQ806" s="3"/>
      <c r="BR806" s="3"/>
      <c r="BS806" s="3"/>
      <c r="BT806" s="3"/>
      <c r="BU806" s="13" t="s">
        <v>7513</v>
      </c>
      <c r="BV806" s="2" t="s">
        <v>7204</v>
      </c>
      <c r="BW806" s="2" t="s">
        <v>7205</v>
      </c>
    </row>
    <row r="807" spans="1:75" ht="12.75" customHeight="1">
      <c r="A807" s="4" t="s">
        <v>63</v>
      </c>
      <c r="B807" s="4" t="s">
        <v>5956</v>
      </c>
      <c r="C807" s="4"/>
      <c r="D807" s="4"/>
      <c r="E807" s="4"/>
      <c r="F807" s="4" t="s">
        <v>5957</v>
      </c>
      <c r="G807" s="4"/>
      <c r="H807" s="4"/>
      <c r="I807" s="4" t="s">
        <v>5958</v>
      </c>
      <c r="J807" s="4" t="s">
        <v>5959</v>
      </c>
      <c r="K807" s="4"/>
      <c r="L807" s="4"/>
      <c r="M807" s="4"/>
      <c r="N807" s="4"/>
      <c r="O807" s="4"/>
      <c r="P807" s="4"/>
      <c r="Q807" s="4"/>
      <c r="R807" s="4"/>
      <c r="S807" s="4"/>
      <c r="T807" s="4" t="s">
        <v>5960</v>
      </c>
      <c r="U807" s="4"/>
      <c r="V807" s="4"/>
      <c r="W807" s="4"/>
      <c r="X807" s="4"/>
      <c r="Y807" s="4"/>
      <c r="Z807" s="4" t="s">
        <v>5961</v>
      </c>
      <c r="AA807" s="4"/>
      <c r="AB807" s="4"/>
      <c r="AC807" s="4"/>
      <c r="AD807" s="4"/>
      <c r="AE807" s="4"/>
      <c r="AF807" s="4"/>
      <c r="AG807" s="4"/>
      <c r="AH807" s="4"/>
      <c r="AI807" s="4"/>
      <c r="AJ807" s="4"/>
      <c r="AK807" s="4"/>
      <c r="AL807" s="4"/>
      <c r="AM807" s="4" t="s">
        <v>5962</v>
      </c>
      <c r="AN807" s="4"/>
      <c r="AO807" s="4"/>
      <c r="AP807" s="4"/>
      <c r="AQ807" s="4"/>
      <c r="AR807" s="4" t="s">
        <v>173</v>
      </c>
      <c r="AS807" s="4">
        <v>2022</v>
      </c>
      <c r="AT807" s="4">
        <v>19</v>
      </c>
      <c r="AU807" s="4">
        <v>4</v>
      </c>
      <c r="AV807" s="4"/>
      <c r="AW807" s="4"/>
      <c r="AX807" s="4"/>
      <c r="AY807" s="4"/>
      <c r="AZ807" s="4">
        <v>689</v>
      </c>
      <c r="BA807" s="4">
        <v>694</v>
      </c>
      <c r="BB807" s="4"/>
      <c r="BC807" s="4" t="s">
        <v>5963</v>
      </c>
      <c r="BD807" s="5" t="str">
        <f>HYPERLINK("http://dx.doi.org/10.34028/iajit/19/4/14","http://dx.doi.org/10.34028/iajit/19/4/14")</f>
        <v>http://dx.doi.org/10.34028/iajit/19/4/14</v>
      </c>
      <c r="BE807" s="4"/>
      <c r="BF807" s="4"/>
      <c r="BG807" s="4"/>
      <c r="BH807" s="4"/>
      <c r="BI807" s="4"/>
      <c r="BJ807" s="4" t="s">
        <v>5964</v>
      </c>
      <c r="BK807" s="4"/>
      <c r="BL807" s="4"/>
      <c r="BM807" s="4"/>
      <c r="BN807" s="4"/>
      <c r="BO807" s="4"/>
      <c r="BP807" s="4"/>
      <c r="BQ807" s="4"/>
      <c r="BR807" s="4"/>
      <c r="BS807" s="4"/>
      <c r="BT807" s="4"/>
      <c r="BU807" s="12" t="s">
        <v>7514</v>
      </c>
      <c r="BV807" s="12" t="s">
        <v>7515</v>
      </c>
      <c r="BW807" s="12" t="s">
        <v>7245</v>
      </c>
    </row>
    <row r="808" spans="1:75" ht="12.75" customHeight="1">
      <c r="A808" s="4" t="s">
        <v>63</v>
      </c>
      <c r="B808" s="4" t="s">
        <v>4640</v>
      </c>
      <c r="C808" s="4"/>
      <c r="D808" s="4"/>
      <c r="E808" s="4"/>
      <c r="F808" s="4" t="s">
        <v>4641</v>
      </c>
      <c r="G808" s="4"/>
      <c r="H808" s="4"/>
      <c r="I808" s="4" t="s">
        <v>4642</v>
      </c>
      <c r="J808" s="4" t="s">
        <v>1884</v>
      </c>
      <c r="K808" s="4"/>
      <c r="L808" s="4"/>
      <c r="M808" s="4"/>
      <c r="N808" s="4"/>
      <c r="O808" s="4"/>
      <c r="P808" s="4"/>
      <c r="Q808" s="4"/>
      <c r="R808" s="4"/>
      <c r="S808" s="4"/>
      <c r="T808" s="4" t="s">
        <v>4643</v>
      </c>
      <c r="U808" s="4"/>
      <c r="V808" s="4"/>
      <c r="W808" s="4"/>
      <c r="X808" s="4"/>
      <c r="Y808" s="4" t="s">
        <v>4644</v>
      </c>
      <c r="Z808" s="4" t="s">
        <v>4645</v>
      </c>
      <c r="AA808" s="4"/>
      <c r="AB808" s="4"/>
      <c r="AC808" s="4"/>
      <c r="AD808" s="4"/>
      <c r="AE808" s="4"/>
      <c r="AF808" s="4"/>
      <c r="AG808" s="4"/>
      <c r="AH808" s="4"/>
      <c r="AI808" s="4"/>
      <c r="AJ808" s="4"/>
      <c r="AK808" s="4"/>
      <c r="AL808" s="4"/>
      <c r="AM808" s="4" t="s">
        <v>1888</v>
      </c>
      <c r="AN808" s="4" t="s">
        <v>1889</v>
      </c>
      <c r="AO808" s="4"/>
      <c r="AP808" s="4"/>
      <c r="AQ808" s="4"/>
      <c r="AR808" s="4" t="s">
        <v>121</v>
      </c>
      <c r="AS808" s="4">
        <v>2020</v>
      </c>
      <c r="AT808" s="4">
        <v>12</v>
      </c>
      <c r="AU808" s="4">
        <v>4</v>
      </c>
      <c r="AV808" s="4"/>
      <c r="AW808" s="4"/>
      <c r="AX808" s="4" t="s">
        <v>569</v>
      </c>
      <c r="AY808" s="4"/>
      <c r="AZ808" s="4">
        <v>695</v>
      </c>
      <c r="BA808" s="4">
        <v>717</v>
      </c>
      <c r="BB808" s="4"/>
      <c r="BC808" s="4" t="s">
        <v>4646</v>
      </c>
      <c r="BD808" s="5" t="str">
        <f>HYPERLINK("http://dx.doi.org/10.1007/s12571-020-01093-0","http://dx.doi.org/10.1007/s12571-020-01093-0")</f>
        <v>http://dx.doi.org/10.1007/s12571-020-01093-0</v>
      </c>
      <c r="BE808" s="4"/>
      <c r="BF808" s="4" t="s">
        <v>4647</v>
      </c>
      <c r="BG808" s="4"/>
      <c r="BH808" s="4"/>
      <c r="BI808" s="4">
        <v>32837660</v>
      </c>
      <c r="BJ808" s="4" t="s">
        <v>4648</v>
      </c>
      <c r="BK808" s="4"/>
      <c r="BL808" s="4"/>
      <c r="BM808" s="4"/>
      <c r="BN808" s="4"/>
      <c r="BO808" s="4"/>
      <c r="BP808" s="4"/>
      <c r="BQ808" s="4"/>
      <c r="BR808" s="4"/>
      <c r="BS808" s="4"/>
      <c r="BT808" s="4"/>
      <c r="BU808" s="12" t="s">
        <v>7209</v>
      </c>
      <c r="BV808" s="12" t="s">
        <v>7209</v>
      </c>
      <c r="BW808" s="12" t="s">
        <v>7209</v>
      </c>
    </row>
    <row r="809" spans="1:75" ht="12.75" customHeight="1">
      <c r="A809" s="4" t="s">
        <v>201</v>
      </c>
      <c r="B809" s="4" t="s">
        <v>4649</v>
      </c>
      <c r="C809" s="4"/>
      <c r="D809" s="4"/>
      <c r="E809" s="4" t="s">
        <v>3879</v>
      </c>
      <c r="F809" s="4" t="s">
        <v>4650</v>
      </c>
      <c r="G809" s="4"/>
      <c r="H809" s="4"/>
      <c r="I809" s="4" t="s">
        <v>4651</v>
      </c>
      <c r="J809" s="4" t="s">
        <v>4652</v>
      </c>
      <c r="K809" s="4" t="s">
        <v>4653</v>
      </c>
      <c r="L809" s="4"/>
      <c r="M809" s="4"/>
      <c r="N809" s="4">
        <v>2020</v>
      </c>
      <c r="O809" s="4" t="s">
        <v>4487</v>
      </c>
      <c r="P809" s="4" t="s">
        <v>4654</v>
      </c>
      <c r="Q809" s="4"/>
      <c r="R809" s="4"/>
      <c r="S809" s="4"/>
      <c r="T809" s="4" t="s">
        <v>4655</v>
      </c>
      <c r="U809" s="4"/>
      <c r="V809" s="4"/>
      <c r="W809" s="4"/>
      <c r="X809" s="4"/>
      <c r="Y809" s="4"/>
      <c r="Z809" s="4"/>
      <c r="AA809" s="4"/>
      <c r="AB809" s="4"/>
      <c r="AC809" s="4"/>
      <c r="AD809" s="4"/>
      <c r="AE809" s="4"/>
      <c r="AF809" s="4"/>
      <c r="AG809" s="4"/>
      <c r="AH809" s="4"/>
      <c r="AI809" s="4"/>
      <c r="AJ809" s="4"/>
      <c r="AK809" s="4"/>
      <c r="AL809" s="4"/>
      <c r="AM809" s="4" t="s">
        <v>4656</v>
      </c>
      <c r="AN809" s="4"/>
      <c r="AO809" s="4" t="s">
        <v>4657</v>
      </c>
      <c r="AP809" s="4"/>
      <c r="AQ809" s="4"/>
      <c r="AR809" s="4"/>
      <c r="AS809" s="4">
        <v>2020</v>
      </c>
      <c r="AT809" s="4"/>
      <c r="AU809" s="4"/>
      <c r="AV809" s="4"/>
      <c r="AW809" s="4"/>
      <c r="AX809" s="4"/>
      <c r="AY809" s="4"/>
      <c r="AZ809" s="4"/>
      <c r="BA809" s="4"/>
      <c r="BB809" s="4"/>
      <c r="BC809" s="4" t="s">
        <v>4658</v>
      </c>
      <c r="BD809" s="5" t="str">
        <f>HYPERLINK("http://dx.doi.org/10.1109/southeastcon44009.2020.9249675","http://dx.doi.org/10.1109/southeastcon44009.2020.9249675")</f>
        <v>http://dx.doi.org/10.1109/southeastcon44009.2020.9249675</v>
      </c>
      <c r="BE809" s="4"/>
      <c r="BF809" s="4"/>
      <c r="BG809" s="4"/>
      <c r="BH809" s="4"/>
      <c r="BI809" s="4"/>
      <c r="BJ809" s="4" t="s">
        <v>4659</v>
      </c>
      <c r="BK809" s="4"/>
      <c r="BL809" s="4"/>
      <c r="BM809" s="4"/>
      <c r="BN809" s="4"/>
      <c r="BO809" s="4"/>
      <c r="BP809" s="4"/>
      <c r="BQ809" s="4"/>
      <c r="BR809" s="4"/>
      <c r="BS809" s="4"/>
      <c r="BT809" s="4"/>
      <c r="BU809" s="12" t="s">
        <v>7490</v>
      </c>
      <c r="BV809" s="12" t="s">
        <v>7188</v>
      </c>
      <c r="BW809" s="12" t="s">
        <v>7189</v>
      </c>
    </row>
    <row r="810" spans="1:75" ht="12.75" customHeight="1">
      <c r="A810" s="3" t="s">
        <v>63</v>
      </c>
      <c r="B810" s="3" t="s">
        <v>6378</v>
      </c>
      <c r="C810" s="3"/>
      <c r="D810" s="3"/>
      <c r="E810" s="3"/>
      <c r="F810" s="3" t="s">
        <v>6379</v>
      </c>
      <c r="G810" s="3"/>
      <c r="H810" s="3"/>
      <c r="I810" s="3" t="s">
        <v>6563</v>
      </c>
      <c r="J810" s="3" t="s">
        <v>6381</v>
      </c>
      <c r="K810" s="3"/>
      <c r="L810" s="3"/>
      <c r="M810" s="3"/>
      <c r="N810" s="3"/>
      <c r="O810" s="3"/>
      <c r="P810" s="3"/>
      <c r="Q810" s="3"/>
      <c r="R810" s="3"/>
      <c r="S810" s="3"/>
      <c r="T810" s="3"/>
      <c r="U810" s="3"/>
      <c r="V810" s="3"/>
      <c r="W810" s="3"/>
      <c r="X810" s="3"/>
      <c r="Y810" s="3" t="s">
        <v>6382</v>
      </c>
      <c r="Z810" s="3" t="s">
        <v>6564</v>
      </c>
      <c r="AA810" s="3"/>
      <c r="AB810" s="3"/>
      <c r="AC810" s="3"/>
      <c r="AD810" s="3"/>
      <c r="AE810" s="3"/>
      <c r="AF810" s="3"/>
      <c r="AG810" s="3"/>
      <c r="AH810" s="3"/>
      <c r="AI810" s="3"/>
      <c r="AJ810" s="3"/>
      <c r="AK810" s="3"/>
      <c r="AL810" s="3"/>
      <c r="AM810" s="3" t="s">
        <v>6384</v>
      </c>
      <c r="AN810" s="3" t="s">
        <v>6385</v>
      </c>
      <c r="AO810" s="3"/>
      <c r="AP810" s="3"/>
      <c r="AQ810" s="3"/>
      <c r="AR810" s="3" t="s">
        <v>78</v>
      </c>
      <c r="AS810" s="3">
        <v>2023</v>
      </c>
      <c r="AT810" s="3">
        <v>36</v>
      </c>
      <c r="AU810" s="3">
        <v>4</v>
      </c>
      <c r="AV810" s="3"/>
      <c r="AW810" s="3"/>
      <c r="AX810" s="3"/>
      <c r="AY810" s="3"/>
      <c r="AZ810" s="3">
        <v>1221</v>
      </c>
      <c r="BA810" s="3">
        <v>1221</v>
      </c>
      <c r="BB810" s="3"/>
      <c r="BC810" s="3" t="s">
        <v>6565</v>
      </c>
      <c r="BD810" s="15" t="str">
        <f>HYPERLINK("http://dx.doi.org/10.1007/s40620-023-01633-9","http://dx.doi.org/10.1007/s40620-023-01633-9")</f>
        <v>http://dx.doi.org/10.1007/s40620-023-01633-9</v>
      </c>
      <c r="BE810" s="3"/>
      <c r="BF810" s="3" t="s">
        <v>6075</v>
      </c>
      <c r="BG810" s="3"/>
      <c r="BH810" s="3"/>
      <c r="BI810" s="3">
        <v>37014615</v>
      </c>
      <c r="BJ810" s="3" t="s">
        <v>6566</v>
      </c>
      <c r="BK810" s="3"/>
      <c r="BL810" s="3"/>
      <c r="BM810" s="3"/>
      <c r="BN810" s="3"/>
      <c r="BO810" s="3"/>
      <c r="BP810" s="3"/>
      <c r="BQ810" s="3"/>
      <c r="BR810" s="3"/>
      <c r="BS810" s="3"/>
      <c r="BT810" s="3"/>
      <c r="BU810" s="1" t="s">
        <v>7516</v>
      </c>
      <c r="BV810" s="2" t="s">
        <v>7517</v>
      </c>
      <c r="BW810" s="2" t="s">
        <v>7205</v>
      </c>
    </row>
    <row r="811" spans="1:75" ht="12.75" customHeight="1">
      <c r="A811" s="4" t="s">
        <v>63</v>
      </c>
      <c r="B811" s="4" t="s">
        <v>5274</v>
      </c>
      <c r="C811" s="4"/>
      <c r="D811" s="4"/>
      <c r="E811" s="4"/>
      <c r="F811" s="4" t="s">
        <v>5275</v>
      </c>
      <c r="G811" s="4"/>
      <c r="H811" s="4"/>
      <c r="I811" s="4" t="s">
        <v>5276</v>
      </c>
      <c r="J811" s="4" t="s">
        <v>5277</v>
      </c>
      <c r="K811" s="4"/>
      <c r="L811" s="4"/>
      <c r="M811" s="4"/>
      <c r="N811" s="4"/>
      <c r="O811" s="4"/>
      <c r="P811" s="4"/>
      <c r="Q811" s="4"/>
      <c r="R811" s="4"/>
      <c r="S811" s="4"/>
      <c r="T811" s="4" t="s">
        <v>5278</v>
      </c>
      <c r="U811" s="4"/>
      <c r="V811" s="4"/>
      <c r="W811" s="4"/>
      <c r="X811" s="4"/>
      <c r="Y811" s="4"/>
      <c r="Z811" s="4"/>
      <c r="AA811" s="4"/>
      <c r="AB811" s="4"/>
      <c r="AC811" s="4"/>
      <c r="AD811" s="4"/>
      <c r="AE811" s="4"/>
      <c r="AF811" s="4"/>
      <c r="AG811" s="4"/>
      <c r="AH811" s="4"/>
      <c r="AI811" s="4"/>
      <c r="AJ811" s="4"/>
      <c r="AK811" s="4"/>
      <c r="AL811" s="4"/>
      <c r="AM811" s="4" t="s">
        <v>5279</v>
      </c>
      <c r="AN811" s="4"/>
      <c r="AO811" s="4"/>
      <c r="AP811" s="4"/>
      <c r="AQ811" s="4"/>
      <c r="AR811" s="4" t="s">
        <v>64</v>
      </c>
      <c r="AS811" s="4">
        <v>2021</v>
      </c>
      <c r="AT811" s="4">
        <v>8</v>
      </c>
      <c r="AU811" s="4">
        <v>6</v>
      </c>
      <c r="AV811" s="4"/>
      <c r="AW811" s="4"/>
      <c r="AX811" s="4"/>
      <c r="AY811" s="4"/>
      <c r="AZ811" s="4">
        <v>620</v>
      </c>
      <c r="BA811" s="4">
        <v>627</v>
      </c>
      <c r="BB811" s="4"/>
      <c r="BC811" s="4" t="s">
        <v>5280</v>
      </c>
      <c r="BD811" s="5" t="str">
        <f>HYPERLINK("http://dx.doi.org/10.14485/HBPR.8.6.12","http://dx.doi.org/10.14485/HBPR.8.6.12")</f>
        <v>http://dx.doi.org/10.14485/HBPR.8.6.12</v>
      </c>
      <c r="BE811" s="4"/>
      <c r="BF811" s="4"/>
      <c r="BG811" s="4"/>
      <c r="BH811" s="4"/>
      <c r="BI811" s="4"/>
      <c r="BJ811" s="4" t="s">
        <v>5281</v>
      </c>
      <c r="BK811" s="4"/>
      <c r="BL811" s="4"/>
      <c r="BM811" s="4"/>
      <c r="BN811" s="4"/>
      <c r="BO811" s="4"/>
      <c r="BP811" s="4"/>
      <c r="BQ811" s="4"/>
      <c r="BR811" s="4"/>
      <c r="BS811" s="4"/>
      <c r="BT811" s="4"/>
      <c r="BU811" s="12" t="s">
        <v>7406</v>
      </c>
      <c r="BV811" s="12" t="s">
        <v>7188</v>
      </c>
      <c r="BW811" s="12" t="s">
        <v>7189</v>
      </c>
    </row>
    <row r="812" spans="1:75" ht="12.75" customHeight="1">
      <c r="A812" s="4" t="s">
        <v>63</v>
      </c>
      <c r="B812" s="4" t="s">
        <v>5965</v>
      </c>
      <c r="C812" s="4"/>
      <c r="D812" s="4"/>
      <c r="E812" s="4"/>
      <c r="F812" s="4" t="s">
        <v>5966</v>
      </c>
      <c r="G812" s="4"/>
      <c r="H812" s="4"/>
      <c r="I812" s="4" t="s">
        <v>5967</v>
      </c>
      <c r="J812" s="4" t="s">
        <v>789</v>
      </c>
      <c r="K812" s="4"/>
      <c r="L812" s="4"/>
      <c r="M812" s="4"/>
      <c r="N812" s="4"/>
      <c r="O812" s="4"/>
      <c r="P812" s="4"/>
      <c r="Q812" s="4"/>
      <c r="R812" s="4"/>
      <c r="S812" s="4"/>
      <c r="T812" s="4" t="s">
        <v>5968</v>
      </c>
      <c r="U812" s="4"/>
      <c r="V812" s="4"/>
      <c r="W812" s="4"/>
      <c r="X812" s="4"/>
      <c r="Y812" s="4"/>
      <c r="Z812" s="4" t="s">
        <v>5969</v>
      </c>
      <c r="AA812" s="4"/>
      <c r="AB812" s="4"/>
      <c r="AC812" s="4"/>
      <c r="AD812" s="4"/>
      <c r="AE812" s="4"/>
      <c r="AF812" s="4"/>
      <c r="AG812" s="4"/>
      <c r="AH812" s="4"/>
      <c r="AI812" s="4"/>
      <c r="AJ812" s="4"/>
      <c r="AK812" s="4"/>
      <c r="AL812" s="4"/>
      <c r="AM812" s="4" t="s">
        <v>793</v>
      </c>
      <c r="AN812" s="4" t="s">
        <v>794</v>
      </c>
      <c r="AO812" s="4"/>
      <c r="AP812" s="4"/>
      <c r="AQ812" s="4"/>
      <c r="AR812" s="4" t="s">
        <v>3979</v>
      </c>
      <c r="AS812" s="4">
        <v>2022</v>
      </c>
      <c r="AT812" s="4">
        <v>18</v>
      </c>
      <c r="AU812" s="4">
        <v>2</v>
      </c>
      <c r="AV812" s="4"/>
      <c r="AW812" s="4"/>
      <c r="AX812" s="4"/>
      <c r="AY812" s="4"/>
      <c r="AZ812" s="4">
        <v>102</v>
      </c>
      <c r="BA812" s="4">
        <v>111</v>
      </c>
      <c r="BB812" s="4"/>
      <c r="BC812" s="4" t="s">
        <v>5970</v>
      </c>
      <c r="BD812" s="5" t="str">
        <f>HYPERLINK("http://dx.doi.org/10.1089/chi.2021.0042","http://dx.doi.org/10.1089/chi.2021.0042")</f>
        <v>http://dx.doi.org/10.1089/chi.2021.0042</v>
      </c>
      <c r="BE812" s="4"/>
      <c r="BF812" s="4" t="s">
        <v>4738</v>
      </c>
      <c r="BG812" s="4"/>
      <c r="BH812" s="4"/>
      <c r="BI812" s="4">
        <v>34415787</v>
      </c>
      <c r="BJ812" s="4" t="s">
        <v>5971</v>
      </c>
      <c r="BK812" s="4"/>
      <c r="BL812" s="4"/>
      <c r="BM812" s="4"/>
      <c r="BN812" s="4"/>
      <c r="BO812" s="4"/>
      <c r="BP812" s="4"/>
      <c r="BQ812" s="4"/>
      <c r="BR812" s="4"/>
      <c r="BS812" s="4"/>
      <c r="BT812" s="4"/>
      <c r="BU812" s="12" t="s">
        <v>7354</v>
      </c>
      <c r="BV812" s="12" t="s">
        <v>7188</v>
      </c>
      <c r="BW812" s="12" t="s">
        <v>7189</v>
      </c>
    </row>
    <row r="813" spans="1:75" ht="12.75" customHeight="1">
      <c r="A813" s="4" t="s">
        <v>63</v>
      </c>
      <c r="B813" s="4" t="s">
        <v>7116</v>
      </c>
      <c r="C813" s="4"/>
      <c r="D813" s="4"/>
      <c r="E813" s="4"/>
      <c r="F813" s="4" t="s">
        <v>7117</v>
      </c>
      <c r="G813" s="4"/>
      <c r="H813" s="4"/>
      <c r="I813" s="4" t="s">
        <v>7118</v>
      </c>
      <c r="J813" s="4" t="s">
        <v>6818</v>
      </c>
      <c r="K813" s="4"/>
      <c r="L813" s="4"/>
      <c r="M813" s="4"/>
      <c r="N813" s="4"/>
      <c r="O813" s="4"/>
      <c r="P813" s="4"/>
      <c r="Q813" s="4"/>
      <c r="R813" s="4"/>
      <c r="S813" s="4"/>
      <c r="T813" s="4" t="s">
        <v>7119</v>
      </c>
      <c r="U813" s="4"/>
      <c r="V813" s="4"/>
      <c r="W813" s="4"/>
      <c r="X813" s="4"/>
      <c r="Y813" s="4"/>
      <c r="Z813" s="4" t="s">
        <v>7120</v>
      </c>
      <c r="AA813" s="4"/>
      <c r="AB813" s="4"/>
      <c r="AC813" s="4"/>
      <c r="AD813" s="4"/>
      <c r="AE813" s="4"/>
      <c r="AF813" s="4"/>
      <c r="AG813" s="4"/>
      <c r="AH813" s="4"/>
      <c r="AI813" s="4"/>
      <c r="AJ813" s="4"/>
      <c r="AK813" s="4"/>
      <c r="AL813" s="4"/>
      <c r="AM813" s="4"/>
      <c r="AN813" s="4" t="s">
        <v>6822</v>
      </c>
      <c r="AO813" s="4"/>
      <c r="AP813" s="4"/>
      <c r="AQ813" s="4"/>
      <c r="AR813" s="4" t="s">
        <v>619</v>
      </c>
      <c r="AS813" s="4">
        <v>2024</v>
      </c>
      <c r="AT813" s="4">
        <v>10</v>
      </c>
      <c r="AU813" s="4">
        <v>9</v>
      </c>
      <c r="AV813" s="4"/>
      <c r="AW813" s="4"/>
      <c r="AX813" s="4"/>
      <c r="AY813" s="4"/>
      <c r="AZ813" s="4"/>
      <c r="BA813" s="4"/>
      <c r="BB813" s="4" t="s">
        <v>7121</v>
      </c>
      <c r="BC813" s="4" t="s">
        <v>7122</v>
      </c>
      <c r="BD813" s="5" t="str">
        <f>HYPERLINK("http://dx.doi.org/10.1016/j.heliyon.2024.e30481","http://dx.doi.org/10.1016/j.heliyon.2024.e30481")</f>
        <v>http://dx.doi.org/10.1016/j.heliyon.2024.e30481</v>
      </c>
      <c r="BE813" s="4"/>
      <c r="BF813" s="4"/>
      <c r="BG813" s="4"/>
      <c r="BH813" s="4"/>
      <c r="BI813" s="4">
        <v>38756577</v>
      </c>
      <c r="BJ813" s="4" t="s">
        <v>7123</v>
      </c>
      <c r="BK813" s="4"/>
      <c r="BL813" s="4"/>
      <c r="BM813" s="4"/>
      <c r="BN813" s="4"/>
      <c r="BO813" s="4"/>
      <c r="BP813" s="4"/>
      <c r="BQ813" s="4"/>
      <c r="BR813" s="4"/>
      <c r="BS813" s="4"/>
      <c r="BT813" s="4"/>
      <c r="BU813" s="12" t="s">
        <v>7518</v>
      </c>
      <c r="BV813" s="12" t="s">
        <v>7447</v>
      </c>
      <c r="BW813" s="12" t="s">
        <v>7228</v>
      </c>
    </row>
    <row r="814" spans="1:75" ht="12.75" customHeight="1">
      <c r="A814" s="3" t="s">
        <v>63</v>
      </c>
      <c r="B814" s="3" t="s">
        <v>1702</v>
      </c>
      <c r="C814" s="3"/>
      <c r="D814" s="3"/>
      <c r="E814" s="3"/>
      <c r="F814" s="3" t="s">
        <v>1703</v>
      </c>
      <c r="G814" s="3"/>
      <c r="H814" s="3"/>
      <c r="I814" s="3" t="s">
        <v>1704</v>
      </c>
      <c r="J814" s="3" t="s">
        <v>599</v>
      </c>
      <c r="K814" s="3"/>
      <c r="L814" s="3"/>
      <c r="M814" s="3"/>
      <c r="N814" s="3"/>
      <c r="O814" s="3"/>
      <c r="P814" s="3"/>
      <c r="Q814" s="3"/>
      <c r="R814" s="3"/>
      <c r="S814" s="3"/>
      <c r="T814" s="3" t="s">
        <v>1705</v>
      </c>
      <c r="U814" s="3"/>
      <c r="V814" s="3"/>
      <c r="W814" s="3"/>
      <c r="X814" s="3"/>
      <c r="Y814" s="3" t="s">
        <v>1059</v>
      </c>
      <c r="Z814" s="3" t="s">
        <v>1060</v>
      </c>
      <c r="AA814" s="3"/>
      <c r="AB814" s="3"/>
      <c r="AC814" s="3"/>
      <c r="AD814" s="3"/>
      <c r="AE814" s="3"/>
      <c r="AF814" s="3"/>
      <c r="AG814" s="3"/>
      <c r="AH814" s="3"/>
      <c r="AI814" s="3"/>
      <c r="AJ814" s="3"/>
      <c r="AK814" s="3"/>
      <c r="AL814" s="3"/>
      <c r="AM814" s="3" t="s">
        <v>601</v>
      </c>
      <c r="AN814" s="3"/>
      <c r="AO814" s="3"/>
      <c r="AP814" s="3"/>
      <c r="AQ814" s="3"/>
      <c r="AR814" s="3" t="s">
        <v>1706</v>
      </c>
      <c r="AS814" s="3">
        <v>2014</v>
      </c>
      <c r="AT814" s="3">
        <v>14</v>
      </c>
      <c r="AU814" s="3">
        <v>3</v>
      </c>
      <c r="AV814" s="3"/>
      <c r="AW814" s="3"/>
      <c r="AX814" s="3"/>
      <c r="AY814" s="3"/>
      <c r="AZ814" s="3"/>
      <c r="BA814" s="3"/>
      <c r="BB814" s="3">
        <v>2830</v>
      </c>
      <c r="BC814" s="3"/>
      <c r="BD814" s="3"/>
      <c r="BE814" s="3"/>
      <c r="BF814" s="3"/>
      <c r="BG814" s="3"/>
      <c r="BH814" s="3"/>
      <c r="BI814" s="3">
        <v>25063239</v>
      </c>
      <c r="BJ814" s="3" t="s">
        <v>1707</v>
      </c>
      <c r="BK814" s="3"/>
      <c r="BL814" s="3"/>
      <c r="BM814" s="3"/>
      <c r="BN814" s="3"/>
      <c r="BO814" s="3"/>
      <c r="BP814" s="3"/>
      <c r="BQ814" s="3"/>
      <c r="BR814" s="3"/>
      <c r="BS814" s="3"/>
      <c r="BT814" s="3"/>
      <c r="BU814" s="1" t="s">
        <v>7519</v>
      </c>
      <c r="BV814" s="2" t="s">
        <v>7188</v>
      </c>
      <c r="BW814" s="2" t="s">
        <v>7189</v>
      </c>
    </row>
    <row r="815" spans="1:75" ht="12.75" customHeight="1">
      <c r="A815" s="3" t="s">
        <v>63</v>
      </c>
      <c r="B815" s="3" t="s">
        <v>5282</v>
      </c>
      <c r="C815" s="3"/>
      <c r="D815" s="3"/>
      <c r="E815" s="3"/>
      <c r="F815" s="3" t="s">
        <v>5283</v>
      </c>
      <c r="G815" s="3"/>
      <c r="H815" s="3"/>
      <c r="I815" s="3" t="s">
        <v>5284</v>
      </c>
      <c r="J815" s="3" t="s">
        <v>5285</v>
      </c>
      <c r="K815" s="3"/>
      <c r="L815" s="3"/>
      <c r="M815" s="3"/>
      <c r="N815" s="3"/>
      <c r="O815" s="3"/>
      <c r="P815" s="3"/>
      <c r="Q815" s="3"/>
      <c r="R815" s="3"/>
      <c r="S815" s="3"/>
      <c r="T815" s="3" t="s">
        <v>5286</v>
      </c>
      <c r="U815" s="3"/>
      <c r="V815" s="3"/>
      <c r="W815" s="3"/>
      <c r="X815" s="3"/>
      <c r="Y815" s="3" t="s">
        <v>5287</v>
      </c>
      <c r="Z815" s="3" t="s">
        <v>5288</v>
      </c>
      <c r="AA815" s="3"/>
      <c r="AB815" s="3"/>
      <c r="AC815" s="3"/>
      <c r="AD815" s="3"/>
      <c r="AE815" s="3"/>
      <c r="AF815" s="3"/>
      <c r="AG815" s="3"/>
      <c r="AH815" s="3"/>
      <c r="AI815" s="3"/>
      <c r="AJ815" s="3"/>
      <c r="AK815" s="3"/>
      <c r="AL815" s="3"/>
      <c r="AM815" s="3" t="s">
        <v>5289</v>
      </c>
      <c r="AN815" s="3" t="s">
        <v>5290</v>
      </c>
      <c r="AO815" s="3"/>
      <c r="AP815" s="3"/>
      <c r="AQ815" s="3"/>
      <c r="AR815" s="3" t="s">
        <v>1701</v>
      </c>
      <c r="AS815" s="3">
        <v>2021</v>
      </c>
      <c r="AT815" s="3">
        <v>147</v>
      </c>
      <c r="AU815" s="3">
        <v>1</v>
      </c>
      <c r="AV815" s="3"/>
      <c r="AW815" s="3"/>
      <c r="AX815" s="3"/>
      <c r="AY815" s="3"/>
      <c r="AZ815" s="3"/>
      <c r="BA815" s="3"/>
      <c r="BB815" s="3">
        <v>4020140</v>
      </c>
      <c r="BC815" s="3" t="s">
        <v>5291</v>
      </c>
      <c r="BD815" s="15" t="str">
        <f>HYPERLINK("http://dx.doi.org/10.1061/JTEPBS.0000464","http://dx.doi.org/10.1061/JTEPBS.0000464")</f>
        <v>http://dx.doi.org/10.1061/JTEPBS.0000464</v>
      </c>
      <c r="BE815" s="3"/>
      <c r="BF815" s="3"/>
      <c r="BG815" s="3"/>
      <c r="BH815" s="3"/>
      <c r="BI815" s="3"/>
      <c r="BJ815" s="3" t="s">
        <v>5292</v>
      </c>
      <c r="BK815" s="3"/>
      <c r="BL815" s="3"/>
      <c r="BM815" s="3"/>
      <c r="BN815" s="3"/>
      <c r="BO815" s="3"/>
      <c r="BP815" s="3"/>
      <c r="BQ815" s="3"/>
      <c r="BR815" s="3"/>
      <c r="BS815" s="3"/>
      <c r="BT815" s="3"/>
      <c r="BU815" s="1" t="s">
        <v>7354</v>
      </c>
      <c r="BV815" s="2" t="s">
        <v>7188</v>
      </c>
      <c r="BW815" s="2" t="s">
        <v>7189</v>
      </c>
    </row>
    <row r="816" spans="1:75" ht="12.75" customHeight="1">
      <c r="A816" s="4" t="s">
        <v>63</v>
      </c>
      <c r="B816" s="4" t="s">
        <v>4660</v>
      </c>
      <c r="C816" s="4"/>
      <c r="D816" s="4"/>
      <c r="E816" s="4"/>
      <c r="F816" s="4" t="s">
        <v>4661</v>
      </c>
      <c r="G816" s="4"/>
      <c r="H816" s="4"/>
      <c r="I816" s="4" t="s">
        <v>4662</v>
      </c>
      <c r="J816" s="4" t="s">
        <v>4663</v>
      </c>
      <c r="K816" s="4"/>
      <c r="L816" s="4"/>
      <c r="M816" s="4"/>
      <c r="N816" s="4"/>
      <c r="O816" s="4"/>
      <c r="P816" s="4"/>
      <c r="Q816" s="4"/>
      <c r="R816" s="4"/>
      <c r="S816" s="4"/>
      <c r="T816" s="4" t="s">
        <v>4664</v>
      </c>
      <c r="U816" s="4"/>
      <c r="V816" s="4"/>
      <c r="W816" s="4"/>
      <c r="X816" s="4"/>
      <c r="Y816" s="4" t="s">
        <v>4665</v>
      </c>
      <c r="Z816" s="4" t="s">
        <v>4666</v>
      </c>
      <c r="AA816" s="4"/>
      <c r="AB816" s="4"/>
      <c r="AC816" s="4"/>
      <c r="AD816" s="4"/>
      <c r="AE816" s="4"/>
      <c r="AF816" s="4"/>
      <c r="AG816" s="4"/>
      <c r="AH816" s="4"/>
      <c r="AI816" s="4"/>
      <c r="AJ816" s="4"/>
      <c r="AK816" s="4"/>
      <c r="AL816" s="4"/>
      <c r="AM816" s="4" t="s">
        <v>4667</v>
      </c>
      <c r="AN816" s="4"/>
      <c r="AO816" s="4"/>
      <c r="AP816" s="4"/>
      <c r="AQ816" s="4"/>
      <c r="AR816" s="4" t="s">
        <v>445</v>
      </c>
      <c r="AS816" s="4">
        <v>2020</v>
      </c>
      <c r="AT816" s="4">
        <v>18</v>
      </c>
      <c r="AU816" s="4">
        <v>6</v>
      </c>
      <c r="AV816" s="4"/>
      <c r="AW816" s="4"/>
      <c r="AX816" s="4"/>
      <c r="AY816" s="4"/>
      <c r="AZ816" s="4">
        <v>787</v>
      </c>
      <c r="BA816" s="4">
        <v>805</v>
      </c>
      <c r="BB816" s="4"/>
      <c r="BC816" s="4" t="s">
        <v>4668</v>
      </c>
      <c r="BD816" s="5" t="str">
        <f>HYPERLINK("http://dx.doi.org/10.1177/1478210320951063","http://dx.doi.org/10.1177/1478210320951063")</f>
        <v>http://dx.doi.org/10.1177/1478210320951063</v>
      </c>
      <c r="BE816" s="4"/>
      <c r="BF816" s="4"/>
      <c r="BG816" s="4"/>
      <c r="BH816" s="4"/>
      <c r="BI816" s="4"/>
      <c r="BJ816" s="4" t="s">
        <v>4669</v>
      </c>
      <c r="BK816" s="4"/>
      <c r="BL816" s="4"/>
      <c r="BM816" s="4"/>
      <c r="BN816" s="4"/>
      <c r="BO816" s="4"/>
      <c r="BP816" s="4"/>
      <c r="BQ816" s="4"/>
      <c r="BR816" s="4"/>
      <c r="BS816" s="4"/>
      <c r="BT816" s="4"/>
      <c r="BU816" s="12" t="s">
        <v>7520</v>
      </c>
      <c r="BV816" s="12" t="s">
        <v>7188</v>
      </c>
      <c r="BW816" s="12" t="s">
        <v>7189</v>
      </c>
    </row>
    <row r="817" spans="1:75" ht="12.75" customHeight="1">
      <c r="A817" s="6" t="s">
        <v>63</v>
      </c>
      <c r="B817" s="6" t="s">
        <v>153</v>
      </c>
      <c r="C817" s="6"/>
      <c r="D817" s="6"/>
      <c r="E817" s="6"/>
      <c r="F817" s="6" t="s">
        <v>153</v>
      </c>
      <c r="G817" s="6"/>
      <c r="H817" s="6"/>
      <c r="I817" s="6" t="s">
        <v>154</v>
      </c>
      <c r="J817" s="6" t="s">
        <v>149</v>
      </c>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t="s">
        <v>150</v>
      </c>
      <c r="AN817" s="6"/>
      <c r="AO817" s="6"/>
      <c r="AP817" s="6"/>
      <c r="AQ817" s="6"/>
      <c r="AR817" s="6" t="s">
        <v>65</v>
      </c>
      <c r="AS817" s="6">
        <v>2004</v>
      </c>
      <c r="AT817" s="6">
        <v>14</v>
      </c>
      <c r="AU817" s="6">
        <v>4</v>
      </c>
      <c r="AV817" s="6"/>
      <c r="AW817" s="6" t="s">
        <v>151</v>
      </c>
      <c r="AX817" s="6"/>
      <c r="AY817" s="6"/>
      <c r="AZ817" s="6">
        <v>66</v>
      </c>
      <c r="BA817" s="6">
        <v>66</v>
      </c>
      <c r="BB817" s="6"/>
      <c r="BC817" s="6"/>
      <c r="BD817" s="6"/>
      <c r="BE817" s="6"/>
      <c r="BF817" s="6"/>
      <c r="BG817" s="6"/>
      <c r="BH817" s="6"/>
      <c r="BI817" s="6"/>
      <c r="BJ817" s="6" t="s">
        <v>155</v>
      </c>
      <c r="BK817" s="6"/>
      <c r="BL817" s="6"/>
      <c r="BM817" s="6"/>
      <c r="BN817" s="6"/>
      <c r="BO817" s="6"/>
      <c r="BP817" s="6"/>
      <c r="BQ817" s="6"/>
      <c r="BR817" s="6"/>
      <c r="BS817" s="6"/>
      <c r="BT817" s="6"/>
      <c r="BU817" s="8" t="s">
        <v>7333</v>
      </c>
      <c r="BV817" s="8" t="s">
        <v>7214</v>
      </c>
      <c r="BW817" s="8" t="s">
        <v>7205</v>
      </c>
    </row>
    <row r="818" spans="1:75" ht="12.75" customHeight="1">
      <c r="A818" s="3" t="s">
        <v>63</v>
      </c>
      <c r="B818" s="3" t="s">
        <v>7124</v>
      </c>
      <c r="C818" s="3"/>
      <c r="D818" s="3"/>
      <c r="E818" s="3"/>
      <c r="F818" s="3" t="s">
        <v>7125</v>
      </c>
      <c r="G818" s="3"/>
      <c r="H818" s="3"/>
      <c r="I818" s="3" t="s">
        <v>7126</v>
      </c>
      <c r="J818" s="3" t="s">
        <v>2327</v>
      </c>
      <c r="K818" s="3"/>
      <c r="L818" s="3"/>
      <c r="M818" s="3"/>
      <c r="N818" s="3"/>
      <c r="O818" s="3"/>
      <c r="P818" s="3"/>
      <c r="Q818" s="3"/>
      <c r="R818" s="3"/>
      <c r="S818" s="3"/>
      <c r="T818" s="3" t="s">
        <v>7127</v>
      </c>
      <c r="U818" s="3"/>
      <c r="V818" s="3"/>
      <c r="W818" s="3"/>
      <c r="X818" s="3"/>
      <c r="Y818" s="3"/>
      <c r="Z818" s="3"/>
      <c r="AA818" s="3"/>
      <c r="AB818" s="3"/>
      <c r="AC818" s="3"/>
      <c r="AD818" s="3"/>
      <c r="AE818" s="3"/>
      <c r="AF818" s="3"/>
      <c r="AG818" s="3"/>
      <c r="AH818" s="3"/>
      <c r="AI818" s="3"/>
      <c r="AJ818" s="3"/>
      <c r="AK818" s="3"/>
      <c r="AL818" s="3"/>
      <c r="AM818" s="3" t="s">
        <v>2331</v>
      </c>
      <c r="AN818" s="3" t="s">
        <v>2332</v>
      </c>
      <c r="AO818" s="3"/>
      <c r="AP818" s="3"/>
      <c r="AQ818" s="3"/>
      <c r="AR818" s="3" t="s">
        <v>68</v>
      </c>
      <c r="AS818" s="3">
        <v>2024</v>
      </c>
      <c r="AT818" s="3">
        <v>68</v>
      </c>
      <c r="AU818" s="3">
        <v>4</v>
      </c>
      <c r="AV818" s="3"/>
      <c r="AW818" s="3"/>
      <c r="AX818" s="3" t="s">
        <v>569</v>
      </c>
      <c r="AY818" s="3"/>
      <c r="AZ818" s="3">
        <v>550</v>
      </c>
      <c r="BA818" s="3">
        <v>584</v>
      </c>
      <c r="BB818" s="3"/>
      <c r="BC818" s="3" t="s">
        <v>7128</v>
      </c>
      <c r="BD818" s="15" t="str">
        <f>HYPERLINK("http://dx.doi.org/10.1177/00027642221142202","http://dx.doi.org/10.1177/00027642221142202")</f>
        <v>http://dx.doi.org/10.1177/00027642221142202</v>
      </c>
      <c r="BE818" s="3"/>
      <c r="BF818" s="3" t="s">
        <v>6444</v>
      </c>
      <c r="BG818" s="3"/>
      <c r="BH818" s="3"/>
      <c r="BI818" s="3"/>
      <c r="BJ818" s="3" t="s">
        <v>7129</v>
      </c>
      <c r="BK818" s="3"/>
      <c r="BL818" s="3"/>
      <c r="BM818" s="3"/>
      <c r="BN818" s="3"/>
      <c r="BO818" s="3"/>
      <c r="BP818" s="3"/>
      <c r="BQ818" s="3"/>
      <c r="BR818" s="3"/>
      <c r="BS818" s="3"/>
      <c r="BT818" s="3"/>
      <c r="BU818" s="21" t="s">
        <v>7191</v>
      </c>
      <c r="BV818" s="2" t="s">
        <v>7188</v>
      </c>
      <c r="BW818" s="2" t="s">
        <v>7189</v>
      </c>
    </row>
    <row r="819" spans="1:75" ht="12.75" customHeight="1">
      <c r="A819" s="6" t="s">
        <v>63</v>
      </c>
      <c r="B819" s="6" t="s">
        <v>7130</v>
      </c>
      <c r="C819" s="6"/>
      <c r="D819" s="6"/>
      <c r="E819" s="6"/>
      <c r="F819" s="6" t="s">
        <v>7131</v>
      </c>
      <c r="G819" s="6"/>
      <c r="H819" s="6"/>
      <c r="I819" s="6" t="s">
        <v>7132</v>
      </c>
      <c r="J819" s="6" t="s">
        <v>7133</v>
      </c>
      <c r="K819" s="6"/>
      <c r="L819" s="6"/>
      <c r="M819" s="6"/>
      <c r="N819" s="6"/>
      <c r="O819" s="6"/>
      <c r="P819" s="6"/>
      <c r="Q819" s="6"/>
      <c r="R819" s="6"/>
      <c r="S819" s="6"/>
      <c r="T819" s="6" t="s">
        <v>7134</v>
      </c>
      <c r="U819" s="6"/>
      <c r="V819" s="6"/>
      <c r="W819" s="6"/>
      <c r="X819" s="6"/>
      <c r="Y819" s="6"/>
      <c r="Z819" s="6"/>
      <c r="AA819" s="6"/>
      <c r="AB819" s="6"/>
      <c r="AC819" s="6"/>
      <c r="AD819" s="6"/>
      <c r="AE819" s="6"/>
      <c r="AF819" s="6"/>
      <c r="AG819" s="6"/>
      <c r="AH819" s="6"/>
      <c r="AI819" s="6"/>
      <c r="AJ819" s="6"/>
      <c r="AK819" s="6"/>
      <c r="AL819" s="6"/>
      <c r="AM819" s="6" t="s">
        <v>7135</v>
      </c>
      <c r="AN819" s="6" t="s">
        <v>7136</v>
      </c>
      <c r="AO819" s="6"/>
      <c r="AP819" s="6"/>
      <c r="AQ819" s="6"/>
      <c r="AR819" s="6" t="s">
        <v>82</v>
      </c>
      <c r="AS819" s="6">
        <v>2024</v>
      </c>
      <c r="AT819" s="6">
        <v>119</v>
      </c>
      <c r="AU819" s="6">
        <v>3</v>
      </c>
      <c r="AV819" s="6"/>
      <c r="AW819" s="6"/>
      <c r="AX819" s="6"/>
      <c r="AY819" s="6"/>
      <c r="AZ819" s="6">
        <v>850</v>
      </c>
      <c r="BA819" s="6">
        <v>861</v>
      </c>
      <c r="BB819" s="6"/>
      <c r="BC819" s="6" t="s">
        <v>7137</v>
      </c>
      <c r="BD819" s="9" t="str">
        <f>HYPERLINK("http://dx.doi.org/10.1016/j.ajcnut.2023.12.019","http://dx.doi.org/10.1016/j.ajcnut.2023.12.019")</f>
        <v>http://dx.doi.org/10.1016/j.ajcnut.2023.12.019</v>
      </c>
      <c r="BE819" s="6"/>
      <c r="BF819" s="6" t="s">
        <v>6813</v>
      </c>
      <c r="BG819" s="6"/>
      <c r="BH819" s="6"/>
      <c r="BI819" s="6">
        <v>38160801</v>
      </c>
      <c r="BJ819" s="6" t="s">
        <v>7138</v>
      </c>
      <c r="BK819" s="6"/>
      <c r="BL819" s="6"/>
      <c r="BM819" s="6"/>
      <c r="BN819" s="6"/>
      <c r="BO819" s="6"/>
      <c r="BP819" s="6"/>
      <c r="BQ819" s="6"/>
      <c r="BR819" s="6"/>
      <c r="BS819" s="6"/>
      <c r="BT819" s="6"/>
      <c r="BU819" s="8" t="s">
        <v>7193</v>
      </c>
      <c r="BV819" s="8" t="s">
        <v>7188</v>
      </c>
      <c r="BW819" s="8" t="s">
        <v>7189</v>
      </c>
    </row>
    <row r="820" spans="1:75" ht="12.75" customHeight="1">
      <c r="A820" s="4" t="s">
        <v>63</v>
      </c>
      <c r="B820" s="4" t="s">
        <v>4094</v>
      </c>
      <c r="C820" s="4"/>
      <c r="D820" s="4"/>
      <c r="E820" s="4"/>
      <c r="F820" s="4" t="s">
        <v>4095</v>
      </c>
      <c r="G820" s="4"/>
      <c r="H820" s="4"/>
      <c r="I820" s="4" t="s">
        <v>4096</v>
      </c>
      <c r="J820" s="4" t="s">
        <v>959</v>
      </c>
      <c r="K820" s="4"/>
      <c r="L820" s="4"/>
      <c r="M820" s="4"/>
      <c r="N820" s="4"/>
      <c r="O820" s="4"/>
      <c r="P820" s="4"/>
      <c r="Q820" s="4"/>
      <c r="R820" s="4"/>
      <c r="S820" s="4"/>
      <c r="T820" s="4" t="s">
        <v>4097</v>
      </c>
      <c r="U820" s="4"/>
      <c r="V820" s="4"/>
      <c r="W820" s="4"/>
      <c r="X820" s="4"/>
      <c r="Y820" s="4"/>
      <c r="Z820" s="4"/>
      <c r="AA820" s="4"/>
      <c r="AB820" s="4"/>
      <c r="AC820" s="4"/>
      <c r="AD820" s="4"/>
      <c r="AE820" s="4"/>
      <c r="AF820" s="4"/>
      <c r="AG820" s="4"/>
      <c r="AH820" s="4"/>
      <c r="AI820" s="4"/>
      <c r="AJ820" s="4"/>
      <c r="AK820" s="4"/>
      <c r="AL820" s="4"/>
      <c r="AM820" s="4" t="s">
        <v>962</v>
      </c>
      <c r="AN820" s="4" t="s">
        <v>963</v>
      </c>
      <c r="AO820" s="4"/>
      <c r="AP820" s="4"/>
      <c r="AQ820" s="4"/>
      <c r="AR820" s="4" t="s">
        <v>445</v>
      </c>
      <c r="AS820" s="4">
        <v>2019</v>
      </c>
      <c r="AT820" s="4">
        <v>41</v>
      </c>
      <c r="AU820" s="4">
        <v>3</v>
      </c>
      <c r="AV820" s="4"/>
      <c r="AW820" s="4"/>
      <c r="AX820" s="4"/>
      <c r="AY820" s="4"/>
      <c r="AZ820" s="4">
        <v>542</v>
      </c>
      <c r="BA820" s="4">
        <v>562</v>
      </c>
      <c r="BB820" s="4"/>
      <c r="BC820" s="4" t="s">
        <v>4098</v>
      </c>
      <c r="BD820" s="5" t="str">
        <f>HYPERLINK("http://dx.doi.org/10.1093/aepp/ppy016","http://dx.doi.org/10.1093/aepp/ppy016")</f>
        <v>http://dx.doi.org/10.1093/aepp/ppy016</v>
      </c>
      <c r="BE820" s="4"/>
      <c r="BF820" s="4"/>
      <c r="BG820" s="4"/>
      <c r="BH820" s="4"/>
      <c r="BI820" s="4"/>
      <c r="BJ820" s="4" t="s">
        <v>4099</v>
      </c>
      <c r="BK820" s="4"/>
      <c r="BL820" s="4"/>
      <c r="BM820" s="4"/>
      <c r="BN820" s="4"/>
      <c r="BO820" s="4"/>
      <c r="BP820" s="4"/>
      <c r="BQ820" s="4"/>
      <c r="BR820" s="4"/>
      <c r="BS820" s="4"/>
      <c r="BT820" s="4"/>
      <c r="BU820" s="12" t="s">
        <v>7187</v>
      </c>
      <c r="BV820" s="12" t="s">
        <v>7188</v>
      </c>
      <c r="BW820" s="12" t="s">
        <v>7189</v>
      </c>
    </row>
    <row r="821" spans="1:75" ht="12.75" customHeight="1">
      <c r="A821" s="6" t="s">
        <v>63</v>
      </c>
      <c r="B821" s="6" t="s">
        <v>1317</v>
      </c>
      <c r="C821" s="6"/>
      <c r="D821" s="6"/>
      <c r="E821" s="6"/>
      <c r="F821" s="6" t="s">
        <v>1318</v>
      </c>
      <c r="G821" s="6"/>
      <c r="H821" s="6"/>
      <c r="I821" s="6" t="s">
        <v>1319</v>
      </c>
      <c r="J821" s="6" t="s">
        <v>959</v>
      </c>
      <c r="K821" s="6"/>
      <c r="L821" s="6"/>
      <c r="M821" s="6"/>
      <c r="N821" s="6"/>
      <c r="O821" s="6"/>
      <c r="P821" s="6"/>
      <c r="Q821" s="6"/>
      <c r="R821" s="6"/>
      <c r="S821" s="6"/>
      <c r="T821" s="6" t="s">
        <v>1320</v>
      </c>
      <c r="U821" s="6"/>
      <c r="V821" s="6"/>
      <c r="W821" s="6"/>
      <c r="X821" s="6"/>
      <c r="Y821" s="6"/>
      <c r="Z821" s="6"/>
      <c r="AA821" s="6"/>
      <c r="AB821" s="6"/>
      <c r="AC821" s="6"/>
      <c r="AD821" s="6"/>
      <c r="AE821" s="6"/>
      <c r="AF821" s="6"/>
      <c r="AG821" s="6"/>
      <c r="AH821" s="6"/>
      <c r="AI821" s="6"/>
      <c r="AJ821" s="6"/>
      <c r="AK821" s="6"/>
      <c r="AL821" s="6"/>
      <c r="AM821" s="6" t="s">
        <v>962</v>
      </c>
      <c r="AN821" s="6" t="s">
        <v>963</v>
      </c>
      <c r="AO821" s="6"/>
      <c r="AP821" s="6"/>
      <c r="AQ821" s="6"/>
      <c r="AR821" s="6" t="s">
        <v>82</v>
      </c>
      <c r="AS821" s="6">
        <v>2013</v>
      </c>
      <c r="AT821" s="6">
        <v>35</v>
      </c>
      <c r="AU821" s="6">
        <v>1</v>
      </c>
      <c r="AV821" s="6"/>
      <c r="AW821" s="6"/>
      <c r="AX821" s="6" t="s">
        <v>569</v>
      </c>
      <c r="AY821" s="6"/>
      <c r="AZ821" s="6">
        <v>69</v>
      </c>
      <c r="BA821" s="6">
        <v>88</v>
      </c>
      <c r="BB821" s="6"/>
      <c r="BC821" s="6" t="s">
        <v>1321</v>
      </c>
      <c r="BD821" s="9" t="str">
        <f>HYPERLINK("http://dx.doi.org/10.1093/aepp/pps043","http://dx.doi.org/10.1093/aepp/pps043")</f>
        <v>http://dx.doi.org/10.1093/aepp/pps043</v>
      </c>
      <c r="BE821" s="6"/>
      <c r="BF821" s="6"/>
      <c r="BG821" s="6"/>
      <c r="BH821" s="6"/>
      <c r="BI821" s="6"/>
      <c r="BJ821" s="6" t="s">
        <v>1322</v>
      </c>
      <c r="BK821" s="6"/>
      <c r="BL821" s="6"/>
      <c r="BM821" s="6"/>
      <c r="BN821" s="6"/>
      <c r="BO821" s="6"/>
      <c r="BP821" s="6"/>
      <c r="BQ821" s="6"/>
      <c r="BR821" s="6"/>
      <c r="BS821" s="6"/>
      <c r="BT821" s="6"/>
      <c r="BU821" s="8" t="s">
        <v>7201</v>
      </c>
      <c r="BV821" s="8" t="s">
        <v>7188</v>
      </c>
      <c r="BW821" s="8" t="s">
        <v>7189</v>
      </c>
    </row>
    <row r="822" spans="1:75" ht="12.75" customHeight="1">
      <c r="A822" s="4" t="s">
        <v>63</v>
      </c>
      <c r="B822" s="4" t="s">
        <v>343</v>
      </c>
      <c r="C822" s="4"/>
      <c r="D822" s="4"/>
      <c r="E822" s="4"/>
      <c r="F822" s="4" t="s">
        <v>344</v>
      </c>
      <c r="G822" s="4"/>
      <c r="H822" s="4"/>
      <c r="I822" s="4" t="s">
        <v>345</v>
      </c>
      <c r="J822" s="4" t="s">
        <v>346</v>
      </c>
      <c r="K822" s="4"/>
      <c r="L822" s="4"/>
      <c r="M822" s="4"/>
      <c r="N822" s="4"/>
      <c r="O822" s="4"/>
      <c r="P822" s="4"/>
      <c r="Q822" s="4"/>
      <c r="R822" s="4"/>
      <c r="S822" s="4"/>
      <c r="T822" s="4" t="s">
        <v>347</v>
      </c>
      <c r="U822" s="4"/>
      <c r="V822" s="4"/>
      <c r="W822" s="4"/>
      <c r="X822" s="4"/>
      <c r="Y822" s="4"/>
      <c r="Z822" s="4"/>
      <c r="AA822" s="4"/>
      <c r="AB822" s="4"/>
      <c r="AC822" s="4"/>
      <c r="AD822" s="4"/>
      <c r="AE822" s="4"/>
      <c r="AF822" s="4"/>
      <c r="AG822" s="4"/>
      <c r="AH822" s="4"/>
      <c r="AI822" s="4"/>
      <c r="AJ822" s="4"/>
      <c r="AK822" s="4"/>
      <c r="AL822" s="4"/>
      <c r="AM822" s="4" t="s">
        <v>348</v>
      </c>
      <c r="AN822" s="4" t="s">
        <v>349</v>
      </c>
      <c r="AO822" s="4"/>
      <c r="AP822" s="4"/>
      <c r="AQ822" s="4"/>
      <c r="AR822" s="4" t="s">
        <v>92</v>
      </c>
      <c r="AS822" s="4">
        <v>2008</v>
      </c>
      <c r="AT822" s="4">
        <v>15</v>
      </c>
      <c r="AU822" s="4">
        <v>4</v>
      </c>
      <c r="AV822" s="4"/>
      <c r="AW822" s="4"/>
      <c r="AX822" s="4"/>
      <c r="AY822" s="4"/>
      <c r="AZ822" s="4">
        <v>431</v>
      </c>
      <c r="BA822" s="4">
        <v>447</v>
      </c>
      <c r="BB822" s="4"/>
      <c r="BC822" s="4" t="s">
        <v>350</v>
      </c>
      <c r="BD822" s="5" t="str">
        <f>HYPERLINK("http://dx.doi.org/10.1177/1474474008094315","http://dx.doi.org/10.1177/1474474008094315")</f>
        <v>http://dx.doi.org/10.1177/1474474008094315</v>
      </c>
      <c r="BE822" s="4"/>
      <c r="BF822" s="4"/>
      <c r="BG822" s="4"/>
      <c r="BH822" s="4"/>
      <c r="BI822" s="4"/>
      <c r="BJ822" s="4" t="s">
        <v>351</v>
      </c>
      <c r="BK822" s="4"/>
      <c r="BL822" s="4"/>
      <c r="BM822" s="4"/>
      <c r="BN822" s="4"/>
      <c r="BO822" s="4"/>
      <c r="BP822" s="4"/>
      <c r="BQ822" s="4"/>
      <c r="BR822" s="4"/>
      <c r="BS822" s="4"/>
      <c r="BT822" s="4"/>
      <c r="BU822" s="12" t="s">
        <v>7203</v>
      </c>
      <c r="BV822" s="12" t="s">
        <v>7188</v>
      </c>
      <c r="BW822" s="12" t="s">
        <v>7189</v>
      </c>
    </row>
    <row r="823" spans="1:75" ht="12.75" customHeight="1">
      <c r="A823" s="4" t="s">
        <v>63</v>
      </c>
      <c r="B823" s="4" t="s">
        <v>731</v>
      </c>
      <c r="C823" s="4"/>
      <c r="D823" s="4"/>
      <c r="E823" s="4"/>
      <c r="F823" s="4" t="s">
        <v>732</v>
      </c>
      <c r="G823" s="4"/>
      <c r="H823" s="4"/>
      <c r="I823" s="4" t="s">
        <v>733</v>
      </c>
      <c r="J823" s="4" t="s">
        <v>734</v>
      </c>
      <c r="K823" s="4"/>
      <c r="L823" s="4"/>
      <c r="M823" s="4"/>
      <c r="N823" s="4"/>
      <c r="O823" s="4"/>
      <c r="P823" s="4"/>
      <c r="Q823" s="4"/>
      <c r="R823" s="4"/>
      <c r="S823" s="4"/>
      <c r="T823" s="4" t="s">
        <v>735</v>
      </c>
      <c r="U823" s="4"/>
      <c r="V823" s="4"/>
      <c r="W823" s="4"/>
      <c r="X823" s="4"/>
      <c r="Y823" s="4" t="s">
        <v>736</v>
      </c>
      <c r="Z823" s="4" t="s">
        <v>737</v>
      </c>
      <c r="AA823" s="4"/>
      <c r="AB823" s="4"/>
      <c r="AC823" s="4"/>
      <c r="AD823" s="4"/>
      <c r="AE823" s="4"/>
      <c r="AF823" s="4"/>
      <c r="AG823" s="4"/>
      <c r="AH823" s="4"/>
      <c r="AI823" s="4"/>
      <c r="AJ823" s="4"/>
      <c r="AK823" s="4"/>
      <c r="AL823" s="4"/>
      <c r="AM823" s="4" t="s">
        <v>738</v>
      </c>
      <c r="AN823" s="4"/>
      <c r="AO823" s="4"/>
      <c r="AP823" s="4"/>
      <c r="AQ823" s="4"/>
      <c r="AR823" s="4" t="s">
        <v>400</v>
      </c>
      <c r="AS823" s="4">
        <v>2011</v>
      </c>
      <c r="AT823" s="4">
        <v>24</v>
      </c>
      <c r="AU823" s="4">
        <v>3</v>
      </c>
      <c r="AV823" s="4"/>
      <c r="AW823" s="4"/>
      <c r="AX823" s="4"/>
      <c r="AY823" s="4"/>
      <c r="AZ823" s="4">
        <v>463</v>
      </c>
      <c r="BA823" s="4">
        <v>472</v>
      </c>
      <c r="BB823" s="4"/>
      <c r="BC823" s="4" t="s">
        <v>739</v>
      </c>
      <c r="BD823" s="5" t="str">
        <f>HYPERLINK("http://dx.doi.org/10.1590/S1415-52732011000300009","http://dx.doi.org/10.1590/S1415-52732011000300009")</f>
        <v>http://dx.doi.org/10.1590/S1415-52732011000300009</v>
      </c>
      <c r="BE823" s="4"/>
      <c r="BF823" s="4"/>
      <c r="BG823" s="4"/>
      <c r="BH823" s="4"/>
      <c r="BI823" s="4"/>
      <c r="BJ823" s="4" t="s">
        <v>740</v>
      </c>
      <c r="BK823" s="4"/>
      <c r="BL823" s="4"/>
      <c r="BM823" s="4"/>
      <c r="BN823" s="4"/>
      <c r="BO823" s="4"/>
      <c r="BP823" s="4"/>
      <c r="BQ823" s="4"/>
      <c r="BR823" s="4"/>
      <c r="BS823" s="4"/>
      <c r="BT823" s="4"/>
      <c r="BU823" s="12" t="s">
        <v>7360</v>
      </c>
      <c r="BV823" s="12" t="s">
        <v>3516</v>
      </c>
      <c r="BW823" s="12" t="s">
        <v>7196</v>
      </c>
    </row>
    <row r="824" spans="1:75" ht="12.75" customHeight="1">
      <c r="A824" s="4" t="s">
        <v>63</v>
      </c>
      <c r="B824" s="4" t="s">
        <v>7139</v>
      </c>
      <c r="C824" s="4"/>
      <c r="D824" s="4"/>
      <c r="E824" s="4"/>
      <c r="F824" s="4" t="s">
        <v>7140</v>
      </c>
      <c r="G824" s="4"/>
      <c r="H824" s="4"/>
      <c r="I824" s="4" t="s">
        <v>7141</v>
      </c>
      <c r="J824" s="4" t="s">
        <v>3721</v>
      </c>
      <c r="K824" s="4"/>
      <c r="L824" s="4"/>
      <c r="M824" s="4"/>
      <c r="N824" s="4"/>
      <c r="O824" s="4"/>
      <c r="P824" s="4"/>
      <c r="Q824" s="4"/>
      <c r="R824" s="4"/>
      <c r="S824" s="4"/>
      <c r="T824" s="4" t="s">
        <v>7142</v>
      </c>
      <c r="U824" s="4"/>
      <c r="V824" s="4"/>
      <c r="W824" s="4"/>
      <c r="X824" s="4"/>
      <c r="Y824" s="4" t="s">
        <v>7143</v>
      </c>
      <c r="Z824" s="4" t="s">
        <v>7144</v>
      </c>
      <c r="AA824" s="4"/>
      <c r="AB824" s="4"/>
      <c r="AC824" s="4"/>
      <c r="AD824" s="4"/>
      <c r="AE824" s="4"/>
      <c r="AF824" s="4"/>
      <c r="AG824" s="4"/>
      <c r="AH824" s="4"/>
      <c r="AI824" s="4"/>
      <c r="AJ824" s="4"/>
      <c r="AK824" s="4"/>
      <c r="AL824" s="4"/>
      <c r="AM824" s="4"/>
      <c r="AN824" s="4" t="s">
        <v>3723</v>
      </c>
      <c r="AO824" s="4"/>
      <c r="AP824" s="4"/>
      <c r="AQ824" s="4"/>
      <c r="AR824" s="4" t="s">
        <v>78</v>
      </c>
      <c r="AS824" s="4">
        <v>2024</v>
      </c>
      <c r="AT824" s="4">
        <v>16</v>
      </c>
      <c r="AU824" s="4">
        <v>10</v>
      </c>
      <c r="AV824" s="4"/>
      <c r="AW824" s="4"/>
      <c r="AX824" s="4"/>
      <c r="AY824" s="4"/>
      <c r="AZ824" s="4"/>
      <c r="BA824" s="4"/>
      <c r="BB824" s="4">
        <v>1524</v>
      </c>
      <c r="BC824" s="4" t="s">
        <v>7145</v>
      </c>
      <c r="BD824" s="5" t="str">
        <f>HYPERLINK("http://dx.doi.org/10.3390/nu16101524","http://dx.doi.org/10.3390/nu16101524")</f>
        <v>http://dx.doi.org/10.3390/nu16101524</v>
      </c>
      <c r="BE824" s="4"/>
      <c r="BF824" s="4"/>
      <c r="BG824" s="4"/>
      <c r="BH824" s="4"/>
      <c r="BI824" s="4">
        <v>38794762</v>
      </c>
      <c r="BJ824" s="4" t="s">
        <v>7146</v>
      </c>
      <c r="BK824" s="4"/>
      <c r="BL824" s="4"/>
      <c r="BM824" s="4"/>
      <c r="BN824" s="4"/>
      <c r="BO824" s="4"/>
      <c r="BP824" s="4"/>
      <c r="BQ824" s="4"/>
      <c r="BR824" s="4"/>
      <c r="BS824" s="4"/>
      <c r="BT824" s="4"/>
      <c r="BU824" s="12" t="s">
        <v>7354</v>
      </c>
      <c r="BV824" s="12" t="s">
        <v>7188</v>
      </c>
      <c r="BW824" s="12" t="s">
        <v>7189</v>
      </c>
    </row>
    <row r="825" spans="1:75" ht="12.75" customHeight="1">
      <c r="A825" s="6" t="s">
        <v>63</v>
      </c>
      <c r="B825" s="6" t="s">
        <v>5293</v>
      </c>
      <c r="C825" s="6"/>
      <c r="D825" s="6"/>
      <c r="E825" s="6"/>
      <c r="F825" s="6" t="s">
        <v>5294</v>
      </c>
      <c r="G825" s="6"/>
      <c r="H825" s="6"/>
      <c r="I825" s="6" t="s">
        <v>5295</v>
      </c>
      <c r="J825" s="6" t="s">
        <v>5296</v>
      </c>
      <c r="K825" s="6"/>
      <c r="L825" s="6"/>
      <c r="M825" s="6"/>
      <c r="N825" s="6"/>
      <c r="O825" s="6"/>
      <c r="P825" s="6"/>
      <c r="Q825" s="6"/>
      <c r="R825" s="6"/>
      <c r="S825" s="6"/>
      <c r="T825" s="6" t="s">
        <v>5297</v>
      </c>
      <c r="U825" s="6"/>
      <c r="V825" s="6"/>
      <c r="W825" s="6"/>
      <c r="X825" s="6"/>
      <c r="Y825" s="6"/>
      <c r="Z825" s="6"/>
      <c r="AA825" s="6"/>
      <c r="AB825" s="6"/>
      <c r="AC825" s="6"/>
      <c r="AD825" s="6"/>
      <c r="AE825" s="6"/>
      <c r="AF825" s="6"/>
      <c r="AG825" s="6"/>
      <c r="AH825" s="6"/>
      <c r="AI825" s="6"/>
      <c r="AJ825" s="6"/>
      <c r="AK825" s="6"/>
      <c r="AL825" s="6"/>
      <c r="AM825" s="6" t="s">
        <v>5298</v>
      </c>
      <c r="AN825" s="6"/>
      <c r="AO825" s="6"/>
      <c r="AP825" s="6"/>
      <c r="AQ825" s="6"/>
      <c r="AR825" s="6" t="s">
        <v>5299</v>
      </c>
      <c r="AS825" s="6">
        <v>2021</v>
      </c>
      <c r="AT825" s="6">
        <v>2</v>
      </c>
      <c r="AU825" s="6">
        <v>8</v>
      </c>
      <c r="AV825" s="6"/>
      <c r="AW825" s="6"/>
      <c r="AX825" s="6"/>
      <c r="AY825" s="6"/>
      <c r="AZ825" s="6"/>
      <c r="BA825" s="6"/>
      <c r="BB825" s="6" t="s">
        <v>5300</v>
      </c>
      <c r="BC825" s="6" t="s">
        <v>5301</v>
      </c>
      <c r="BD825" s="9" t="str">
        <f>HYPERLINK("http://dx.doi.org/10.1001/jamahealthforum.2021.2001","http://dx.doi.org/10.1001/jamahealthforum.2021.2001")</f>
        <v>http://dx.doi.org/10.1001/jamahealthforum.2021.2001</v>
      </c>
      <c r="BE825" s="6"/>
      <c r="BF825" s="6"/>
      <c r="BG825" s="6"/>
      <c r="BH825" s="6"/>
      <c r="BI825" s="6">
        <v>35977189</v>
      </c>
      <c r="BJ825" s="6" t="s">
        <v>5302</v>
      </c>
      <c r="BK825" s="6"/>
      <c r="BL825" s="6"/>
      <c r="BM825" s="6"/>
      <c r="BN825" s="6"/>
      <c r="BO825" s="6"/>
      <c r="BP825" s="6"/>
      <c r="BQ825" s="6"/>
      <c r="BR825" s="6"/>
      <c r="BS825" s="6"/>
      <c r="BT825" s="6"/>
      <c r="BU825" s="8" t="s">
        <v>7201</v>
      </c>
      <c r="BV825" s="8" t="s">
        <v>7267</v>
      </c>
      <c r="BW825" s="8" t="s">
        <v>7189</v>
      </c>
    </row>
    <row r="826" spans="1:75" ht="12.75" customHeight="1">
      <c r="A826" s="3" t="s">
        <v>63</v>
      </c>
      <c r="B826" s="3" t="s">
        <v>2132</v>
      </c>
      <c r="C826" s="3"/>
      <c r="D826" s="3"/>
      <c r="E826" s="3"/>
      <c r="F826" s="3" t="s">
        <v>2133</v>
      </c>
      <c r="G826" s="3"/>
      <c r="H826" s="3"/>
      <c r="I826" s="3" t="s">
        <v>2134</v>
      </c>
      <c r="J826" s="3" t="s">
        <v>396</v>
      </c>
      <c r="K826" s="3"/>
      <c r="L826" s="3"/>
      <c r="M826" s="3"/>
      <c r="N826" s="3"/>
      <c r="O826" s="3"/>
      <c r="P826" s="3"/>
      <c r="Q826" s="3"/>
      <c r="R826" s="3"/>
      <c r="S826" s="3"/>
      <c r="T826" s="3" t="s">
        <v>2135</v>
      </c>
      <c r="U826" s="3"/>
      <c r="V826" s="3"/>
      <c r="W826" s="3"/>
      <c r="X826" s="3"/>
      <c r="Y826" s="3" t="s">
        <v>2136</v>
      </c>
      <c r="Z826" s="3" t="s">
        <v>2137</v>
      </c>
      <c r="AA826" s="3"/>
      <c r="AB826" s="3"/>
      <c r="AC826" s="3"/>
      <c r="AD826" s="3"/>
      <c r="AE826" s="3"/>
      <c r="AF826" s="3"/>
      <c r="AG826" s="3"/>
      <c r="AH826" s="3"/>
      <c r="AI826" s="3"/>
      <c r="AJ826" s="3"/>
      <c r="AK826" s="3"/>
      <c r="AL826" s="3"/>
      <c r="AM826" s="3" t="s">
        <v>398</v>
      </c>
      <c r="AN826" s="3" t="s">
        <v>399</v>
      </c>
      <c r="AO826" s="3"/>
      <c r="AP826" s="3"/>
      <c r="AQ826" s="3"/>
      <c r="AR826" s="3" t="s">
        <v>400</v>
      </c>
      <c r="AS826" s="3">
        <v>2015</v>
      </c>
      <c r="AT826" s="3">
        <v>47</v>
      </c>
      <c r="AU826" s="3">
        <v>3</v>
      </c>
      <c r="AV826" s="3"/>
      <c r="AW826" s="3"/>
      <c r="AX826" s="3"/>
      <c r="AY826" s="3"/>
      <c r="AZ826" s="3">
        <v>273</v>
      </c>
      <c r="BA826" s="3">
        <v>277</v>
      </c>
      <c r="BB826" s="3"/>
      <c r="BC826" s="3" t="s">
        <v>2138</v>
      </c>
      <c r="BD826" s="15" t="str">
        <f>HYPERLINK("http://dx.doi.org/10.1016/j.jneb.2014.10.005","http://dx.doi.org/10.1016/j.jneb.2014.10.005")</f>
        <v>http://dx.doi.org/10.1016/j.jneb.2014.10.005</v>
      </c>
      <c r="BE826" s="3"/>
      <c r="BF826" s="3"/>
      <c r="BG826" s="3"/>
      <c r="BH826" s="3"/>
      <c r="BI826" s="3">
        <v>25467214</v>
      </c>
      <c r="BJ826" s="3" t="s">
        <v>2139</v>
      </c>
      <c r="BK826" s="3"/>
      <c r="BL826" s="3"/>
      <c r="BM826" s="3"/>
      <c r="BN826" s="3"/>
      <c r="BO826" s="3"/>
      <c r="BP826" s="3"/>
      <c r="BQ826" s="3"/>
      <c r="BR826" s="3"/>
      <c r="BS826" s="3"/>
      <c r="BT826" s="3"/>
      <c r="BU826" s="1" t="s">
        <v>7347</v>
      </c>
      <c r="BV826" s="2" t="s">
        <v>7188</v>
      </c>
      <c r="BW826" s="2" t="s">
        <v>7189</v>
      </c>
    </row>
    <row r="827" spans="1:75" ht="12.75" customHeight="1">
      <c r="A827" s="4" t="s">
        <v>63</v>
      </c>
      <c r="B827" s="4" t="s">
        <v>4670</v>
      </c>
      <c r="C827" s="4"/>
      <c r="D827" s="4"/>
      <c r="E827" s="4"/>
      <c r="F827" s="4" t="s">
        <v>4671</v>
      </c>
      <c r="G827" s="4"/>
      <c r="H827" s="4"/>
      <c r="I827" s="4" t="s">
        <v>4672</v>
      </c>
      <c r="J827" s="4" t="s">
        <v>4673</v>
      </c>
      <c r="K827" s="4"/>
      <c r="L827" s="4"/>
      <c r="M827" s="4"/>
      <c r="N827" s="4"/>
      <c r="O827" s="4"/>
      <c r="P827" s="4"/>
      <c r="Q827" s="4"/>
      <c r="R827" s="4"/>
      <c r="S827" s="4"/>
      <c r="T827" s="4" t="s">
        <v>4674</v>
      </c>
      <c r="U827" s="4"/>
      <c r="V827" s="4"/>
      <c r="W827" s="4"/>
      <c r="X827" s="4"/>
      <c r="Y827" s="4" t="s">
        <v>4675</v>
      </c>
      <c r="Z827" s="4" t="s">
        <v>4676</v>
      </c>
      <c r="AA827" s="4"/>
      <c r="AB827" s="4"/>
      <c r="AC827" s="4"/>
      <c r="AD827" s="4"/>
      <c r="AE827" s="4"/>
      <c r="AF827" s="4"/>
      <c r="AG827" s="4"/>
      <c r="AH827" s="4"/>
      <c r="AI827" s="4"/>
      <c r="AJ827" s="4"/>
      <c r="AK827" s="4"/>
      <c r="AL827" s="4"/>
      <c r="AM827" s="4"/>
      <c r="AN827" s="4" t="s">
        <v>4677</v>
      </c>
      <c r="AO827" s="4"/>
      <c r="AP827" s="4"/>
      <c r="AQ827" s="4"/>
      <c r="AR827" s="4" t="s">
        <v>2086</v>
      </c>
      <c r="AS827" s="4">
        <v>2020</v>
      </c>
      <c r="AT827" s="4">
        <v>4</v>
      </c>
      <c r="AU827" s="4"/>
      <c r="AV827" s="4"/>
      <c r="AW827" s="4"/>
      <c r="AX827" s="4"/>
      <c r="AY827" s="4"/>
      <c r="AZ827" s="4"/>
      <c r="BA827" s="4"/>
      <c r="BB827" s="4">
        <v>58</v>
      </c>
      <c r="BC827" s="4" t="s">
        <v>4678</v>
      </c>
      <c r="BD827" s="5" t="str">
        <f>HYPERLINK("http://dx.doi.org/10.3389/fsufs.2020.00058","http://dx.doi.org/10.3389/fsufs.2020.00058")</f>
        <v>http://dx.doi.org/10.3389/fsufs.2020.00058</v>
      </c>
      <c r="BE827" s="4"/>
      <c r="BF827" s="4"/>
      <c r="BG827" s="4"/>
      <c r="BH827" s="4"/>
      <c r="BI827" s="4"/>
      <c r="BJ827" s="4" t="s">
        <v>4679</v>
      </c>
      <c r="BK827" s="4"/>
      <c r="BL827" s="4"/>
      <c r="BM827" s="4"/>
      <c r="BN827" s="4"/>
      <c r="BO827" s="4"/>
      <c r="BP827" s="4"/>
      <c r="BQ827" s="4"/>
      <c r="BR827" s="4"/>
      <c r="BS827" s="4"/>
      <c r="BT827" s="4"/>
      <c r="BU827" s="12" t="s">
        <v>7521</v>
      </c>
      <c r="BV827" s="12" t="s">
        <v>7522</v>
      </c>
      <c r="BW827" s="12" t="s">
        <v>7228</v>
      </c>
    </row>
    <row r="828" spans="1:75" ht="12.75" customHeight="1">
      <c r="A828" s="4" t="s">
        <v>63</v>
      </c>
      <c r="B828" s="4" t="s">
        <v>7147</v>
      </c>
      <c r="C828" s="4"/>
      <c r="D828" s="4"/>
      <c r="E828" s="4"/>
      <c r="F828" s="4" t="s">
        <v>7148</v>
      </c>
      <c r="G828" s="4"/>
      <c r="H828" s="4"/>
      <c r="I828" s="4" t="s">
        <v>7149</v>
      </c>
      <c r="J828" s="4" t="s">
        <v>7150</v>
      </c>
      <c r="K828" s="4"/>
      <c r="L828" s="4"/>
      <c r="M828" s="4"/>
      <c r="N828" s="4"/>
      <c r="O828" s="4"/>
      <c r="P828" s="4"/>
      <c r="Q828" s="4"/>
      <c r="R828" s="4"/>
      <c r="S828" s="4"/>
      <c r="T828" s="4" t="s">
        <v>7151</v>
      </c>
      <c r="U828" s="4"/>
      <c r="V828" s="4"/>
      <c r="W828" s="4"/>
      <c r="X828" s="4"/>
      <c r="Y828" s="4" t="s">
        <v>7152</v>
      </c>
      <c r="Z828" s="4" t="s">
        <v>7153</v>
      </c>
      <c r="AA828" s="4"/>
      <c r="AB828" s="4"/>
      <c r="AC828" s="4"/>
      <c r="AD828" s="4"/>
      <c r="AE828" s="4"/>
      <c r="AF828" s="4"/>
      <c r="AG828" s="4"/>
      <c r="AH828" s="4"/>
      <c r="AI828" s="4"/>
      <c r="AJ828" s="4"/>
      <c r="AK828" s="4"/>
      <c r="AL828" s="4"/>
      <c r="AM828" s="4" t="s">
        <v>7154</v>
      </c>
      <c r="AN828" s="4" t="s">
        <v>7155</v>
      </c>
      <c r="AO828" s="4"/>
      <c r="AP828" s="4"/>
      <c r="AQ828" s="4"/>
      <c r="AR828" s="4" t="s">
        <v>7156</v>
      </c>
      <c r="AS828" s="4">
        <v>2024</v>
      </c>
      <c r="AT828" s="4"/>
      <c r="AU828" s="4"/>
      <c r="AV828" s="4"/>
      <c r="AW828" s="4"/>
      <c r="AX828" s="4"/>
      <c r="AY828" s="4"/>
      <c r="AZ828" s="4"/>
      <c r="BA828" s="4"/>
      <c r="BB828" s="4"/>
      <c r="BC828" s="4" t="s">
        <v>7157</v>
      </c>
      <c r="BD828" s="5" t="str">
        <f>HYPERLINK("http://dx.doi.org/10.1007/s11121-024-01646-1","http://dx.doi.org/10.1007/s11121-024-01646-1")</f>
        <v>http://dx.doi.org/10.1007/s11121-024-01646-1</v>
      </c>
      <c r="BE828" s="4"/>
      <c r="BF828" s="4" t="s">
        <v>6622</v>
      </c>
      <c r="BG828" s="4"/>
      <c r="BH828" s="4"/>
      <c r="BI828" s="4">
        <v>38358576</v>
      </c>
      <c r="BJ828" s="4" t="s">
        <v>7158</v>
      </c>
      <c r="BK828" s="4"/>
      <c r="BL828" s="4"/>
      <c r="BM828" s="4"/>
      <c r="BN828" s="4"/>
      <c r="BO828" s="4"/>
      <c r="BP828" s="4"/>
      <c r="BQ828" s="4"/>
      <c r="BR828" s="4"/>
      <c r="BS828" s="4"/>
      <c r="BT828" s="4"/>
      <c r="BU828" s="12" t="s">
        <v>7523</v>
      </c>
      <c r="BV828" s="12" t="s">
        <v>7188</v>
      </c>
      <c r="BW828" s="12" t="s">
        <v>7189</v>
      </c>
    </row>
    <row r="829" spans="1:75" ht="12.75" customHeight="1">
      <c r="A829" s="3" t="s">
        <v>63</v>
      </c>
      <c r="B829" s="3" t="s">
        <v>3236</v>
      </c>
      <c r="C829" s="3"/>
      <c r="D829" s="3"/>
      <c r="E829" s="3"/>
      <c r="F829" s="3" t="s">
        <v>3237</v>
      </c>
      <c r="G829" s="3"/>
      <c r="H829" s="3"/>
      <c r="I829" s="3" t="s">
        <v>3238</v>
      </c>
      <c r="J829" s="3" t="s">
        <v>294</v>
      </c>
      <c r="K829" s="3"/>
      <c r="L829" s="3"/>
      <c r="M829" s="3"/>
      <c r="N829" s="3"/>
      <c r="O829" s="3"/>
      <c r="P829" s="3"/>
      <c r="Q829" s="3"/>
      <c r="R829" s="3"/>
      <c r="S829" s="3"/>
      <c r="T829" s="3" t="s">
        <v>3239</v>
      </c>
      <c r="U829" s="3"/>
      <c r="V829" s="3"/>
      <c r="W829" s="3"/>
      <c r="X829" s="3"/>
      <c r="Y829" s="3"/>
      <c r="Z829" s="3" t="s">
        <v>3240</v>
      </c>
      <c r="AA829" s="3"/>
      <c r="AB829" s="3"/>
      <c r="AC829" s="3"/>
      <c r="AD829" s="3"/>
      <c r="AE829" s="3"/>
      <c r="AF829" s="3"/>
      <c r="AG829" s="3"/>
      <c r="AH829" s="3"/>
      <c r="AI829" s="3"/>
      <c r="AJ829" s="3"/>
      <c r="AK829" s="3"/>
      <c r="AL829" s="3"/>
      <c r="AM829" s="3" t="s">
        <v>298</v>
      </c>
      <c r="AN829" s="3" t="s">
        <v>3241</v>
      </c>
      <c r="AO829" s="3"/>
      <c r="AP829" s="3"/>
      <c r="AQ829" s="3"/>
      <c r="AR829" s="3" t="s">
        <v>65</v>
      </c>
      <c r="AS829" s="3">
        <v>2017</v>
      </c>
      <c r="AT829" s="3">
        <v>30</v>
      </c>
      <c r="AU829" s="3">
        <v>6</v>
      </c>
      <c r="AV829" s="3"/>
      <c r="AW829" s="3"/>
      <c r="AX829" s="3"/>
      <c r="AY829" s="3"/>
      <c r="AZ829" s="3">
        <v>791</v>
      </c>
      <c r="BA829" s="3">
        <v>799</v>
      </c>
      <c r="BB829" s="3"/>
      <c r="BC829" s="3" t="s">
        <v>3242</v>
      </c>
      <c r="BD829" s="15" t="str">
        <f>HYPERLINK("http://dx.doi.org/10.1111/jhn.12489","http://dx.doi.org/10.1111/jhn.12489")</f>
        <v>http://dx.doi.org/10.1111/jhn.12489</v>
      </c>
      <c r="BE829" s="3"/>
      <c r="BF829" s="3"/>
      <c r="BG829" s="3"/>
      <c r="BH829" s="3"/>
      <c r="BI829" s="3">
        <v>28608509</v>
      </c>
      <c r="BJ829" s="3" t="s">
        <v>3243</v>
      </c>
      <c r="BK829" s="3"/>
      <c r="BL829" s="3"/>
      <c r="BM829" s="3"/>
      <c r="BN829" s="3"/>
      <c r="BO829" s="3"/>
      <c r="BP829" s="3"/>
      <c r="BQ829" s="3"/>
      <c r="BR829" s="3"/>
      <c r="BS829" s="3"/>
      <c r="BT829" s="3"/>
      <c r="BU829" s="1" t="s">
        <v>7524</v>
      </c>
      <c r="BV829" s="2" t="s">
        <v>7214</v>
      </c>
      <c r="BW829" s="2" t="s">
        <v>7205</v>
      </c>
    </row>
    <row r="830" spans="1:75" ht="12.75" customHeight="1">
      <c r="A830" s="4" t="s">
        <v>63</v>
      </c>
      <c r="B830" s="4" t="s">
        <v>2627</v>
      </c>
      <c r="C830" s="4"/>
      <c r="D830" s="4"/>
      <c r="E830" s="4"/>
      <c r="F830" s="4" t="s">
        <v>2628</v>
      </c>
      <c r="G830" s="4"/>
      <c r="H830" s="4"/>
      <c r="I830" s="4" t="s">
        <v>2629</v>
      </c>
      <c r="J830" s="4" t="s">
        <v>2630</v>
      </c>
      <c r="K830" s="4"/>
      <c r="L830" s="4"/>
      <c r="M830" s="4"/>
      <c r="N830" s="4"/>
      <c r="O830" s="4"/>
      <c r="P830" s="4"/>
      <c r="Q830" s="4"/>
      <c r="R830" s="4"/>
      <c r="S830" s="4"/>
      <c r="T830" s="4" t="s">
        <v>2631</v>
      </c>
      <c r="U830" s="4"/>
      <c r="V830" s="4"/>
      <c r="W830" s="4"/>
      <c r="X830" s="4"/>
      <c r="Y830" s="4"/>
      <c r="Z830" s="4"/>
      <c r="AA830" s="4"/>
      <c r="AB830" s="4"/>
      <c r="AC830" s="4"/>
      <c r="AD830" s="4"/>
      <c r="AE830" s="4"/>
      <c r="AF830" s="4"/>
      <c r="AG830" s="4"/>
      <c r="AH830" s="4"/>
      <c r="AI830" s="4"/>
      <c r="AJ830" s="4"/>
      <c r="AK830" s="4"/>
      <c r="AL830" s="4"/>
      <c r="AM830" s="4" t="s">
        <v>2632</v>
      </c>
      <c r="AN830" s="4" t="s">
        <v>2633</v>
      </c>
      <c r="AO830" s="4"/>
      <c r="AP830" s="4"/>
      <c r="AQ830" s="4"/>
      <c r="AR830" s="4"/>
      <c r="AS830" s="4">
        <v>2016</v>
      </c>
      <c r="AT830" s="4">
        <v>15</v>
      </c>
      <c r="AU830" s="4" t="s">
        <v>174</v>
      </c>
      <c r="AV830" s="4"/>
      <c r="AW830" s="4"/>
      <c r="AX830" s="4"/>
      <c r="AY830" s="4"/>
      <c r="AZ830" s="4">
        <v>63</v>
      </c>
      <c r="BA830" s="4">
        <v>83</v>
      </c>
      <c r="BB830" s="4"/>
      <c r="BC830" s="4" t="s">
        <v>2634</v>
      </c>
      <c r="BD830" s="5" t="str">
        <f>HYPERLINK("http://dx.doi.org/10.1163/15691497-12341375","http://dx.doi.org/10.1163/15691497-12341375")</f>
        <v>http://dx.doi.org/10.1163/15691497-12341375</v>
      </c>
      <c r="BE830" s="4"/>
      <c r="BF830" s="4"/>
      <c r="BG830" s="4"/>
      <c r="BH830" s="4"/>
      <c r="BI830" s="4"/>
      <c r="BJ830" s="4" t="s">
        <v>2635</v>
      </c>
      <c r="BK830" s="4"/>
      <c r="BL830" s="4"/>
      <c r="BM830" s="4"/>
      <c r="BN830" s="4"/>
      <c r="BO830" s="4"/>
      <c r="BP830" s="4"/>
      <c r="BQ830" s="4"/>
      <c r="BR830" s="4"/>
      <c r="BS830" s="4"/>
      <c r="BT830" s="4"/>
      <c r="BU830" s="12" t="s">
        <v>7206</v>
      </c>
      <c r="BV830" s="12" t="s">
        <v>7188</v>
      </c>
      <c r="BW830" s="12" t="s">
        <v>7189</v>
      </c>
    </row>
    <row r="831" spans="1:75" ht="12.75" customHeight="1">
      <c r="A831" s="4" t="s">
        <v>63</v>
      </c>
      <c r="B831" s="4" t="s">
        <v>3244</v>
      </c>
      <c r="C831" s="4"/>
      <c r="D831" s="4"/>
      <c r="E831" s="4"/>
      <c r="F831" s="4" t="s">
        <v>3245</v>
      </c>
      <c r="G831" s="4"/>
      <c r="H831" s="4" t="s">
        <v>3246</v>
      </c>
      <c r="I831" s="4" t="s">
        <v>3247</v>
      </c>
      <c r="J831" s="4" t="s">
        <v>3248</v>
      </c>
      <c r="K831" s="4"/>
      <c r="L831" s="4"/>
      <c r="M831" s="4"/>
      <c r="N831" s="4"/>
      <c r="O831" s="4"/>
      <c r="P831" s="4"/>
      <c r="Q831" s="4"/>
      <c r="R831" s="4"/>
      <c r="S831" s="4"/>
      <c r="T831" s="4" t="s">
        <v>3249</v>
      </c>
      <c r="U831" s="4"/>
      <c r="V831" s="4"/>
      <c r="W831" s="4"/>
      <c r="X831" s="4"/>
      <c r="Y831" s="4" t="s">
        <v>3250</v>
      </c>
      <c r="Z831" s="4" t="s">
        <v>3251</v>
      </c>
      <c r="AA831" s="4"/>
      <c r="AB831" s="4"/>
      <c r="AC831" s="4"/>
      <c r="AD831" s="4"/>
      <c r="AE831" s="4"/>
      <c r="AF831" s="4"/>
      <c r="AG831" s="4"/>
      <c r="AH831" s="4"/>
      <c r="AI831" s="4"/>
      <c r="AJ831" s="4"/>
      <c r="AK831" s="4"/>
      <c r="AL831" s="4"/>
      <c r="AM831" s="4" t="s">
        <v>3252</v>
      </c>
      <c r="AN831" s="4" t="s">
        <v>3253</v>
      </c>
      <c r="AO831" s="4"/>
      <c r="AP831" s="4"/>
      <c r="AQ831" s="4"/>
      <c r="AR831" s="4" t="s">
        <v>173</v>
      </c>
      <c r="AS831" s="4">
        <v>2017</v>
      </c>
      <c r="AT831" s="4">
        <v>70</v>
      </c>
      <c r="AU831" s="4">
        <v>1</v>
      </c>
      <c r="AV831" s="4"/>
      <c r="AW831" s="4"/>
      <c r="AX831" s="4"/>
      <c r="AY831" s="4"/>
      <c r="AZ831" s="4">
        <v>38</v>
      </c>
      <c r="BA831" s="4">
        <v>47</v>
      </c>
      <c r="BB831" s="4"/>
      <c r="BC831" s="4" t="s">
        <v>3254</v>
      </c>
      <c r="BD831" s="5" t="str">
        <f>HYPERLINK("http://dx.doi.org/10.1053/j.ajkd.2016.10.035","http://dx.doi.org/10.1053/j.ajkd.2016.10.035")</f>
        <v>http://dx.doi.org/10.1053/j.ajkd.2016.10.035</v>
      </c>
      <c r="BE831" s="4"/>
      <c r="BF831" s="4"/>
      <c r="BG831" s="4"/>
      <c r="BH831" s="4"/>
      <c r="BI831" s="4">
        <v>28215947</v>
      </c>
      <c r="BJ831" s="4" t="s">
        <v>3255</v>
      </c>
      <c r="BK831" s="4"/>
      <c r="BL831" s="4"/>
      <c r="BM831" s="4"/>
      <c r="BN831" s="4"/>
      <c r="BO831" s="4"/>
      <c r="BP831" s="4"/>
      <c r="BQ831" s="4"/>
      <c r="BR831" s="4"/>
      <c r="BS831" s="4"/>
      <c r="BT831" s="4"/>
      <c r="BU831" s="12" t="s">
        <v>7201</v>
      </c>
      <c r="BV831" s="12" t="s">
        <v>7188</v>
      </c>
      <c r="BW831" s="12" t="s">
        <v>7189</v>
      </c>
    </row>
    <row r="832" spans="1:75" ht="12.75" customHeight="1">
      <c r="A832" s="4" t="s">
        <v>63</v>
      </c>
      <c r="B832" s="4" t="s">
        <v>4680</v>
      </c>
      <c r="C832" s="4"/>
      <c r="D832" s="4"/>
      <c r="E832" s="4"/>
      <c r="F832" s="4" t="s">
        <v>4681</v>
      </c>
      <c r="G832" s="4"/>
      <c r="H832" s="4"/>
      <c r="I832" s="4" t="s">
        <v>4682</v>
      </c>
      <c r="J832" s="4" t="s">
        <v>380</v>
      </c>
      <c r="K832" s="4"/>
      <c r="L832" s="4"/>
      <c r="M832" s="4"/>
      <c r="N832" s="4"/>
      <c r="O832" s="4"/>
      <c r="P832" s="4"/>
      <c r="Q832" s="4"/>
      <c r="R832" s="4"/>
      <c r="S832" s="4"/>
      <c r="T832" s="4" t="s">
        <v>4683</v>
      </c>
      <c r="U832" s="4"/>
      <c r="V832" s="4"/>
      <c r="W832" s="4"/>
      <c r="X832" s="4"/>
      <c r="Y832" s="4" t="s">
        <v>4684</v>
      </c>
      <c r="Z832" s="4" t="s">
        <v>4685</v>
      </c>
      <c r="AA832" s="4"/>
      <c r="AB832" s="4"/>
      <c r="AC832" s="4"/>
      <c r="AD832" s="4"/>
      <c r="AE832" s="4"/>
      <c r="AF832" s="4"/>
      <c r="AG832" s="4"/>
      <c r="AH832" s="4"/>
      <c r="AI832" s="4"/>
      <c r="AJ832" s="4"/>
      <c r="AK832" s="4"/>
      <c r="AL832" s="4"/>
      <c r="AM832" s="4" t="s">
        <v>382</v>
      </c>
      <c r="AN832" s="4" t="s">
        <v>383</v>
      </c>
      <c r="AO832" s="4"/>
      <c r="AP832" s="4"/>
      <c r="AQ832" s="4"/>
      <c r="AR832" s="4" t="s">
        <v>173</v>
      </c>
      <c r="AS832" s="4">
        <v>2020</v>
      </c>
      <c r="AT832" s="4">
        <v>64</v>
      </c>
      <c r="AU832" s="4"/>
      <c r="AV832" s="4"/>
      <c r="AW832" s="4"/>
      <c r="AX832" s="4"/>
      <c r="AY832" s="4"/>
      <c r="AZ832" s="4"/>
      <c r="BA832" s="4"/>
      <c r="BB832" s="4">
        <v>102361</v>
      </c>
      <c r="BC832" s="4" t="s">
        <v>4686</v>
      </c>
      <c r="BD832" s="5" t="str">
        <f>HYPERLINK("http://dx.doi.org/10.1016/j.healthplace.2020.102361","http://dx.doi.org/10.1016/j.healthplace.2020.102361")</f>
        <v>http://dx.doi.org/10.1016/j.healthplace.2020.102361</v>
      </c>
      <c r="BE832" s="4"/>
      <c r="BF832" s="4"/>
      <c r="BG832" s="4"/>
      <c r="BH832" s="4"/>
      <c r="BI832" s="4">
        <v>32838886</v>
      </c>
      <c r="BJ832" s="4" t="s">
        <v>4687</v>
      </c>
      <c r="BK832" s="4"/>
      <c r="BL832" s="4"/>
      <c r="BM832" s="4"/>
      <c r="BN832" s="4"/>
      <c r="BO832" s="4"/>
      <c r="BP832" s="4"/>
      <c r="BQ832" s="4"/>
      <c r="BR832" s="4"/>
      <c r="BS832" s="4"/>
      <c r="BT832" s="4"/>
      <c r="BU832" s="12" t="s">
        <v>7222</v>
      </c>
      <c r="BV832" s="12" t="s">
        <v>7188</v>
      </c>
      <c r="BW832" s="12" t="s">
        <v>7189</v>
      </c>
    </row>
    <row r="833" spans="1:75" ht="12.75" customHeight="1">
      <c r="A833" s="4" t="s">
        <v>63</v>
      </c>
      <c r="B833" s="4" t="s">
        <v>175</v>
      </c>
      <c r="C833" s="4"/>
      <c r="D833" s="4"/>
      <c r="E833" s="4"/>
      <c r="F833" s="4" t="s">
        <v>175</v>
      </c>
      <c r="G833" s="4"/>
      <c r="H833" s="4"/>
      <c r="I833" s="4" t="s">
        <v>176</v>
      </c>
      <c r="J833" s="4" t="s">
        <v>177</v>
      </c>
      <c r="K833" s="4"/>
      <c r="L833" s="4"/>
      <c r="M833" s="4"/>
      <c r="N833" s="4"/>
      <c r="O833" s="4"/>
      <c r="P833" s="4"/>
      <c r="Q833" s="4"/>
      <c r="R833" s="4"/>
      <c r="S833" s="4"/>
      <c r="T833" s="4" t="s">
        <v>178</v>
      </c>
      <c r="U833" s="4"/>
      <c r="V833" s="4"/>
      <c r="W833" s="4"/>
      <c r="X833" s="4"/>
      <c r="Y833" s="4"/>
      <c r="Z833" s="4"/>
      <c r="AA833" s="4"/>
      <c r="AB833" s="4"/>
      <c r="AC833" s="4"/>
      <c r="AD833" s="4"/>
      <c r="AE833" s="4"/>
      <c r="AF833" s="4"/>
      <c r="AG833" s="4"/>
      <c r="AH833" s="4"/>
      <c r="AI833" s="4"/>
      <c r="AJ833" s="4"/>
      <c r="AK833" s="4"/>
      <c r="AL833" s="4"/>
      <c r="AM833" s="4" t="s">
        <v>179</v>
      </c>
      <c r="AN833" s="4"/>
      <c r="AO833" s="4"/>
      <c r="AP833" s="4"/>
      <c r="AQ833" s="4"/>
      <c r="AR833" s="4" t="s">
        <v>121</v>
      </c>
      <c r="AS833" s="4">
        <v>2005</v>
      </c>
      <c r="AT833" s="4">
        <v>87</v>
      </c>
      <c r="AU833" s="4">
        <v>3</v>
      </c>
      <c r="AV833" s="4"/>
      <c r="AW833" s="4"/>
      <c r="AX833" s="4"/>
      <c r="AY833" s="4"/>
      <c r="AZ833" s="4">
        <v>717</v>
      </c>
      <c r="BA833" s="4">
        <v>734</v>
      </c>
      <c r="BB833" s="4"/>
      <c r="BC833" s="4" t="s">
        <v>180</v>
      </c>
      <c r="BD833" s="5" t="str">
        <f>HYPERLINK("http://dx.doi.org/10.1111/j.1467-8276.2005.00758.x","http://dx.doi.org/10.1111/j.1467-8276.2005.00758.x")</f>
        <v>http://dx.doi.org/10.1111/j.1467-8276.2005.00758.x</v>
      </c>
      <c r="BE833" s="4"/>
      <c r="BF833" s="4"/>
      <c r="BG833" s="4"/>
      <c r="BH833" s="4"/>
      <c r="BI833" s="4"/>
      <c r="BJ833" s="4" t="s">
        <v>181</v>
      </c>
      <c r="BK833" s="4"/>
      <c r="BL833" s="4"/>
      <c r="BM833" s="4"/>
      <c r="BN833" s="4"/>
      <c r="BO833" s="4"/>
      <c r="BP833" s="4"/>
      <c r="BQ833" s="4"/>
      <c r="BR833" s="4"/>
      <c r="BS833" s="4"/>
      <c r="BT833" s="4"/>
      <c r="BU833" s="12" t="s">
        <v>7193</v>
      </c>
      <c r="BV833" s="12" t="s">
        <v>7525</v>
      </c>
      <c r="BW833" s="12" t="s">
        <v>7228</v>
      </c>
    </row>
    <row r="834" spans="1:75" ht="12.75" customHeight="1">
      <c r="A834" s="4" t="s">
        <v>63</v>
      </c>
      <c r="B834" s="4" t="s">
        <v>5303</v>
      </c>
      <c r="C834" s="4"/>
      <c r="D834" s="4"/>
      <c r="E834" s="4"/>
      <c r="F834" s="4" t="s">
        <v>5304</v>
      </c>
      <c r="G834" s="4"/>
      <c r="H834" s="4"/>
      <c r="I834" s="4" t="s">
        <v>5305</v>
      </c>
      <c r="J834" s="4" t="s">
        <v>1531</v>
      </c>
      <c r="K834" s="4"/>
      <c r="L834" s="4"/>
      <c r="M834" s="4"/>
      <c r="N834" s="4"/>
      <c r="O834" s="4"/>
      <c r="P834" s="4"/>
      <c r="Q834" s="4"/>
      <c r="R834" s="4"/>
      <c r="S834" s="4"/>
      <c r="T834" s="4" t="s">
        <v>5306</v>
      </c>
      <c r="U834" s="4"/>
      <c r="V834" s="4"/>
      <c r="W834" s="4"/>
      <c r="X834" s="4"/>
      <c r="Y834" s="4" t="s">
        <v>5307</v>
      </c>
      <c r="Z834" s="4" t="s">
        <v>5308</v>
      </c>
      <c r="AA834" s="4"/>
      <c r="AB834" s="4"/>
      <c r="AC834" s="4"/>
      <c r="AD834" s="4"/>
      <c r="AE834" s="4"/>
      <c r="AF834" s="4"/>
      <c r="AG834" s="4"/>
      <c r="AH834" s="4"/>
      <c r="AI834" s="4"/>
      <c r="AJ834" s="4"/>
      <c r="AK834" s="4"/>
      <c r="AL834" s="4"/>
      <c r="AM834" s="4" t="s">
        <v>1533</v>
      </c>
      <c r="AN834" s="4"/>
      <c r="AO834" s="4"/>
      <c r="AP834" s="4"/>
      <c r="AQ834" s="4"/>
      <c r="AR834" s="4" t="s">
        <v>5309</v>
      </c>
      <c r="AS834" s="4">
        <v>2021</v>
      </c>
      <c r="AT834" s="4">
        <v>16</v>
      </c>
      <c r="AU834" s="4">
        <v>9</v>
      </c>
      <c r="AV834" s="4"/>
      <c r="AW834" s="4"/>
      <c r="AX834" s="4"/>
      <c r="AY834" s="4"/>
      <c r="AZ834" s="4"/>
      <c r="BA834" s="4"/>
      <c r="BB834" s="4" t="s">
        <v>5310</v>
      </c>
      <c r="BC834" s="4" t="s">
        <v>5311</v>
      </c>
      <c r="BD834" s="5" t="str">
        <f>HYPERLINK("http://dx.doi.org/10.1371/journal.pone.0256913","http://dx.doi.org/10.1371/journal.pone.0256913")</f>
        <v>http://dx.doi.org/10.1371/journal.pone.0256913</v>
      </c>
      <c r="BE834" s="4"/>
      <c r="BF834" s="4"/>
      <c r="BG834" s="4"/>
      <c r="BH834" s="4"/>
      <c r="BI834" s="4">
        <v>34492063</v>
      </c>
      <c r="BJ834" s="4" t="s">
        <v>5312</v>
      </c>
      <c r="BK834" s="4"/>
      <c r="BL834" s="4"/>
      <c r="BM834" s="4"/>
      <c r="BN834" s="4"/>
      <c r="BO834" s="4"/>
      <c r="BP834" s="4"/>
      <c r="BQ834" s="4"/>
      <c r="BR834" s="4"/>
      <c r="BS834" s="4"/>
      <c r="BT834" s="4"/>
      <c r="BU834" s="12" t="s">
        <v>7206</v>
      </c>
      <c r="BV834" s="12" t="s">
        <v>7188</v>
      </c>
      <c r="BW834" s="12" t="s">
        <v>7189</v>
      </c>
    </row>
    <row r="835" spans="1:75" ht="12.75" customHeight="1">
      <c r="A835" s="4" t="s">
        <v>63</v>
      </c>
      <c r="B835" s="4" t="s">
        <v>3593</v>
      </c>
      <c r="C835" s="4"/>
      <c r="D835" s="4"/>
      <c r="E835" s="4"/>
      <c r="F835" s="4" t="s">
        <v>3594</v>
      </c>
      <c r="G835" s="4"/>
      <c r="H835" s="4"/>
      <c r="I835" s="4" t="s">
        <v>3595</v>
      </c>
      <c r="J835" s="4" t="s">
        <v>396</v>
      </c>
      <c r="K835" s="4"/>
      <c r="L835" s="4"/>
      <c r="M835" s="4"/>
      <c r="N835" s="4"/>
      <c r="O835" s="4"/>
      <c r="P835" s="4"/>
      <c r="Q835" s="4"/>
      <c r="R835" s="4"/>
      <c r="S835" s="4"/>
      <c r="T835" s="4" t="s">
        <v>3596</v>
      </c>
      <c r="U835" s="4"/>
      <c r="V835" s="4"/>
      <c r="W835" s="4"/>
      <c r="X835" s="4"/>
      <c r="Y835" s="4"/>
      <c r="Z835" s="4"/>
      <c r="AA835" s="4"/>
      <c r="AB835" s="4"/>
      <c r="AC835" s="4"/>
      <c r="AD835" s="4"/>
      <c r="AE835" s="4"/>
      <c r="AF835" s="4"/>
      <c r="AG835" s="4"/>
      <c r="AH835" s="4"/>
      <c r="AI835" s="4"/>
      <c r="AJ835" s="4"/>
      <c r="AK835" s="4"/>
      <c r="AL835" s="4"/>
      <c r="AM835" s="4" t="s">
        <v>398</v>
      </c>
      <c r="AN835" s="4" t="s">
        <v>399</v>
      </c>
      <c r="AO835" s="4"/>
      <c r="AP835" s="4"/>
      <c r="AQ835" s="4"/>
      <c r="AR835" s="4" t="s">
        <v>342</v>
      </c>
      <c r="AS835" s="4">
        <v>2018</v>
      </c>
      <c r="AT835" s="4">
        <v>50</v>
      </c>
      <c r="AU835" s="4">
        <v>7</v>
      </c>
      <c r="AV835" s="4"/>
      <c r="AW835" s="4"/>
      <c r="AX835" s="4"/>
      <c r="AY835" s="4"/>
      <c r="AZ835" s="4">
        <v>729</v>
      </c>
      <c r="BA835" s="4">
        <v>735</v>
      </c>
      <c r="BB835" s="4"/>
      <c r="BC835" s="4" t="s">
        <v>3597</v>
      </c>
      <c r="BD835" s="5" t="str">
        <f>HYPERLINK("http://dx.doi.org/10.1016/j.jneb.2018.03.002","http://dx.doi.org/10.1016/j.jneb.2018.03.002")</f>
        <v>http://dx.doi.org/10.1016/j.jneb.2018.03.002</v>
      </c>
      <c r="BE835" s="4"/>
      <c r="BF835" s="4"/>
      <c r="BG835" s="4"/>
      <c r="BH835" s="4"/>
      <c r="BI835" s="4">
        <v>29656023</v>
      </c>
      <c r="BJ835" s="4" t="s">
        <v>3598</v>
      </c>
      <c r="BK835" s="4"/>
      <c r="BL835" s="4"/>
      <c r="BM835" s="4"/>
      <c r="BN835" s="4"/>
      <c r="BO835" s="4"/>
      <c r="BP835" s="4"/>
      <c r="BQ835" s="4"/>
      <c r="BR835" s="4"/>
      <c r="BS835" s="4"/>
      <c r="BT835" s="4"/>
      <c r="BU835" s="12" t="s">
        <v>7526</v>
      </c>
      <c r="BV835" s="12" t="s">
        <v>7188</v>
      </c>
      <c r="BW835" s="12" t="s">
        <v>7189</v>
      </c>
    </row>
    <row r="836" spans="1:75" ht="12.75" customHeight="1">
      <c r="A836" s="6" t="s">
        <v>63</v>
      </c>
      <c r="B836" s="6" t="s">
        <v>5314</v>
      </c>
      <c r="C836" s="6"/>
      <c r="D836" s="6"/>
      <c r="E836" s="6"/>
      <c r="F836" s="6" t="s">
        <v>5315</v>
      </c>
      <c r="G836" s="6"/>
      <c r="H836" s="6"/>
      <c r="I836" s="6" t="s">
        <v>5316</v>
      </c>
      <c r="J836" s="6" t="s">
        <v>3374</v>
      </c>
      <c r="K836" s="6"/>
      <c r="L836" s="6"/>
      <c r="M836" s="6"/>
      <c r="N836" s="6"/>
      <c r="O836" s="6"/>
      <c r="P836" s="6"/>
      <c r="Q836" s="6"/>
      <c r="R836" s="6"/>
      <c r="S836" s="6"/>
      <c r="T836" s="6" t="s">
        <v>5317</v>
      </c>
      <c r="U836" s="6"/>
      <c r="V836" s="6"/>
      <c r="W836" s="6"/>
      <c r="X836" s="6"/>
      <c r="Y836" s="6"/>
      <c r="Z836" s="6" t="s">
        <v>5318</v>
      </c>
      <c r="AA836" s="6"/>
      <c r="AB836" s="6"/>
      <c r="AC836" s="6"/>
      <c r="AD836" s="6"/>
      <c r="AE836" s="6"/>
      <c r="AF836" s="6"/>
      <c r="AG836" s="6"/>
      <c r="AH836" s="6"/>
      <c r="AI836" s="6"/>
      <c r="AJ836" s="6"/>
      <c r="AK836" s="6"/>
      <c r="AL836" s="6"/>
      <c r="AM836" s="6"/>
      <c r="AN836" s="6" t="s">
        <v>3377</v>
      </c>
      <c r="AO836" s="6"/>
      <c r="AP836" s="6"/>
      <c r="AQ836" s="6"/>
      <c r="AR836" s="6" t="s">
        <v>82</v>
      </c>
      <c r="AS836" s="6">
        <v>2021</v>
      </c>
      <c r="AT836" s="6">
        <v>13</v>
      </c>
      <c r="AU836" s="6">
        <v>5</v>
      </c>
      <c r="AV836" s="6"/>
      <c r="AW836" s="6"/>
      <c r="AX836" s="6"/>
      <c r="AY836" s="6"/>
      <c r="AZ836" s="6"/>
      <c r="BA836" s="6"/>
      <c r="BB836" s="6">
        <v>2634</v>
      </c>
      <c r="BC836" s="6" t="s">
        <v>5319</v>
      </c>
      <c r="BD836" s="9" t="str">
        <f>HYPERLINK("http://dx.doi.org/10.3390/su13052634","http://dx.doi.org/10.3390/su13052634")</f>
        <v>http://dx.doi.org/10.3390/su13052634</v>
      </c>
      <c r="BE836" s="6"/>
      <c r="BF836" s="6"/>
      <c r="BG836" s="6"/>
      <c r="BH836" s="6"/>
      <c r="BI836" s="6"/>
      <c r="BJ836" s="6" t="s">
        <v>5320</v>
      </c>
      <c r="BK836" s="6"/>
      <c r="BL836" s="6"/>
      <c r="BM836" s="6"/>
      <c r="BN836" s="6"/>
      <c r="BO836" s="6"/>
      <c r="BP836" s="6"/>
      <c r="BQ836" s="6"/>
      <c r="BR836" s="6"/>
      <c r="BS836" s="6"/>
      <c r="BT836" s="6"/>
      <c r="BU836" s="8" t="s">
        <v>5313</v>
      </c>
      <c r="BV836" s="8" t="s">
        <v>5215</v>
      </c>
      <c r="BW836" s="8" t="s">
        <v>7245</v>
      </c>
    </row>
    <row r="837" spans="1:75" ht="12.75" customHeight="1">
      <c r="A837" s="4" t="s">
        <v>63</v>
      </c>
      <c r="B837" s="4" t="s">
        <v>5321</v>
      </c>
      <c r="C837" s="4"/>
      <c r="D837" s="4"/>
      <c r="E837" s="4"/>
      <c r="F837" s="4" t="s">
        <v>5322</v>
      </c>
      <c r="G837" s="4"/>
      <c r="H837" s="4"/>
      <c r="I837" s="4" t="s">
        <v>5323</v>
      </c>
      <c r="J837" s="4" t="s">
        <v>3721</v>
      </c>
      <c r="K837" s="4"/>
      <c r="L837" s="4"/>
      <c r="M837" s="4"/>
      <c r="N837" s="4"/>
      <c r="O837" s="4"/>
      <c r="P837" s="4"/>
      <c r="Q837" s="4"/>
      <c r="R837" s="4"/>
      <c r="S837" s="4"/>
      <c r="T837" s="4" t="s">
        <v>5324</v>
      </c>
      <c r="U837" s="4"/>
      <c r="V837" s="4"/>
      <c r="W837" s="4"/>
      <c r="X837" s="4"/>
      <c r="Y837" s="4" t="s">
        <v>5325</v>
      </c>
      <c r="Z837" s="4" t="s">
        <v>5326</v>
      </c>
      <c r="AA837" s="4"/>
      <c r="AB837" s="4"/>
      <c r="AC837" s="4"/>
      <c r="AD837" s="4"/>
      <c r="AE837" s="4"/>
      <c r="AF837" s="4"/>
      <c r="AG837" s="4"/>
      <c r="AH837" s="4"/>
      <c r="AI837" s="4"/>
      <c r="AJ837" s="4"/>
      <c r="AK837" s="4"/>
      <c r="AL837" s="4"/>
      <c r="AM837" s="4"/>
      <c r="AN837" s="4" t="s">
        <v>3723</v>
      </c>
      <c r="AO837" s="4"/>
      <c r="AP837" s="4"/>
      <c r="AQ837" s="4"/>
      <c r="AR837" s="4" t="s">
        <v>121</v>
      </c>
      <c r="AS837" s="4">
        <v>2021</v>
      </c>
      <c r="AT837" s="4">
        <v>13</v>
      </c>
      <c r="AU837" s="4">
        <v>8</v>
      </c>
      <c r="AV837" s="4"/>
      <c r="AW837" s="4"/>
      <c r="AX837" s="4"/>
      <c r="AY837" s="4"/>
      <c r="AZ837" s="4"/>
      <c r="BA837" s="4"/>
      <c r="BB837" s="4">
        <v>2620</v>
      </c>
      <c r="BC837" s="4" t="s">
        <v>5327</v>
      </c>
      <c r="BD837" s="5" t="str">
        <f>HYPERLINK("http://dx.doi.org/10.3390/nu13082620","http://dx.doi.org/10.3390/nu13082620")</f>
        <v>http://dx.doi.org/10.3390/nu13082620</v>
      </c>
      <c r="BE837" s="4"/>
      <c r="BF837" s="4"/>
      <c r="BG837" s="4"/>
      <c r="BH837" s="4"/>
      <c r="BI837" s="4">
        <v>34444780</v>
      </c>
      <c r="BJ837" s="4" t="s">
        <v>5328</v>
      </c>
      <c r="BK837" s="4"/>
      <c r="BL837" s="4"/>
      <c r="BM837" s="4"/>
      <c r="BN837" s="4"/>
      <c r="BO837" s="4"/>
      <c r="BP837" s="4"/>
      <c r="BQ837" s="4"/>
      <c r="BR837" s="4"/>
      <c r="BS837" s="4"/>
      <c r="BT837" s="4"/>
      <c r="BU837" s="12" t="s">
        <v>7332</v>
      </c>
      <c r="BV837" s="12" t="s">
        <v>7188</v>
      </c>
      <c r="BW837" s="12" t="s">
        <v>7189</v>
      </c>
    </row>
    <row r="838" spans="1:75" ht="12.75" customHeight="1">
      <c r="A838" s="4" t="s">
        <v>63</v>
      </c>
      <c r="B838" s="4" t="s">
        <v>4688</v>
      </c>
      <c r="C838" s="4"/>
      <c r="D838" s="4"/>
      <c r="E838" s="4"/>
      <c r="F838" s="4" t="s">
        <v>4689</v>
      </c>
      <c r="G838" s="4"/>
      <c r="H838" s="4"/>
      <c r="I838" s="4" t="s">
        <v>4690</v>
      </c>
      <c r="J838" s="4" t="s">
        <v>4691</v>
      </c>
      <c r="K838" s="4"/>
      <c r="L838" s="4"/>
      <c r="M838" s="4"/>
      <c r="N838" s="4"/>
      <c r="O838" s="4"/>
      <c r="P838" s="4"/>
      <c r="Q838" s="4"/>
      <c r="R838" s="4"/>
      <c r="S838" s="4"/>
      <c r="T838" s="4" t="s">
        <v>4692</v>
      </c>
      <c r="U838" s="4"/>
      <c r="V838" s="4"/>
      <c r="W838" s="4"/>
      <c r="X838" s="4"/>
      <c r="Y838" s="4" t="s">
        <v>4684</v>
      </c>
      <c r="Z838" s="4" t="s">
        <v>4693</v>
      </c>
      <c r="AA838" s="4"/>
      <c r="AB838" s="4"/>
      <c r="AC838" s="4"/>
      <c r="AD838" s="4"/>
      <c r="AE838" s="4"/>
      <c r="AF838" s="4"/>
      <c r="AG838" s="4"/>
      <c r="AH838" s="4"/>
      <c r="AI838" s="4"/>
      <c r="AJ838" s="4"/>
      <c r="AK838" s="4"/>
      <c r="AL838" s="4"/>
      <c r="AM838" s="4" t="s">
        <v>4694</v>
      </c>
      <c r="AN838" s="4" t="s">
        <v>4695</v>
      </c>
      <c r="AO838" s="4"/>
      <c r="AP838" s="4"/>
      <c r="AQ838" s="4"/>
      <c r="AR838" s="4" t="s">
        <v>4696</v>
      </c>
      <c r="AS838" s="4">
        <v>2020</v>
      </c>
      <c r="AT838" s="4">
        <v>30</v>
      </c>
      <c r="AU838" s="4">
        <v>2</v>
      </c>
      <c r="AV838" s="4"/>
      <c r="AW838" s="4"/>
      <c r="AX838" s="4"/>
      <c r="AY838" s="4"/>
      <c r="AZ838" s="4">
        <v>164</v>
      </c>
      <c r="BA838" s="4">
        <v>190</v>
      </c>
      <c r="BB838" s="4"/>
      <c r="BC838" s="4" t="s">
        <v>4697</v>
      </c>
      <c r="BD838" s="5" t="str">
        <f>HYPERLINK("http://dx.doi.org/10.1080/10511482.2019.1655468","http://dx.doi.org/10.1080/10511482.2019.1655468")</f>
        <v>http://dx.doi.org/10.1080/10511482.2019.1655468</v>
      </c>
      <c r="BE838" s="4"/>
      <c r="BF838" s="4" t="s">
        <v>4140</v>
      </c>
      <c r="BG838" s="4"/>
      <c r="BH838" s="4"/>
      <c r="BI838" s="4">
        <v>33013148</v>
      </c>
      <c r="BJ838" s="4" t="s">
        <v>4698</v>
      </c>
      <c r="BK838" s="4"/>
      <c r="BL838" s="4"/>
      <c r="BM838" s="4"/>
      <c r="BN838" s="4"/>
      <c r="BO838" s="4"/>
      <c r="BP838" s="4"/>
      <c r="BQ838" s="4"/>
      <c r="BR838" s="4"/>
      <c r="BS838" s="4"/>
      <c r="BT838" s="4"/>
      <c r="BU838" s="12" t="s">
        <v>7222</v>
      </c>
      <c r="BV838" s="12" t="s">
        <v>7188</v>
      </c>
      <c r="BW838" s="12" t="s">
        <v>7189</v>
      </c>
    </row>
    <row r="839" spans="1:75" ht="12.75" customHeight="1">
      <c r="A839" s="4" t="s">
        <v>63</v>
      </c>
      <c r="B839" s="4" t="s">
        <v>7159</v>
      </c>
      <c r="C839" s="4"/>
      <c r="D839" s="4"/>
      <c r="E839" s="4"/>
      <c r="F839" s="4" t="s">
        <v>7160</v>
      </c>
      <c r="G839" s="4"/>
      <c r="H839" s="4"/>
      <c r="I839" s="4" t="s">
        <v>7161</v>
      </c>
      <c r="J839" s="4" t="s">
        <v>4691</v>
      </c>
      <c r="K839" s="4"/>
      <c r="L839" s="4"/>
      <c r="M839" s="4"/>
      <c r="N839" s="4"/>
      <c r="O839" s="4"/>
      <c r="P839" s="4"/>
      <c r="Q839" s="4"/>
      <c r="R839" s="4"/>
      <c r="S839" s="4"/>
      <c r="T839" s="4" t="s">
        <v>7162</v>
      </c>
      <c r="U839" s="4"/>
      <c r="V839" s="4"/>
      <c r="W839" s="4"/>
      <c r="X839" s="4"/>
      <c r="Y839" s="4"/>
      <c r="Z839" s="4"/>
      <c r="AA839" s="4"/>
      <c r="AB839" s="4"/>
      <c r="AC839" s="4"/>
      <c r="AD839" s="4"/>
      <c r="AE839" s="4"/>
      <c r="AF839" s="4"/>
      <c r="AG839" s="4"/>
      <c r="AH839" s="4"/>
      <c r="AI839" s="4"/>
      <c r="AJ839" s="4"/>
      <c r="AK839" s="4"/>
      <c r="AL839" s="4"/>
      <c r="AM839" s="4" t="s">
        <v>4694</v>
      </c>
      <c r="AN839" s="4" t="s">
        <v>4695</v>
      </c>
      <c r="AO839" s="4"/>
      <c r="AP839" s="4"/>
      <c r="AQ839" s="4"/>
      <c r="AR839" s="4" t="s">
        <v>4540</v>
      </c>
      <c r="AS839" s="4">
        <v>2024</v>
      </c>
      <c r="AT839" s="4">
        <v>34</v>
      </c>
      <c r="AU839" s="4">
        <v>4</v>
      </c>
      <c r="AV839" s="4"/>
      <c r="AW839" s="4"/>
      <c r="AX839" s="4"/>
      <c r="AY839" s="4"/>
      <c r="AZ839" s="4">
        <v>489</v>
      </c>
      <c r="BA839" s="4">
        <v>507</v>
      </c>
      <c r="BB839" s="4"/>
      <c r="BC839" s="4" t="s">
        <v>7163</v>
      </c>
      <c r="BD839" s="5" t="str">
        <f>HYPERLINK("http://dx.doi.org/10.1080/10511482.2024.2309952","http://dx.doi.org/10.1080/10511482.2024.2309952")</f>
        <v>http://dx.doi.org/10.1080/10511482.2024.2309952</v>
      </c>
      <c r="BE839" s="4"/>
      <c r="BF839" s="4" t="s">
        <v>6622</v>
      </c>
      <c r="BG839" s="4"/>
      <c r="BH839" s="4"/>
      <c r="BI839" s="4">
        <v>39157451</v>
      </c>
      <c r="BJ839" s="4" t="s">
        <v>7164</v>
      </c>
      <c r="BK839" s="4"/>
      <c r="BL839" s="4"/>
      <c r="BM839" s="4"/>
      <c r="BN839" s="4"/>
      <c r="BO839" s="4"/>
      <c r="BP839" s="4"/>
      <c r="BQ839" s="4"/>
      <c r="BR839" s="4"/>
      <c r="BS839" s="4"/>
      <c r="BT839" s="4"/>
      <c r="BU839" s="12" t="s">
        <v>7222</v>
      </c>
      <c r="BV839" s="12" t="s">
        <v>7188</v>
      </c>
      <c r="BW839" s="12" t="s">
        <v>7189</v>
      </c>
    </row>
    <row r="840" spans="1:75" ht="12.75" customHeight="1">
      <c r="A840" s="4" t="s">
        <v>63</v>
      </c>
      <c r="B840" s="4" t="s">
        <v>5329</v>
      </c>
      <c r="C840" s="4"/>
      <c r="D840" s="4"/>
      <c r="E840" s="4"/>
      <c r="F840" s="4" t="s">
        <v>5330</v>
      </c>
      <c r="G840" s="4"/>
      <c r="H840" s="4"/>
      <c r="I840" s="4" t="s">
        <v>5331</v>
      </c>
      <c r="J840" s="4" t="s">
        <v>1193</v>
      </c>
      <c r="K840" s="4"/>
      <c r="L840" s="4"/>
      <c r="M840" s="4"/>
      <c r="N840" s="4"/>
      <c r="O840" s="4"/>
      <c r="P840" s="4"/>
      <c r="Q840" s="4"/>
      <c r="R840" s="4"/>
      <c r="S840" s="4"/>
      <c r="T840" s="4" t="s">
        <v>5332</v>
      </c>
      <c r="U840" s="4"/>
      <c r="V840" s="4"/>
      <c r="W840" s="4"/>
      <c r="X840" s="4"/>
      <c r="Y840" s="4" t="s">
        <v>4684</v>
      </c>
      <c r="Z840" s="4" t="s">
        <v>5333</v>
      </c>
      <c r="AA840" s="4"/>
      <c r="AB840" s="4"/>
      <c r="AC840" s="4"/>
      <c r="AD840" s="4"/>
      <c r="AE840" s="4"/>
      <c r="AF840" s="4"/>
      <c r="AG840" s="4"/>
      <c r="AH840" s="4"/>
      <c r="AI840" s="4"/>
      <c r="AJ840" s="4"/>
      <c r="AK840" s="4"/>
      <c r="AL840" s="4"/>
      <c r="AM840" s="4" t="s">
        <v>1194</v>
      </c>
      <c r="AN840" s="4" t="s">
        <v>5334</v>
      </c>
      <c r="AO840" s="4"/>
      <c r="AP840" s="4"/>
      <c r="AQ840" s="4"/>
      <c r="AR840" s="4" t="s">
        <v>78</v>
      </c>
      <c r="AS840" s="4">
        <v>2021</v>
      </c>
      <c r="AT840" s="4">
        <v>190</v>
      </c>
      <c r="AU840" s="4">
        <v>5</v>
      </c>
      <c r="AV840" s="4"/>
      <c r="AW840" s="4"/>
      <c r="AX840" s="4"/>
      <c r="AY840" s="4"/>
      <c r="AZ840" s="4">
        <v>798</v>
      </c>
      <c r="BA840" s="4">
        <v>806</v>
      </c>
      <c r="BB840" s="4"/>
      <c r="BC840" s="4" t="s">
        <v>5335</v>
      </c>
      <c r="BD840" s="5" t="str">
        <f>HYPERLINK("http://dx.doi.org/10.1093/aje/kwaa220","http://dx.doi.org/10.1093/aje/kwaa220")</f>
        <v>http://dx.doi.org/10.1093/aje/kwaa220</v>
      </c>
      <c r="BE840" s="4"/>
      <c r="BF840" s="4"/>
      <c r="BG840" s="4"/>
      <c r="BH840" s="4"/>
      <c r="BI840" s="4">
        <v>33047782</v>
      </c>
      <c r="BJ840" s="4" t="s">
        <v>5336</v>
      </c>
      <c r="BK840" s="4"/>
      <c r="BL840" s="4"/>
      <c r="BM840" s="4"/>
      <c r="BN840" s="4"/>
      <c r="BO840" s="4"/>
      <c r="BP840" s="4"/>
      <c r="BQ840" s="4"/>
      <c r="BR840" s="4"/>
      <c r="BS840" s="4"/>
      <c r="BT840" s="4"/>
      <c r="BU840" s="12" t="s">
        <v>7222</v>
      </c>
      <c r="BV840" s="12" t="s">
        <v>7188</v>
      </c>
      <c r="BW840" s="12" t="s">
        <v>7189</v>
      </c>
    </row>
    <row r="841" spans="1:75" ht="12.75" customHeight="1">
      <c r="A841" s="3" t="s">
        <v>63</v>
      </c>
      <c r="B841" s="3" t="s">
        <v>3599</v>
      </c>
      <c r="C841" s="3"/>
      <c r="D841" s="3"/>
      <c r="E841" s="3"/>
      <c r="F841" s="3" t="s">
        <v>3600</v>
      </c>
      <c r="G841" s="3"/>
      <c r="H841" s="3"/>
      <c r="I841" s="3" t="s">
        <v>3601</v>
      </c>
      <c r="J841" s="3" t="s">
        <v>1004</v>
      </c>
      <c r="K841" s="3"/>
      <c r="L841" s="3"/>
      <c r="M841" s="3"/>
      <c r="N841" s="3"/>
      <c r="O841" s="3"/>
      <c r="P841" s="3"/>
      <c r="Q841" s="3"/>
      <c r="R841" s="3"/>
      <c r="S841" s="3"/>
      <c r="T841" s="3" t="s">
        <v>3602</v>
      </c>
      <c r="U841" s="3"/>
      <c r="V841" s="3"/>
      <c r="W841" s="3"/>
      <c r="X841" s="3"/>
      <c r="Y841" s="3" t="s">
        <v>3603</v>
      </c>
      <c r="Z841" s="3" t="s">
        <v>3604</v>
      </c>
      <c r="AA841" s="3"/>
      <c r="AB841" s="3"/>
      <c r="AC841" s="3"/>
      <c r="AD841" s="3"/>
      <c r="AE841" s="3"/>
      <c r="AF841" s="3"/>
      <c r="AG841" s="3"/>
      <c r="AH841" s="3"/>
      <c r="AI841" s="3"/>
      <c r="AJ841" s="3"/>
      <c r="AK841" s="3"/>
      <c r="AL841" s="3"/>
      <c r="AM841" s="3" t="s">
        <v>1006</v>
      </c>
      <c r="AN841" s="3" t="s">
        <v>1007</v>
      </c>
      <c r="AO841" s="3"/>
      <c r="AP841" s="3"/>
      <c r="AQ841" s="3"/>
      <c r="AR841" s="3" t="s">
        <v>68</v>
      </c>
      <c r="AS841" s="3">
        <v>2018</v>
      </c>
      <c r="AT841" s="3">
        <v>21</v>
      </c>
      <c r="AU841" s="3">
        <v>5</v>
      </c>
      <c r="AV841" s="3"/>
      <c r="AW841" s="3"/>
      <c r="AX841" s="3"/>
      <c r="AY841" s="3"/>
      <c r="AZ841" s="3">
        <v>981</v>
      </c>
      <c r="BA841" s="3">
        <v>991</v>
      </c>
      <c r="BB841" s="3"/>
      <c r="BC841" s="3" t="s">
        <v>3605</v>
      </c>
      <c r="BD841" s="15" t="str">
        <f>HYPERLINK("http://dx.doi.org/10.1017/S1368980017003226","http://dx.doi.org/10.1017/S1368980017003226")</f>
        <v>http://dx.doi.org/10.1017/S1368980017003226</v>
      </c>
      <c r="BE841" s="3"/>
      <c r="BF841" s="3"/>
      <c r="BG841" s="3"/>
      <c r="BH841" s="3"/>
      <c r="BI841" s="3">
        <v>29284549</v>
      </c>
      <c r="BJ841" s="3" t="s">
        <v>3606</v>
      </c>
      <c r="BK841" s="3"/>
      <c r="BL841" s="3"/>
      <c r="BM841" s="3"/>
      <c r="BN841" s="3"/>
      <c r="BO841" s="3"/>
      <c r="BP841" s="3"/>
      <c r="BQ841" s="3"/>
      <c r="BR841" s="3"/>
      <c r="BS841" s="3"/>
      <c r="BT841" s="3"/>
      <c r="BU841" s="1" t="s">
        <v>7524</v>
      </c>
      <c r="BV841" s="2" t="s">
        <v>7214</v>
      </c>
      <c r="BW841" s="2" t="s">
        <v>7205</v>
      </c>
    </row>
    <row r="842" spans="1:75" ht="12.75" customHeight="1">
      <c r="A842" s="4" t="s">
        <v>63</v>
      </c>
      <c r="B842" s="4" t="s">
        <v>6567</v>
      </c>
      <c r="C842" s="4"/>
      <c r="D842" s="4"/>
      <c r="E842" s="4"/>
      <c r="F842" s="4" t="s">
        <v>6568</v>
      </c>
      <c r="G842" s="4"/>
      <c r="H842" s="4"/>
      <c r="I842" s="4" t="s">
        <v>6569</v>
      </c>
      <c r="J842" s="4" t="s">
        <v>87</v>
      </c>
      <c r="K842" s="4"/>
      <c r="L842" s="4"/>
      <c r="M842" s="4"/>
      <c r="N842" s="4"/>
      <c r="O842" s="4"/>
      <c r="P842" s="4"/>
      <c r="Q842" s="4"/>
      <c r="R842" s="4"/>
      <c r="S842" s="4"/>
      <c r="T842" s="4" t="s">
        <v>6570</v>
      </c>
      <c r="U842" s="4"/>
      <c r="V842" s="4"/>
      <c r="W842" s="4"/>
      <c r="X842" s="4"/>
      <c r="Y842" s="4"/>
      <c r="Z842" s="4" t="s">
        <v>6571</v>
      </c>
      <c r="AA842" s="4"/>
      <c r="AB842" s="4"/>
      <c r="AC842" s="4"/>
      <c r="AD842" s="4"/>
      <c r="AE842" s="4"/>
      <c r="AF842" s="4"/>
      <c r="AG842" s="4"/>
      <c r="AH842" s="4"/>
      <c r="AI842" s="4"/>
      <c r="AJ842" s="4"/>
      <c r="AK842" s="4"/>
      <c r="AL842" s="4"/>
      <c r="AM842" s="4" t="s">
        <v>91</v>
      </c>
      <c r="AN842" s="4" t="s">
        <v>113</v>
      </c>
      <c r="AO842" s="4"/>
      <c r="AP842" s="4"/>
      <c r="AQ842" s="4"/>
      <c r="AR842" s="4" t="s">
        <v>78</v>
      </c>
      <c r="AS842" s="4">
        <v>2023</v>
      </c>
      <c r="AT842" s="4">
        <v>60</v>
      </c>
      <c r="AU842" s="4">
        <v>6</v>
      </c>
      <c r="AV842" s="4"/>
      <c r="AW842" s="4"/>
      <c r="AX842" s="4"/>
      <c r="AY842" s="4"/>
      <c r="AZ842" s="4">
        <v>1139</v>
      </c>
      <c r="BA842" s="4">
        <v>1157</v>
      </c>
      <c r="BB842" s="4"/>
      <c r="BC842" s="4" t="s">
        <v>6572</v>
      </c>
      <c r="BD842" s="5" t="str">
        <f>HYPERLINK("http://dx.doi.org/10.1177/00420980221135385","http://dx.doi.org/10.1177/00420980221135385")</f>
        <v>http://dx.doi.org/10.1177/00420980221135385</v>
      </c>
      <c r="BE842" s="4"/>
      <c r="BF842" s="4" t="s">
        <v>6444</v>
      </c>
      <c r="BG842" s="4"/>
      <c r="BH842" s="4"/>
      <c r="BI842" s="4"/>
      <c r="BJ842" s="4" t="s">
        <v>6573</v>
      </c>
      <c r="BK842" s="4"/>
      <c r="BL842" s="4"/>
      <c r="BM842" s="4"/>
      <c r="BN842" s="4"/>
      <c r="BO842" s="4"/>
      <c r="BP842" s="4"/>
      <c r="BQ842" s="4"/>
      <c r="BR842" s="4"/>
      <c r="BS842" s="4"/>
      <c r="BT842" s="4"/>
      <c r="BU842" s="12" t="s">
        <v>7222</v>
      </c>
      <c r="BV842" s="12" t="s">
        <v>7188</v>
      </c>
      <c r="BW842" s="12" t="s">
        <v>7189</v>
      </c>
    </row>
    <row r="843" spans="1:75" ht="12.75" customHeight="1">
      <c r="A843" s="4" t="s">
        <v>63</v>
      </c>
      <c r="B843" s="4" t="s">
        <v>5337</v>
      </c>
      <c r="C843" s="4"/>
      <c r="D843" s="4"/>
      <c r="E843" s="4"/>
      <c r="F843" s="4" t="s">
        <v>5338</v>
      </c>
      <c r="G843" s="4"/>
      <c r="H843" s="4"/>
      <c r="I843" s="4" t="s">
        <v>5339</v>
      </c>
      <c r="J843" s="4" t="s">
        <v>5340</v>
      </c>
      <c r="K843" s="4"/>
      <c r="L843" s="4"/>
      <c r="M843" s="4"/>
      <c r="N843" s="4"/>
      <c r="O843" s="4"/>
      <c r="P843" s="4"/>
      <c r="Q843" s="4"/>
      <c r="R843" s="4"/>
      <c r="S843" s="4"/>
      <c r="T843" s="4" t="s">
        <v>5341</v>
      </c>
      <c r="U843" s="4"/>
      <c r="V843" s="4"/>
      <c r="W843" s="4"/>
      <c r="X843" s="4"/>
      <c r="Y843" s="4" t="s">
        <v>5342</v>
      </c>
      <c r="Z843" s="4"/>
      <c r="AA843" s="4"/>
      <c r="AB843" s="4"/>
      <c r="AC843" s="4"/>
      <c r="AD843" s="4"/>
      <c r="AE843" s="4"/>
      <c r="AF843" s="4"/>
      <c r="AG843" s="4"/>
      <c r="AH843" s="4"/>
      <c r="AI843" s="4"/>
      <c r="AJ843" s="4"/>
      <c r="AK843" s="4"/>
      <c r="AL843" s="4"/>
      <c r="AM843" s="4" t="s">
        <v>5343</v>
      </c>
      <c r="AN843" s="4" t="s">
        <v>5344</v>
      </c>
      <c r="AO843" s="4"/>
      <c r="AP843" s="4"/>
      <c r="AQ843" s="4"/>
      <c r="AR843" s="4" t="s">
        <v>66</v>
      </c>
      <c r="AS843" s="4">
        <v>2021</v>
      </c>
      <c r="AT843" s="4">
        <v>44</v>
      </c>
      <c r="AU843" s="4">
        <v>6</v>
      </c>
      <c r="AV843" s="4"/>
      <c r="AW843" s="4"/>
      <c r="AX843" s="4"/>
      <c r="AY843" s="4"/>
      <c r="AZ843" s="4"/>
      <c r="BA843" s="4"/>
      <c r="BB843" s="4" t="s">
        <v>5345</v>
      </c>
      <c r="BC843" s="4" t="s">
        <v>5346</v>
      </c>
      <c r="BD843" s="5" t="str">
        <f>HYPERLINK("http://dx.doi.org/10.1093/sleep/zsaa292","http://dx.doi.org/10.1093/sleep/zsaa292")</f>
        <v>http://dx.doi.org/10.1093/sleep/zsaa292</v>
      </c>
      <c r="BE843" s="4"/>
      <c r="BF843" s="4" t="s">
        <v>5047</v>
      </c>
      <c r="BG843" s="4"/>
      <c r="BH843" s="4"/>
      <c r="BI843" s="4">
        <v>33417708</v>
      </c>
      <c r="BJ843" s="4" t="s">
        <v>5347</v>
      </c>
      <c r="BK843" s="4"/>
      <c r="BL843" s="4"/>
      <c r="BM843" s="4"/>
      <c r="BN843" s="4"/>
      <c r="BO843" s="4"/>
      <c r="BP843" s="4"/>
      <c r="BQ843" s="4"/>
      <c r="BR843" s="4"/>
      <c r="BS843" s="4"/>
      <c r="BT843" s="4"/>
      <c r="BU843" s="12" t="s">
        <v>7222</v>
      </c>
      <c r="BV843" s="12" t="s">
        <v>7188</v>
      </c>
      <c r="BW843" s="12" t="s">
        <v>7189</v>
      </c>
    </row>
    <row r="844" spans="1:75" ht="12.75" customHeight="1">
      <c r="A844" s="4" t="s">
        <v>63</v>
      </c>
      <c r="B844" s="4" t="s">
        <v>4699</v>
      </c>
      <c r="C844" s="4"/>
      <c r="D844" s="4"/>
      <c r="E844" s="4"/>
      <c r="F844" s="4" t="s">
        <v>4700</v>
      </c>
      <c r="G844" s="4"/>
      <c r="H844" s="4"/>
      <c r="I844" s="4" t="s">
        <v>4701</v>
      </c>
      <c r="J844" s="4" t="s">
        <v>2418</v>
      </c>
      <c r="K844" s="4"/>
      <c r="L844" s="4"/>
      <c r="M844" s="4"/>
      <c r="N844" s="4"/>
      <c r="O844" s="4"/>
      <c r="P844" s="4"/>
      <c r="Q844" s="4"/>
      <c r="R844" s="4"/>
      <c r="S844" s="4"/>
      <c r="T844" s="4" t="s">
        <v>4702</v>
      </c>
      <c r="U844" s="4"/>
      <c r="V844" s="4"/>
      <c r="W844" s="4"/>
      <c r="X844" s="4"/>
      <c r="Y844" s="4" t="s">
        <v>4703</v>
      </c>
      <c r="Z844" s="4" t="s">
        <v>4704</v>
      </c>
      <c r="AA844" s="4"/>
      <c r="AB844" s="4"/>
      <c r="AC844" s="4"/>
      <c r="AD844" s="4"/>
      <c r="AE844" s="4"/>
      <c r="AF844" s="4"/>
      <c r="AG844" s="4"/>
      <c r="AH844" s="4"/>
      <c r="AI844" s="4"/>
      <c r="AJ844" s="4"/>
      <c r="AK844" s="4"/>
      <c r="AL844" s="4"/>
      <c r="AM844" s="4" t="s">
        <v>2422</v>
      </c>
      <c r="AN844" s="4"/>
      <c r="AO844" s="4"/>
      <c r="AP844" s="4"/>
      <c r="AQ844" s="4"/>
      <c r="AR844" s="4" t="s">
        <v>78</v>
      </c>
      <c r="AS844" s="4">
        <v>2020</v>
      </c>
      <c r="AT844" s="4">
        <v>9</v>
      </c>
      <c r="AU844" s="4">
        <v>5</v>
      </c>
      <c r="AV844" s="4"/>
      <c r="AW844" s="4"/>
      <c r="AX844" s="4"/>
      <c r="AY844" s="4"/>
      <c r="AZ844" s="4"/>
      <c r="BA844" s="4"/>
      <c r="BB844" s="4" t="s">
        <v>4705</v>
      </c>
      <c r="BC844" s="4" t="s">
        <v>4706</v>
      </c>
      <c r="BD844" s="5" t="str">
        <f>HYPERLINK("http://dx.doi.org/10.2196/16787","http://dx.doi.org/10.2196/16787")</f>
        <v>http://dx.doi.org/10.2196/16787</v>
      </c>
      <c r="BE844" s="4"/>
      <c r="BF844" s="4"/>
      <c r="BG844" s="4"/>
      <c r="BH844" s="4"/>
      <c r="BI844" s="4">
        <v>32427111</v>
      </c>
      <c r="BJ844" s="4" t="s">
        <v>4707</v>
      </c>
      <c r="BK844" s="4"/>
      <c r="BL844" s="4"/>
      <c r="BM844" s="4"/>
      <c r="BN844" s="4"/>
      <c r="BO844" s="4"/>
      <c r="BP844" s="4"/>
      <c r="BQ844" s="4"/>
      <c r="BR844" s="4"/>
      <c r="BS844" s="4"/>
      <c r="BT844" s="4"/>
      <c r="BU844" s="12" t="s">
        <v>7371</v>
      </c>
      <c r="BV844" s="12" t="s">
        <v>7188</v>
      </c>
      <c r="BW844" s="12" t="s">
        <v>7189</v>
      </c>
    </row>
    <row r="845" spans="1:75" ht="12.75" customHeight="1">
      <c r="A845" s="4" t="s">
        <v>63</v>
      </c>
      <c r="B845" s="4" t="s">
        <v>7165</v>
      </c>
      <c r="C845" s="4"/>
      <c r="D845" s="4"/>
      <c r="E845" s="4"/>
      <c r="F845" s="4" t="s">
        <v>7166</v>
      </c>
      <c r="G845" s="4"/>
      <c r="H845" s="4"/>
      <c r="I845" s="4" t="s">
        <v>7167</v>
      </c>
      <c r="J845" s="4" t="s">
        <v>650</v>
      </c>
      <c r="K845" s="4"/>
      <c r="L845" s="4"/>
      <c r="M845" s="4"/>
      <c r="N845" s="4"/>
      <c r="O845" s="4"/>
      <c r="P845" s="4"/>
      <c r="Q845" s="4"/>
      <c r="R845" s="4"/>
      <c r="S845" s="4"/>
      <c r="T845" s="4" t="s">
        <v>7168</v>
      </c>
      <c r="U845" s="4"/>
      <c r="V845" s="4"/>
      <c r="W845" s="4"/>
      <c r="X845" s="4"/>
      <c r="Y845" s="4"/>
      <c r="Z845" s="4" t="s">
        <v>7169</v>
      </c>
      <c r="AA845" s="4"/>
      <c r="AB845" s="4"/>
      <c r="AC845" s="4"/>
      <c r="AD845" s="4"/>
      <c r="AE845" s="4"/>
      <c r="AF845" s="4"/>
      <c r="AG845" s="4"/>
      <c r="AH845" s="4"/>
      <c r="AI845" s="4"/>
      <c r="AJ845" s="4"/>
      <c r="AK845" s="4"/>
      <c r="AL845" s="4"/>
      <c r="AM845" s="4" t="s">
        <v>654</v>
      </c>
      <c r="AN845" s="4" t="s">
        <v>655</v>
      </c>
      <c r="AO845" s="4"/>
      <c r="AP845" s="4"/>
      <c r="AQ845" s="4"/>
      <c r="AR845" s="4" t="s">
        <v>68</v>
      </c>
      <c r="AS845" s="4">
        <v>2024</v>
      </c>
      <c r="AT845" s="4">
        <v>66</v>
      </c>
      <c r="AU845" s="4">
        <v>4</v>
      </c>
      <c r="AV845" s="4"/>
      <c r="AW845" s="4"/>
      <c r="AX845" s="4"/>
      <c r="AY845" s="4"/>
      <c r="AZ845" s="4">
        <v>681</v>
      </c>
      <c r="BA845" s="4">
        <v>689</v>
      </c>
      <c r="BB845" s="4"/>
      <c r="BC845" s="4" t="s">
        <v>7170</v>
      </c>
      <c r="BD845" s="5" t="str">
        <f>HYPERLINK("http://dx.doi.org/10.1016/j.amepre.2023.11.005","http://dx.doi.org/10.1016/j.amepre.2023.11.005")</f>
        <v>http://dx.doi.org/10.1016/j.amepre.2023.11.005</v>
      </c>
      <c r="BE845" s="4"/>
      <c r="BF845" s="4" t="s">
        <v>6813</v>
      </c>
      <c r="BG845" s="4"/>
      <c r="BH845" s="4"/>
      <c r="BI845" s="4">
        <v>37972799</v>
      </c>
      <c r="BJ845" s="4" t="s">
        <v>7171</v>
      </c>
      <c r="BK845" s="4"/>
      <c r="BL845" s="4"/>
      <c r="BM845" s="4"/>
      <c r="BN845" s="4"/>
      <c r="BO845" s="4"/>
      <c r="BP845" s="4"/>
      <c r="BQ845" s="4"/>
      <c r="BR845" s="4"/>
      <c r="BS845" s="4"/>
      <c r="BT845" s="4"/>
      <c r="BU845" s="12" t="s">
        <v>7222</v>
      </c>
      <c r="BV845" s="12" t="s">
        <v>7188</v>
      </c>
      <c r="BW845" s="12" t="s">
        <v>7189</v>
      </c>
    </row>
    <row r="846" spans="1:75" ht="12.75" customHeight="1">
      <c r="A846" s="4" t="s">
        <v>63</v>
      </c>
      <c r="B846" s="4" t="s">
        <v>5348</v>
      </c>
      <c r="C846" s="4"/>
      <c r="D846" s="4"/>
      <c r="E846" s="4"/>
      <c r="F846" s="4" t="s">
        <v>5349</v>
      </c>
      <c r="G846" s="4"/>
      <c r="H846" s="4"/>
      <c r="I846" s="4" t="s">
        <v>5350</v>
      </c>
      <c r="J846" s="4" t="s">
        <v>650</v>
      </c>
      <c r="K846" s="4"/>
      <c r="L846" s="4"/>
      <c r="M846" s="4"/>
      <c r="N846" s="4"/>
      <c r="O846" s="4"/>
      <c r="P846" s="4"/>
      <c r="Q846" s="4"/>
      <c r="R846" s="4"/>
      <c r="S846" s="4"/>
      <c r="T846" s="4" t="s">
        <v>5351</v>
      </c>
      <c r="U846" s="4"/>
      <c r="V846" s="4"/>
      <c r="W846" s="4"/>
      <c r="X846" s="4"/>
      <c r="Y846" s="4" t="s">
        <v>4684</v>
      </c>
      <c r="Z846" s="4" t="s">
        <v>5352</v>
      </c>
      <c r="AA846" s="4"/>
      <c r="AB846" s="4"/>
      <c r="AC846" s="4"/>
      <c r="AD846" s="4"/>
      <c r="AE846" s="4"/>
      <c r="AF846" s="4"/>
      <c r="AG846" s="4"/>
      <c r="AH846" s="4"/>
      <c r="AI846" s="4"/>
      <c r="AJ846" s="4"/>
      <c r="AK846" s="4"/>
      <c r="AL846" s="4"/>
      <c r="AM846" s="4" t="s">
        <v>654</v>
      </c>
      <c r="AN846" s="4" t="s">
        <v>655</v>
      </c>
      <c r="AO846" s="4"/>
      <c r="AP846" s="4"/>
      <c r="AQ846" s="4"/>
      <c r="AR846" s="4" t="s">
        <v>64</v>
      </c>
      <c r="AS846" s="4">
        <v>2021</v>
      </c>
      <c r="AT846" s="4">
        <v>61</v>
      </c>
      <c r="AU846" s="4">
        <v>5</v>
      </c>
      <c r="AV846" s="4"/>
      <c r="AW846" s="4"/>
      <c r="AX846" s="4"/>
      <c r="AY846" s="4"/>
      <c r="AZ846" s="4">
        <v>683</v>
      </c>
      <c r="BA846" s="4">
        <v>691</v>
      </c>
      <c r="BB846" s="4"/>
      <c r="BC846" s="4" t="s">
        <v>5353</v>
      </c>
      <c r="BD846" s="5" t="str">
        <f>HYPERLINK("http://dx.doi.org/10.1016/j.amepre.2021.04.023","http://dx.doi.org/10.1016/j.amepre.2021.04.023")</f>
        <v>http://dx.doi.org/10.1016/j.amepre.2021.04.023</v>
      </c>
      <c r="BE846" s="4"/>
      <c r="BF846" s="4" t="s">
        <v>4924</v>
      </c>
      <c r="BG846" s="4"/>
      <c r="BH846" s="4"/>
      <c r="BI846" s="4">
        <v>34226093</v>
      </c>
      <c r="BJ846" s="4" t="s">
        <v>5354</v>
      </c>
      <c r="BK846" s="4"/>
      <c r="BL846" s="4"/>
      <c r="BM846" s="4"/>
      <c r="BN846" s="4"/>
      <c r="BO846" s="4"/>
      <c r="BP846" s="4"/>
      <c r="BQ846" s="4"/>
      <c r="BR846" s="4"/>
      <c r="BS846" s="4"/>
      <c r="BT846" s="4"/>
      <c r="BU846" s="12" t="s">
        <v>7222</v>
      </c>
      <c r="BV846" s="12" t="s">
        <v>7188</v>
      </c>
      <c r="BW846" s="12" t="s">
        <v>7189</v>
      </c>
    </row>
    <row r="847" spans="1:75" ht="12.75" customHeight="1">
      <c r="A847" s="4" t="s">
        <v>63</v>
      </c>
      <c r="B847" s="4" t="s">
        <v>6574</v>
      </c>
      <c r="C847" s="4"/>
      <c r="D847" s="4"/>
      <c r="E847" s="4"/>
      <c r="F847" s="4" t="s">
        <v>6575</v>
      </c>
      <c r="G847" s="4"/>
      <c r="H847" s="4"/>
      <c r="I847" s="4" t="s">
        <v>6576</v>
      </c>
      <c r="J847" s="4" t="s">
        <v>2382</v>
      </c>
      <c r="K847" s="4"/>
      <c r="L847" s="4"/>
      <c r="M847" s="4"/>
      <c r="N847" s="4"/>
      <c r="O847" s="4"/>
      <c r="P847" s="4"/>
      <c r="Q847" s="4"/>
      <c r="R847" s="4"/>
      <c r="S847" s="4"/>
      <c r="T847" s="4" t="s">
        <v>6577</v>
      </c>
      <c r="U847" s="4"/>
      <c r="V847" s="4"/>
      <c r="W847" s="4"/>
      <c r="X847" s="4"/>
      <c r="Y847" s="4"/>
      <c r="Z847" s="4"/>
      <c r="AA847" s="4"/>
      <c r="AB847" s="4"/>
      <c r="AC847" s="4"/>
      <c r="AD847" s="4"/>
      <c r="AE847" s="4"/>
      <c r="AF847" s="4"/>
      <c r="AG847" s="4"/>
      <c r="AH847" s="4"/>
      <c r="AI847" s="4"/>
      <c r="AJ847" s="4"/>
      <c r="AK847" s="4"/>
      <c r="AL847" s="4"/>
      <c r="AM847" s="4"/>
      <c r="AN847" s="4" t="s">
        <v>2384</v>
      </c>
      <c r="AO847" s="4"/>
      <c r="AP847" s="4"/>
      <c r="AQ847" s="4"/>
      <c r="AR847" s="4" t="s">
        <v>5425</v>
      </c>
      <c r="AS847" s="4">
        <v>2023</v>
      </c>
      <c r="AT847" s="4">
        <v>23</v>
      </c>
      <c r="AU847" s="4">
        <v>1</v>
      </c>
      <c r="AV847" s="4"/>
      <c r="AW847" s="4"/>
      <c r="AX847" s="4"/>
      <c r="AY847" s="4"/>
      <c r="AZ847" s="4"/>
      <c r="BA847" s="4"/>
      <c r="BB847" s="4">
        <v>2137</v>
      </c>
      <c r="BC847" s="4" t="s">
        <v>6578</v>
      </c>
      <c r="BD847" s="5" t="str">
        <f>HYPERLINK("http://dx.doi.org/10.1186/s12889-023-16970-4","http://dx.doi.org/10.1186/s12889-023-16970-4")</f>
        <v>http://dx.doi.org/10.1186/s12889-023-16970-4</v>
      </c>
      <c r="BE847" s="4"/>
      <c r="BF847" s="4"/>
      <c r="BG847" s="4"/>
      <c r="BH847" s="4"/>
      <c r="BI847" s="4">
        <v>37915015</v>
      </c>
      <c r="BJ847" s="4" t="s">
        <v>6579</v>
      </c>
      <c r="BK847" s="4"/>
      <c r="BL847" s="4"/>
      <c r="BM847" s="4"/>
      <c r="BN847" s="4"/>
      <c r="BO847" s="4"/>
      <c r="BP847" s="4"/>
      <c r="BQ847" s="4"/>
      <c r="BR847" s="4"/>
      <c r="BS847" s="4"/>
      <c r="BT847" s="4"/>
      <c r="BU847" s="12" t="s">
        <v>7222</v>
      </c>
      <c r="BV847" s="12" t="s">
        <v>7188</v>
      </c>
      <c r="BW847" s="12" t="s">
        <v>7189</v>
      </c>
    </row>
    <row r="848" spans="1:75" ht="12.75" customHeight="1">
      <c r="A848" s="4" t="s">
        <v>63</v>
      </c>
      <c r="B848" s="4" t="s">
        <v>4100</v>
      </c>
      <c r="C848" s="4"/>
      <c r="D848" s="4"/>
      <c r="E848" s="4"/>
      <c r="F848" s="4" t="s">
        <v>4101</v>
      </c>
      <c r="G848" s="4"/>
      <c r="H848" s="4"/>
      <c r="I848" s="4" t="s">
        <v>4102</v>
      </c>
      <c r="J848" s="4" t="s">
        <v>779</v>
      </c>
      <c r="K848" s="4"/>
      <c r="L848" s="4"/>
      <c r="M848" s="4"/>
      <c r="N848" s="4"/>
      <c r="O848" s="4"/>
      <c r="P848" s="4"/>
      <c r="Q848" s="4"/>
      <c r="R848" s="4"/>
      <c r="S848" s="4"/>
      <c r="T848" s="4" t="s">
        <v>4103</v>
      </c>
      <c r="U848" s="4"/>
      <c r="V848" s="4"/>
      <c r="W848" s="4"/>
      <c r="X848" s="4"/>
      <c r="Y848" s="4" t="s">
        <v>4104</v>
      </c>
      <c r="Z848" s="4" t="s">
        <v>4105</v>
      </c>
      <c r="AA848" s="4"/>
      <c r="AB848" s="4"/>
      <c r="AC848" s="4"/>
      <c r="AD848" s="4"/>
      <c r="AE848" s="4"/>
      <c r="AF848" s="4"/>
      <c r="AG848" s="4"/>
      <c r="AH848" s="4"/>
      <c r="AI848" s="4"/>
      <c r="AJ848" s="4"/>
      <c r="AK848" s="4"/>
      <c r="AL848" s="4"/>
      <c r="AM848" s="4"/>
      <c r="AN848" s="4" t="s">
        <v>782</v>
      </c>
      <c r="AO848" s="4"/>
      <c r="AP848" s="4"/>
      <c r="AQ848" s="4"/>
      <c r="AR848" s="4" t="s">
        <v>4106</v>
      </c>
      <c r="AS848" s="4">
        <v>2019</v>
      </c>
      <c r="AT848" s="4">
        <v>16</v>
      </c>
      <c r="AU848" s="4"/>
      <c r="AV848" s="4"/>
      <c r="AW848" s="4"/>
      <c r="AX848" s="4"/>
      <c r="AY848" s="4"/>
      <c r="AZ848" s="4"/>
      <c r="BA848" s="4"/>
      <c r="BB848" s="4">
        <v>29</v>
      </c>
      <c r="BC848" s="4" t="s">
        <v>4107</v>
      </c>
      <c r="BD848" s="5" t="str">
        <f>HYPERLINK("http://dx.doi.org/10.1186/s12966-019-0793-6","http://dx.doi.org/10.1186/s12966-019-0793-6")</f>
        <v>http://dx.doi.org/10.1186/s12966-019-0793-6</v>
      </c>
      <c r="BE848" s="4"/>
      <c r="BF848" s="4"/>
      <c r="BG848" s="4"/>
      <c r="BH848" s="4"/>
      <c r="BI848" s="4">
        <v>30917831</v>
      </c>
      <c r="BJ848" s="4" t="s">
        <v>4108</v>
      </c>
      <c r="BK848" s="4"/>
      <c r="BL848" s="4"/>
      <c r="BM848" s="4"/>
      <c r="BN848" s="4"/>
      <c r="BO848" s="4"/>
      <c r="BP848" s="4"/>
      <c r="BQ848" s="4"/>
      <c r="BR848" s="4"/>
      <c r="BS848" s="4"/>
      <c r="BT848" s="4"/>
      <c r="BU848" s="12" t="s">
        <v>7222</v>
      </c>
      <c r="BV848" s="12" t="s">
        <v>7188</v>
      </c>
      <c r="BW848" s="12" t="s">
        <v>7189</v>
      </c>
    </row>
  </sheetData>
  <autoFilter ref="BS1:BW848" xr:uid="{00000000-0009-0000-0000-000003000000}"/>
  <phoneticPr fontId="12" type="noConversion"/>
  <conditionalFormatting sqref="BW1:BW848">
    <cfRule type="notContainsBlanks" dxfId="0" priority="1">
      <formula>LEN(TRIM(BW1))&gt;0</formula>
    </cfRule>
  </conditionalFormatting>
  <hyperlinks>
    <hyperlink ref="BD3" r:id="rId1" xr:uid="{00000000-0004-0000-0300-000000000000}"/>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savedrecs의 사본 (checklist 시험용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Youngjun Park</dc:creator>
  <cp:lastModifiedBy>jour</cp:lastModifiedBy>
  <dcterms:created xsi:type="dcterms:W3CDTF">1601-01-01T00:00:00Z</dcterms:created>
  <dcterms:modified xsi:type="dcterms:W3CDTF">2025-05-04T21:16:33Z</dcterms:modified>
</cp:coreProperties>
</file>