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A6A539AA-403D-A44A-8797-E9A4E0A7C3BF}" xr6:coauthVersionLast="47" xr6:coauthVersionMax="47" xr10:uidLastSave="{00000000-0000-0000-0000-000000000000}"/>
  <bookViews>
    <workbookView xWindow="0" yWindow="500" windowWidth="38400" windowHeight="23500" xr2:uid="{00000000-000D-0000-FFFF-FFFF00000000}"/>
  </bookViews>
  <sheets>
    <sheet name="Uprise A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2" l="1"/>
  <c r="G18" i="2"/>
  <c r="G17" i="2"/>
  <c r="G16" i="2"/>
  <c r="F17" i="2"/>
  <c r="F18" i="2"/>
  <c r="F19" i="2"/>
  <c r="F20" i="2"/>
  <c r="F21" i="2"/>
  <c r="F16" i="2"/>
  <c r="E17" i="2"/>
  <c r="E18" i="2"/>
  <c r="E19" i="2"/>
  <c r="E20" i="2"/>
  <c r="E21" i="2"/>
  <c r="E16" i="2"/>
  <c r="F11" i="2" l="1"/>
  <c r="F4" i="2" s="1"/>
  <c r="F8" i="2"/>
  <c r="F7" i="2"/>
  <c r="J5" i="2" l="1"/>
  <c r="K5" i="2" s="1"/>
  <c r="J4" i="2"/>
  <c r="K4" i="2" s="1"/>
  <c r="J7" i="2"/>
  <c r="K7" i="2" s="1"/>
  <c r="J8" i="2"/>
  <c r="K8" i="2" s="1"/>
  <c r="J9" i="2"/>
  <c r="K9" i="2" s="1"/>
  <c r="J11" i="2"/>
  <c r="K11" i="2" s="1"/>
  <c r="J2" i="2"/>
  <c r="K2" i="2" s="1"/>
  <c r="D4" i="2"/>
  <c r="D5" i="2"/>
  <c r="D6" i="2"/>
  <c r="D7" i="2"/>
  <c r="D8" i="2"/>
  <c r="D9" i="2"/>
  <c r="D10" i="2"/>
  <c r="D11" i="2"/>
  <c r="D3" i="2"/>
  <c r="D2" i="2"/>
  <c r="G11" i="2"/>
  <c r="G4" i="2" s="1"/>
  <c r="F10" i="2"/>
  <c r="F3" i="2" s="1"/>
  <c r="J3" i="2" s="1"/>
  <c r="K3" i="2" s="1"/>
  <c r="G10" i="2"/>
  <c r="H10" i="2" s="1"/>
  <c r="L10" i="2" s="1"/>
  <c r="M10" i="2" s="1"/>
  <c r="O10" i="2" s="1"/>
  <c r="G7" i="2"/>
  <c r="H7" i="2" s="1"/>
  <c r="L7" i="2" s="1"/>
  <c r="M7" i="2" s="1"/>
  <c r="O7" i="2" s="1"/>
  <c r="G8" i="2"/>
  <c r="H8" i="2" s="1"/>
  <c r="L8" i="2" s="1"/>
  <c r="M8" i="2" s="1"/>
  <c r="O8" i="2" s="1"/>
  <c r="H5" i="2"/>
  <c r="L5" i="2" s="1"/>
  <c r="M5" i="2" s="1"/>
  <c r="H9" i="2"/>
  <c r="L9" i="2" s="1"/>
  <c r="M9" i="2" s="1"/>
  <c r="O9" i="2" s="1"/>
  <c r="H2" i="2"/>
  <c r="L2" i="2" s="1"/>
  <c r="M2" i="2" s="1"/>
  <c r="O2" i="2" s="1"/>
  <c r="N2" i="2" l="1"/>
  <c r="D19" i="2"/>
  <c r="J10" i="2"/>
  <c r="K10" i="2" s="1"/>
  <c r="F6" i="2"/>
  <c r="J6" i="2" s="1"/>
  <c r="K6" i="2" s="1"/>
  <c r="G3" i="2"/>
  <c r="H3" i="2" s="1"/>
  <c r="L3" i="2" s="1"/>
  <c r="M3" i="2" s="1"/>
  <c r="O3" i="2" s="1"/>
  <c r="G6" i="2"/>
  <c r="H6" i="2" s="1"/>
  <c r="L6" i="2" s="1"/>
  <c r="M6" i="2" s="1"/>
  <c r="O6" i="2" s="1"/>
  <c r="P6" i="2" s="1"/>
  <c r="Q6" i="2" s="1"/>
  <c r="H4" i="2"/>
  <c r="L4" i="2" s="1"/>
  <c r="M4" i="2" s="1"/>
  <c r="O4" i="2" s="1"/>
  <c r="P4" i="2" s="1"/>
  <c r="N7" i="2"/>
  <c r="N10" i="2"/>
  <c r="N9" i="2"/>
  <c r="N8" i="2"/>
  <c r="N3" i="2"/>
  <c r="P10" i="2"/>
  <c r="Q10" i="2" s="1"/>
  <c r="P9" i="2"/>
  <c r="Q9" i="2" s="1"/>
  <c r="P8" i="2"/>
  <c r="Q8" i="2" s="1"/>
  <c r="D16" i="2" s="1"/>
  <c r="P7" i="2"/>
  <c r="Q7" i="2" s="1"/>
  <c r="D18" i="2" s="1"/>
  <c r="P5" i="2"/>
  <c r="Q5" i="2" s="1"/>
  <c r="P3" i="2"/>
  <c r="Q3" i="2" s="1"/>
  <c r="P2" i="2"/>
  <c r="Q2" i="2" s="1"/>
  <c r="H11" i="2"/>
  <c r="L11" i="2" s="1"/>
  <c r="M11" i="2" s="1"/>
  <c r="O11" i="2" s="1"/>
  <c r="N6" i="2" l="1"/>
  <c r="D17" i="2"/>
  <c r="N11" i="2"/>
  <c r="N4" i="2"/>
  <c r="Q4" i="2"/>
  <c r="D21" i="2" s="1"/>
  <c r="P11" i="2"/>
  <c r="Q11" i="2" s="1"/>
  <c r="D20" i="2" s="1"/>
</calcChain>
</file>

<file path=xl/sharedStrings.xml><?xml version="1.0" encoding="utf-8"?>
<sst xmlns="http://schemas.openxmlformats.org/spreadsheetml/2006/main" count="57" uniqueCount="44">
  <si>
    <t>Table</t>
  </si>
  <si>
    <t>fudge factor</t>
  </si>
  <si>
    <t>Tablespace name</t>
  </si>
  <si>
    <t>Growth per half year 
(number of rows)</t>
  </si>
  <si>
    <t>Amount of current information
(number of rows)</t>
  </si>
  <si>
    <t>Est. 1/2 yr. growth 
(bytes)</t>
  </si>
  <si>
    <t>Est. Table size
(bytes)</t>
  </si>
  <si>
    <t>initial row size
(AVG_ROW_LEN)</t>
  </si>
  <si>
    <t>Tables to place in this tablespace</t>
  </si>
  <si>
    <t>PCTFREE (calculated)</t>
  </si>
  <si>
    <t>PCTFREE (value used)</t>
  </si>
  <si>
    <t>Expansion</t>
  </si>
  <si>
    <t>Growth per year (number of rows)</t>
  </si>
  <si>
    <t>Est. table size 
(KB)</t>
  </si>
  <si>
    <t>Est. 1/2 year growth
(KB)</t>
  </si>
  <si>
    <t>INITIAL EXTENT SIZE 
( KB)</t>
  </si>
  <si>
    <t>NEXT extent size 
(KB)</t>
  </si>
  <si>
    <t>BC_ACCOUNT</t>
  </si>
  <si>
    <t>BC_BICYCLE</t>
  </si>
  <si>
    <t>BC_BICYCLE_STATUS</t>
  </si>
  <si>
    <t>BC_COUNTRY</t>
  </si>
  <si>
    <t>BC_DOCK</t>
  </si>
  <si>
    <t>BC_MEMBERSHIP</t>
  </si>
  <si>
    <t>BC_PASS</t>
  </si>
  <si>
    <t>BC_PROGRAM</t>
  </si>
  <si>
    <t>BC_STATION</t>
  </si>
  <si>
    <t>BC_TRIP</t>
  </si>
  <si>
    <t>NEXT extent size (MB)</t>
  </si>
  <si>
    <t>Size for one year</t>
  </si>
  <si>
    <t>Tablespace</t>
  </si>
  <si>
    <t xml:space="preserve"> </t>
  </si>
  <si>
    <t>BC_BICYCLE, BC_DOCK</t>
  </si>
  <si>
    <r>
      <t>NEXT EXTENT size</t>
    </r>
    <r>
      <rPr>
        <b/>
        <sz val="11"/>
        <color rgb="FFFF0000"/>
        <rFont val="Calibri (Brødtekst)"/>
      </rPr>
      <t xml:space="preserve"> KB </t>
    </r>
    <r>
      <rPr>
        <b/>
        <sz val="11"/>
        <color theme="1"/>
        <rFont val="Calibri"/>
        <family val="2"/>
        <scheme val="minor"/>
      </rPr>
      <t>or MB</t>
    </r>
  </si>
  <si>
    <t>Size KB</t>
  </si>
  <si>
    <t>Size MB</t>
  </si>
  <si>
    <t>BC_PASS, BC_PROGRAM, BC_STATION</t>
  </si>
  <si>
    <t>gossip64K</t>
  </si>
  <si>
    <t>gossip128K</t>
  </si>
  <si>
    <t>gossip32M</t>
  </si>
  <si>
    <t>gossip64M</t>
  </si>
  <si>
    <t>gossip8192M</t>
  </si>
  <si>
    <t>gossip16384M</t>
  </si>
  <si>
    <t>All size combined</t>
  </si>
  <si>
    <t>Size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</si>
</sst>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 (Brødtekst)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F"/>
        <bgColor indexed="64"/>
      </patternFill>
    </fill>
    <fill>
      <patternFill patternType="solid">
        <fgColor rgb="FFDDE7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EE8F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65" fontId="0" fillId="0" borderId="0" xfId="1" applyNumberFormat="1" applyFont="1"/>
    <xf numFmtId="3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0" fillId="0" borderId="0" xfId="1" applyNumberFormat="1" applyFont="1"/>
    <xf numFmtId="0" fontId="0" fillId="0" borderId="0" xfId="0" applyNumberFormat="1"/>
    <xf numFmtId="0" fontId="2" fillId="0" borderId="0" xfId="0" applyFont="1"/>
    <xf numFmtId="0" fontId="2" fillId="2" borderId="1" xfId="2" applyFont="1" applyAlignment="1">
      <alignment horizontal="center"/>
    </xf>
    <xf numFmtId="0" fontId="2" fillId="2" borderId="1" xfId="2" applyFont="1" applyAlignment="1">
      <alignment horizontal="center" wrapText="1"/>
    </xf>
    <xf numFmtId="165" fontId="2" fillId="2" borderId="1" xfId="2" applyNumberFormat="1" applyFont="1" applyAlignment="1">
      <alignment horizontal="center" wrapText="1"/>
    </xf>
    <xf numFmtId="0" fontId="2" fillId="2" borderId="1" xfId="2" applyNumberFormat="1" applyFont="1" applyAlignment="1">
      <alignment horizontal="center" wrapText="1"/>
    </xf>
    <xf numFmtId="3" fontId="2" fillId="2" borderId="1" xfId="2" applyNumberFormat="1" applyFont="1" applyAlignment="1">
      <alignment horizontal="center" wrapText="1"/>
    </xf>
    <xf numFmtId="0" fontId="2" fillId="2" borderId="1" xfId="2" applyFont="1"/>
    <xf numFmtId="0" fontId="0" fillId="4" borderId="2" xfId="0" applyFill="1" applyBorder="1"/>
    <xf numFmtId="165" fontId="0" fillId="4" borderId="2" xfId="1" applyNumberFormat="1" applyFont="1" applyFill="1" applyBorder="1"/>
    <xf numFmtId="165" fontId="0" fillId="5" borderId="2" xfId="0" applyNumberFormat="1" applyFill="1" applyBorder="1"/>
    <xf numFmtId="10" fontId="0" fillId="5" borderId="2" xfId="3" applyNumberFormat="1" applyFont="1" applyFill="1" applyBorder="1"/>
    <xf numFmtId="3" fontId="0" fillId="5" borderId="2" xfId="0" applyNumberFormat="1" applyFill="1" applyBorder="1"/>
    <xf numFmtId="1" fontId="0" fillId="4" borderId="2" xfId="0" applyNumberFormat="1" applyFill="1" applyBorder="1"/>
    <xf numFmtId="1" fontId="0" fillId="6" borderId="2" xfId="0" applyNumberFormat="1" applyFill="1" applyBorder="1"/>
    <xf numFmtId="0" fontId="2" fillId="2" borderId="3" xfId="2" applyFont="1" applyBorder="1" applyAlignment="1">
      <alignment horizontal="center" wrapText="1"/>
    </xf>
    <xf numFmtId="1" fontId="0" fillId="6" borderId="2" xfId="1" applyNumberFormat="1" applyFont="1" applyFill="1" applyBorder="1"/>
    <xf numFmtId="1" fontId="0" fillId="3" borderId="2" xfId="0" applyNumberFormat="1" applyFill="1" applyBorder="1"/>
    <xf numFmtId="1" fontId="0" fillId="4" borderId="2" xfId="1" applyNumberFormat="1" applyFont="1" applyFill="1" applyBorder="1"/>
    <xf numFmtId="1" fontId="0" fillId="5" borderId="2" xfId="1" applyNumberFormat="1" applyFont="1" applyFill="1" applyBorder="1"/>
    <xf numFmtId="0" fontId="2" fillId="8" borderId="2" xfId="0" applyFont="1" applyFill="1" applyBorder="1"/>
    <xf numFmtId="0" fontId="0" fillId="7" borderId="2" xfId="0" applyFill="1" applyBorder="1"/>
    <xf numFmtId="0" fontId="4" fillId="7" borderId="2" xfId="0" applyFont="1" applyFill="1" applyBorder="1"/>
    <xf numFmtId="166" fontId="0" fillId="7" borderId="2" xfId="0" applyNumberFormat="1" applyFill="1" applyBorder="1"/>
    <xf numFmtId="166" fontId="0" fillId="5" borderId="2" xfId="0" applyNumberFormat="1" applyFill="1" applyBorder="1"/>
    <xf numFmtId="0" fontId="0" fillId="5" borderId="2" xfId="0" applyFill="1" applyBorder="1"/>
    <xf numFmtId="0" fontId="0" fillId="5" borderId="2" xfId="0" applyFill="1" applyBorder="1" applyAlignment="1">
      <alignment horizontal="right"/>
    </xf>
    <xf numFmtId="3" fontId="0" fillId="9" borderId="2" xfId="0" applyNumberFormat="1" applyFill="1" applyBorder="1"/>
    <xf numFmtId="166" fontId="0" fillId="9" borderId="2" xfId="0" applyNumberFormat="1" applyFill="1" applyBorder="1"/>
    <xf numFmtId="0" fontId="0" fillId="9" borderId="2" xfId="0" applyFill="1" applyBorder="1"/>
    <xf numFmtId="10" fontId="0" fillId="9" borderId="2" xfId="3" applyNumberFormat="1" applyFont="1" applyFill="1" applyBorder="1"/>
    <xf numFmtId="165" fontId="0" fillId="9" borderId="2" xfId="1" applyNumberFormat="1" applyFont="1" applyFill="1" applyBorder="1"/>
    <xf numFmtId="1" fontId="0" fillId="9" borderId="2" xfId="1" applyNumberFormat="1" applyFont="1" applyFill="1" applyBorder="1"/>
    <xf numFmtId="0" fontId="0" fillId="9" borderId="2" xfId="1" applyNumberFormat="1" applyFont="1" applyFill="1" applyBorder="1"/>
  </cellXfs>
  <cellStyles count="4">
    <cellStyle name="Komma" xfId="1" builtinId="3"/>
    <cellStyle name="Merknad" xfId="2" builtinId="10"/>
    <cellStyle name="Normal" xfId="0" builtinId="0"/>
    <cellStyle name="Prosent" xfId="3" builtinId="5"/>
  </cellStyles>
  <dxfs count="0"/>
  <tableStyles count="0" defaultTableStyle="TableStyleMedium9" defaultPivotStyle="PivotStyleLight16"/>
  <colors>
    <mruColors>
      <color rgb="FFDEE8F3"/>
      <color rgb="FFEBF1DF"/>
      <color rgb="FFDDE7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zoomScale="161" zoomScaleNormal="13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N17" sqref="N17"/>
    </sheetView>
  </sheetViews>
  <sheetFormatPr baseColWidth="10" defaultColWidth="9.1640625" defaultRowHeight="15" x14ac:dyDescent="0.2"/>
  <cols>
    <col min="1" max="1" width="24.6640625" bestFit="1" customWidth="1"/>
    <col min="2" max="2" width="25" customWidth="1"/>
    <col min="3" max="3" width="43" bestFit="1" customWidth="1"/>
    <col min="4" max="4" width="18.5" customWidth="1"/>
    <col min="5" max="5" width="20.1640625" bestFit="1" customWidth="1"/>
    <col min="6" max="7" width="20.83203125" customWidth="1"/>
    <col min="8" max="8" width="19.5" style="6" bestFit="1" customWidth="1"/>
    <col min="9" max="9" width="11.6640625" style="6" bestFit="1" customWidth="1"/>
    <col min="10" max="10" width="15.6640625" bestFit="1" customWidth="1"/>
    <col min="11" max="11" width="13.5" bestFit="1" customWidth="1"/>
    <col min="12" max="12" width="16.83203125" customWidth="1"/>
    <col min="13" max="13" width="17" customWidth="1"/>
    <col min="14" max="14" width="18.5" bestFit="1" customWidth="1"/>
    <col min="15" max="15" width="15.83203125" customWidth="1"/>
    <col min="16" max="16" width="14.83203125" customWidth="1"/>
    <col min="17" max="17" width="9.83203125" bestFit="1" customWidth="1"/>
    <col min="18" max="18" width="15.1640625" bestFit="1" customWidth="1"/>
    <col min="19" max="19" width="12.5" bestFit="1" customWidth="1"/>
    <col min="20" max="20" width="27.83203125" customWidth="1"/>
  </cols>
  <sheetData>
    <row r="1" spans="1:18" ht="48" x14ac:dyDescent="0.2">
      <c r="A1" s="8" t="s">
        <v>0</v>
      </c>
      <c r="B1" s="9" t="s">
        <v>7</v>
      </c>
      <c r="C1" s="9" t="s">
        <v>11</v>
      </c>
      <c r="D1" s="8" t="s">
        <v>9</v>
      </c>
      <c r="E1" s="8" t="s">
        <v>10</v>
      </c>
      <c r="F1" s="10" t="s">
        <v>4</v>
      </c>
      <c r="G1" s="10" t="s">
        <v>12</v>
      </c>
      <c r="H1" s="11" t="s">
        <v>3</v>
      </c>
      <c r="I1" s="8" t="s">
        <v>1</v>
      </c>
      <c r="J1" s="12" t="s">
        <v>6</v>
      </c>
      <c r="K1" s="9" t="s">
        <v>13</v>
      </c>
      <c r="L1" s="9" t="s">
        <v>5</v>
      </c>
      <c r="M1" s="9" t="s">
        <v>14</v>
      </c>
      <c r="N1" s="9" t="s">
        <v>15</v>
      </c>
      <c r="O1" s="9" t="s">
        <v>16</v>
      </c>
      <c r="P1" s="9" t="s">
        <v>27</v>
      </c>
      <c r="Q1" s="21" t="s">
        <v>28</v>
      </c>
      <c r="R1" s="21" t="s">
        <v>29</v>
      </c>
    </row>
    <row r="2" spans="1:18" x14ac:dyDescent="0.2">
      <c r="A2" s="13" t="s">
        <v>17</v>
      </c>
      <c r="B2" s="14">
        <v>94</v>
      </c>
      <c r="C2" s="14">
        <v>2</v>
      </c>
      <c r="D2" s="17">
        <f>(C2/(B2+C2))</f>
        <v>2.0833333333333332E-2</v>
      </c>
      <c r="E2" s="14">
        <v>5</v>
      </c>
      <c r="F2" s="15">
        <v>8000000</v>
      </c>
      <c r="G2" s="15">
        <v>1000000</v>
      </c>
      <c r="H2" s="15">
        <f>G2/2</f>
        <v>500000</v>
      </c>
      <c r="I2" s="24">
        <v>10</v>
      </c>
      <c r="J2" s="16">
        <f>B2*F2*(1+E2/100)*(1+I2/100)</f>
        <v>868560000.00000012</v>
      </c>
      <c r="K2" s="18">
        <f>J2/1024</f>
        <v>848203.12500000012</v>
      </c>
      <c r="L2" s="19">
        <f>B2*H2*(1+E2/100)*(1+I2/100)</f>
        <v>54285000.000000007</v>
      </c>
      <c r="M2" s="15">
        <f>L2/1024</f>
        <v>53012.695312500007</v>
      </c>
      <c r="N2" s="30">
        <f>O2*_xlfn.CEILING.MATH(K2/O2)</f>
        <v>851968</v>
      </c>
      <c r="O2" s="31">
        <f>IF(2^_xlfn.CEILING.MATH(LOG(M2,2),1) &lt; 64, "64", 2^_xlfn.CEILING.MATH(LOG(M2,2),1))</f>
        <v>65536</v>
      </c>
      <c r="P2" s="31">
        <f>O2/1024</f>
        <v>64</v>
      </c>
      <c r="Q2" s="31">
        <f t="shared" ref="Q2:Q11" si="0">O2+(2*P2)</f>
        <v>65664</v>
      </c>
      <c r="R2" s="31" t="s">
        <v>39</v>
      </c>
    </row>
    <row r="3" spans="1:18" x14ac:dyDescent="0.2">
      <c r="A3" s="13" t="s">
        <v>18</v>
      </c>
      <c r="B3" s="14">
        <v>78</v>
      </c>
      <c r="C3" s="14">
        <v>0</v>
      </c>
      <c r="D3" s="17">
        <f>(C3/(B3+C3))</f>
        <v>0</v>
      </c>
      <c r="E3" s="14">
        <v>0</v>
      </c>
      <c r="F3" s="15">
        <f>F10*5</f>
        <v>162000</v>
      </c>
      <c r="G3" s="15">
        <f>G10*5</f>
        <v>2500</v>
      </c>
      <c r="H3" s="15">
        <f t="shared" ref="H3:H11" si="1">G3/2</f>
        <v>1250</v>
      </c>
      <c r="I3" s="25">
        <v>0</v>
      </c>
      <c r="J3" s="16">
        <f t="shared" ref="J3:J11" si="2">B3*F3*(1+E3/100)*(1+I3/100)</f>
        <v>12636000</v>
      </c>
      <c r="K3" s="18">
        <f t="shared" ref="K3:K11" si="3">J3/1024</f>
        <v>12339.84375</v>
      </c>
      <c r="L3" s="19">
        <f>B3*H3*(1+E3/100)*(1+I3/100)</f>
        <v>97500</v>
      </c>
      <c r="M3" s="15">
        <f t="shared" ref="M3:M11" si="4">L3/1024</f>
        <v>95.21484375</v>
      </c>
      <c r="N3" s="30">
        <f t="shared" ref="N3:N11" si="5">O3*_xlfn.CEILING.MATH(K3/O3)</f>
        <v>12416</v>
      </c>
      <c r="O3" s="31">
        <f>IF(2^_xlfn.CEILING.MATH(LOG(M3,2),1) &lt; 64, "64", 2^_xlfn.CEILING.MATH(LOG(M3,2),1))</f>
        <v>128</v>
      </c>
      <c r="P3" s="31">
        <f t="shared" ref="P3:P11" si="6">O3/1024</f>
        <v>0.125</v>
      </c>
      <c r="Q3" s="31">
        <f t="shared" si="0"/>
        <v>128.25</v>
      </c>
      <c r="R3" s="31" t="s">
        <v>37</v>
      </c>
    </row>
    <row r="4" spans="1:18" x14ac:dyDescent="0.2">
      <c r="A4" s="13" t="s">
        <v>19</v>
      </c>
      <c r="B4" s="14">
        <v>40</v>
      </c>
      <c r="C4" s="14">
        <v>2</v>
      </c>
      <c r="D4" s="17">
        <f t="shared" ref="D4:D11" si="7">(C4/(B4+C4))</f>
        <v>4.7619047619047616E-2</v>
      </c>
      <c r="E4" s="14">
        <v>5</v>
      </c>
      <c r="F4" s="15">
        <f>F11*4</f>
        <v>640000000</v>
      </c>
      <c r="G4" s="15">
        <f>G11*4</f>
        <v>464000000</v>
      </c>
      <c r="H4" s="15">
        <f t="shared" si="1"/>
        <v>232000000</v>
      </c>
      <c r="I4" s="24">
        <v>10</v>
      </c>
      <c r="J4" s="16">
        <f t="shared" si="2"/>
        <v>29568000000.000004</v>
      </c>
      <c r="K4" s="18">
        <f t="shared" si="3"/>
        <v>28875000.000000004</v>
      </c>
      <c r="L4" s="19">
        <f t="shared" ref="L4:L11" si="8">B4*H4*(1+E4/100)*(1+I4/100)</f>
        <v>10718400000</v>
      </c>
      <c r="M4" s="15">
        <f t="shared" si="4"/>
        <v>10467187.5</v>
      </c>
      <c r="N4" s="30">
        <f t="shared" si="5"/>
        <v>33554432</v>
      </c>
      <c r="O4" s="31">
        <f t="shared" ref="O4:O11" si="9">IF(2^_xlfn.CEILING.MATH(LOG(M4,2),1) &lt; 64, "64", 2^_xlfn.CEILING.MATH(LOG(M4,2),1))</f>
        <v>16777216</v>
      </c>
      <c r="P4" s="31">
        <f t="shared" si="6"/>
        <v>16384</v>
      </c>
      <c r="Q4" s="31">
        <f t="shared" si="0"/>
        <v>16809984</v>
      </c>
      <c r="R4" s="31" t="s">
        <v>41</v>
      </c>
    </row>
    <row r="5" spans="1:18" x14ac:dyDescent="0.2">
      <c r="A5" s="13" t="s">
        <v>20</v>
      </c>
      <c r="B5" s="35">
        <v>25</v>
      </c>
      <c r="C5" s="35">
        <v>0</v>
      </c>
      <c r="D5" s="36">
        <f t="shared" si="7"/>
        <v>0</v>
      </c>
      <c r="E5" s="35">
        <v>0</v>
      </c>
      <c r="F5" s="37">
        <v>249</v>
      </c>
      <c r="G5" s="39">
        <v>0</v>
      </c>
      <c r="H5" s="38">
        <f t="shared" si="1"/>
        <v>0</v>
      </c>
      <c r="I5" s="38">
        <v>0</v>
      </c>
      <c r="J5" s="23">
        <f>B5*F5*(1+E5/100)*(1+I5/100)</f>
        <v>6225</v>
      </c>
      <c r="K5" s="33">
        <f t="shared" si="3"/>
        <v>6.0791015625</v>
      </c>
      <c r="L5" s="20">
        <f t="shared" si="8"/>
        <v>0</v>
      </c>
      <c r="M5" s="22">
        <f t="shared" si="4"/>
        <v>0</v>
      </c>
      <c r="N5" s="34">
        <v>64</v>
      </c>
      <c r="O5" s="35">
        <v>64</v>
      </c>
      <c r="P5" s="35">
        <f t="shared" si="6"/>
        <v>6.25E-2</v>
      </c>
      <c r="Q5" s="35">
        <f t="shared" si="0"/>
        <v>64.125</v>
      </c>
      <c r="R5" s="35"/>
    </row>
    <row r="6" spans="1:18" x14ac:dyDescent="0.2">
      <c r="A6" s="13" t="s">
        <v>21</v>
      </c>
      <c r="B6" s="14">
        <v>37</v>
      </c>
      <c r="C6" s="14">
        <v>0</v>
      </c>
      <c r="D6" s="17">
        <f t="shared" si="7"/>
        <v>0</v>
      </c>
      <c r="E6" s="14">
        <v>0</v>
      </c>
      <c r="F6" s="15">
        <f>F10*8</f>
        <v>259200</v>
      </c>
      <c r="G6" s="15">
        <f>G10*8</f>
        <v>4000</v>
      </c>
      <c r="H6" s="15">
        <f t="shared" si="1"/>
        <v>2000</v>
      </c>
      <c r="I6" s="24">
        <v>0</v>
      </c>
      <c r="J6" s="16">
        <f t="shared" si="2"/>
        <v>9590400</v>
      </c>
      <c r="K6" s="18">
        <f t="shared" si="3"/>
        <v>9365.625</v>
      </c>
      <c r="L6" s="19">
        <f t="shared" si="8"/>
        <v>74000</v>
      </c>
      <c r="M6" s="15">
        <f t="shared" si="4"/>
        <v>72.265625</v>
      </c>
      <c r="N6" s="30">
        <f t="shared" si="5"/>
        <v>9472</v>
      </c>
      <c r="O6" s="31">
        <f t="shared" si="9"/>
        <v>128</v>
      </c>
      <c r="P6" s="31">
        <f t="shared" si="6"/>
        <v>0.125</v>
      </c>
      <c r="Q6" s="31">
        <f t="shared" si="0"/>
        <v>128.25</v>
      </c>
      <c r="R6" s="31" t="s">
        <v>37</v>
      </c>
    </row>
    <row r="7" spans="1:18" x14ac:dyDescent="0.2">
      <c r="A7" s="13" t="s">
        <v>22</v>
      </c>
      <c r="B7" s="14">
        <v>29</v>
      </c>
      <c r="C7" s="14">
        <v>1</v>
      </c>
      <c r="D7" s="17">
        <f t="shared" si="7"/>
        <v>3.3333333333333333E-2</v>
      </c>
      <c r="E7" s="14">
        <v>5</v>
      </c>
      <c r="F7" s="15">
        <f>F2*2</f>
        <v>16000000</v>
      </c>
      <c r="G7" s="15">
        <f>G2*2</f>
        <v>2000000</v>
      </c>
      <c r="H7" s="15">
        <f t="shared" si="1"/>
        <v>1000000</v>
      </c>
      <c r="I7" s="24">
        <v>10</v>
      </c>
      <c r="J7" s="16">
        <f t="shared" si="2"/>
        <v>535920000.00000006</v>
      </c>
      <c r="K7" s="18">
        <f t="shared" si="3"/>
        <v>523359.37500000006</v>
      </c>
      <c r="L7" s="19">
        <f t="shared" si="8"/>
        <v>33495000.000000004</v>
      </c>
      <c r="M7" s="15">
        <f t="shared" si="4"/>
        <v>32709.960937500004</v>
      </c>
      <c r="N7" s="30">
        <f t="shared" si="5"/>
        <v>524288</v>
      </c>
      <c r="O7" s="31">
        <f t="shared" si="9"/>
        <v>32768</v>
      </c>
      <c r="P7" s="31">
        <f t="shared" si="6"/>
        <v>32</v>
      </c>
      <c r="Q7" s="31">
        <f t="shared" si="0"/>
        <v>32832</v>
      </c>
      <c r="R7" s="31" t="s">
        <v>38</v>
      </c>
    </row>
    <row r="8" spans="1:18" x14ac:dyDescent="0.2">
      <c r="A8" s="13" t="s">
        <v>23</v>
      </c>
      <c r="B8" s="14">
        <v>180</v>
      </c>
      <c r="C8" s="14">
        <v>0</v>
      </c>
      <c r="D8" s="17">
        <f t="shared" si="7"/>
        <v>0</v>
      </c>
      <c r="E8" s="14">
        <v>0</v>
      </c>
      <c r="F8" s="15">
        <f>F9*3</f>
        <v>1944</v>
      </c>
      <c r="G8" s="15">
        <f>G9*3</f>
        <v>30</v>
      </c>
      <c r="H8" s="15">
        <f t="shared" si="1"/>
        <v>15</v>
      </c>
      <c r="I8" s="24">
        <v>0</v>
      </c>
      <c r="J8" s="16">
        <f t="shared" si="2"/>
        <v>349920</v>
      </c>
      <c r="K8" s="18">
        <f t="shared" si="3"/>
        <v>341.71875</v>
      </c>
      <c r="L8" s="19">
        <f t="shared" si="8"/>
        <v>2700</v>
      </c>
      <c r="M8" s="15">
        <f t="shared" si="4"/>
        <v>2.63671875</v>
      </c>
      <c r="N8" s="30">
        <f t="shared" si="5"/>
        <v>384</v>
      </c>
      <c r="O8" s="32" t="str">
        <f t="shared" si="9"/>
        <v>64</v>
      </c>
      <c r="P8" s="31">
        <f t="shared" si="6"/>
        <v>6.25E-2</v>
      </c>
      <c r="Q8" s="31">
        <f t="shared" si="0"/>
        <v>64.125</v>
      </c>
      <c r="R8" s="31" t="s">
        <v>36</v>
      </c>
    </row>
    <row r="9" spans="1:18" x14ac:dyDescent="0.2">
      <c r="A9" s="13" t="s">
        <v>24</v>
      </c>
      <c r="B9" s="14">
        <v>135</v>
      </c>
      <c r="C9" s="14">
        <v>0</v>
      </c>
      <c r="D9" s="17">
        <f t="shared" si="7"/>
        <v>0</v>
      </c>
      <c r="E9" s="14">
        <v>0</v>
      </c>
      <c r="F9" s="15">
        <v>648</v>
      </c>
      <c r="G9" s="15">
        <v>10</v>
      </c>
      <c r="H9" s="15">
        <f t="shared" si="1"/>
        <v>5</v>
      </c>
      <c r="I9" s="24">
        <v>0</v>
      </c>
      <c r="J9" s="16">
        <f t="shared" si="2"/>
        <v>87480</v>
      </c>
      <c r="K9" s="18">
        <f t="shared" si="3"/>
        <v>85.4296875</v>
      </c>
      <c r="L9" s="19">
        <f t="shared" si="8"/>
        <v>675</v>
      </c>
      <c r="M9" s="15">
        <f t="shared" si="4"/>
        <v>0.6591796875</v>
      </c>
      <c r="N9" s="30">
        <f t="shared" si="5"/>
        <v>128</v>
      </c>
      <c r="O9" s="32" t="str">
        <f t="shared" si="9"/>
        <v>64</v>
      </c>
      <c r="P9" s="31">
        <f t="shared" si="6"/>
        <v>6.25E-2</v>
      </c>
      <c r="Q9" s="31">
        <f t="shared" si="0"/>
        <v>64.125</v>
      </c>
      <c r="R9" s="31" t="s">
        <v>36</v>
      </c>
    </row>
    <row r="10" spans="1:18" x14ac:dyDescent="0.2">
      <c r="A10" s="13" t="s">
        <v>25</v>
      </c>
      <c r="B10" s="14">
        <v>138</v>
      </c>
      <c r="C10" s="14">
        <v>0</v>
      </c>
      <c r="D10" s="17">
        <f t="shared" si="7"/>
        <v>0</v>
      </c>
      <c r="E10" s="14">
        <v>0</v>
      </c>
      <c r="F10" s="15">
        <f>F9*50</f>
        <v>32400</v>
      </c>
      <c r="G10" s="15">
        <f>50*G9</f>
        <v>500</v>
      </c>
      <c r="H10" s="15">
        <f t="shared" si="1"/>
        <v>250</v>
      </c>
      <c r="I10" s="24">
        <v>0</v>
      </c>
      <c r="J10" s="16">
        <f t="shared" si="2"/>
        <v>4471200</v>
      </c>
      <c r="K10" s="18">
        <f t="shared" si="3"/>
        <v>4366.40625</v>
      </c>
      <c r="L10" s="19">
        <f t="shared" si="8"/>
        <v>34500</v>
      </c>
      <c r="M10" s="15">
        <f t="shared" si="4"/>
        <v>33.69140625</v>
      </c>
      <c r="N10" s="30">
        <f t="shared" si="5"/>
        <v>4416</v>
      </c>
      <c r="O10" s="31">
        <f t="shared" si="9"/>
        <v>64</v>
      </c>
      <c r="P10" s="31">
        <f t="shared" si="6"/>
        <v>6.25E-2</v>
      </c>
      <c r="Q10" s="31">
        <f t="shared" si="0"/>
        <v>64.125</v>
      </c>
      <c r="R10" s="31" t="s">
        <v>36</v>
      </c>
    </row>
    <row r="11" spans="1:18" x14ac:dyDescent="0.2">
      <c r="A11" s="13" t="s">
        <v>26</v>
      </c>
      <c r="B11" s="14">
        <v>77</v>
      </c>
      <c r="C11" s="14">
        <v>8</v>
      </c>
      <c r="D11" s="17">
        <f t="shared" si="7"/>
        <v>9.4117647058823528E-2</v>
      </c>
      <c r="E11" s="14">
        <v>10</v>
      </c>
      <c r="F11" s="15">
        <f>F2*20</f>
        <v>160000000</v>
      </c>
      <c r="G11" s="15">
        <f>(1000000+F2*0.6)*20</f>
        <v>116000000</v>
      </c>
      <c r="H11" s="15">
        <f t="shared" si="1"/>
        <v>58000000</v>
      </c>
      <c r="I11" s="24">
        <v>10</v>
      </c>
      <c r="J11" s="16">
        <f t="shared" si="2"/>
        <v>14907200000.000004</v>
      </c>
      <c r="K11" s="18">
        <f t="shared" si="3"/>
        <v>14557812.500000004</v>
      </c>
      <c r="L11" s="19">
        <f t="shared" si="8"/>
        <v>5403860000</v>
      </c>
      <c r="M11" s="15">
        <f t="shared" si="4"/>
        <v>5277207.03125</v>
      </c>
      <c r="N11" s="30">
        <f t="shared" si="5"/>
        <v>16777216</v>
      </c>
      <c r="O11" s="31">
        <f t="shared" si="9"/>
        <v>8388608</v>
      </c>
      <c r="P11" s="31">
        <f t="shared" si="6"/>
        <v>8192</v>
      </c>
      <c r="Q11" s="31">
        <f t="shared" si="0"/>
        <v>8404992</v>
      </c>
      <c r="R11" s="31" t="s">
        <v>40</v>
      </c>
    </row>
    <row r="12" spans="1:18" x14ac:dyDescent="0.2">
      <c r="F12" s="1"/>
      <c r="G12" s="1"/>
      <c r="H12" s="5"/>
      <c r="I12" s="1"/>
      <c r="K12" s="2"/>
      <c r="L12" s="3"/>
      <c r="M12" s="1"/>
      <c r="N12" s="3"/>
    </row>
    <row r="13" spans="1:18" x14ac:dyDescent="0.2">
      <c r="F13" s="4"/>
      <c r="G13" s="4"/>
      <c r="K13" s="2"/>
      <c r="L13" s="3"/>
      <c r="M13" s="3"/>
      <c r="N13" s="3"/>
    </row>
    <row r="14" spans="1:18" x14ac:dyDescent="0.2">
      <c r="K14" s="2"/>
      <c r="L14" s="3"/>
      <c r="M14" s="3"/>
      <c r="N14" s="3"/>
    </row>
    <row r="15" spans="1:18" x14ac:dyDescent="0.2">
      <c r="A15" s="26" t="s">
        <v>2</v>
      </c>
      <c r="B15" s="26" t="s">
        <v>32</v>
      </c>
      <c r="C15" s="26" t="s">
        <v>8</v>
      </c>
      <c r="D15" s="26" t="s">
        <v>42</v>
      </c>
      <c r="E15" s="26" t="s">
        <v>33</v>
      </c>
      <c r="F15" s="26" t="s">
        <v>34</v>
      </c>
      <c r="G15" s="26" t="s">
        <v>43</v>
      </c>
      <c r="K15" s="2"/>
      <c r="L15" s="3"/>
      <c r="M15" s="3"/>
      <c r="N15" s="3"/>
      <c r="O15" s="7"/>
      <c r="P15" s="7"/>
    </row>
    <row r="16" spans="1:18" x14ac:dyDescent="0.2">
      <c r="A16" s="27" t="s">
        <v>36</v>
      </c>
      <c r="B16" s="28">
        <v>64</v>
      </c>
      <c r="C16" s="27" t="s">
        <v>35</v>
      </c>
      <c r="D16" s="27">
        <f>Q8+Q9+Q10</f>
        <v>192.375</v>
      </c>
      <c r="E16" s="29">
        <f>IF(2^_xlfn.CEILING.MATH(LOG(D16,2),1) &lt; 64, "64", 2^_xlfn.CEILING.MATH(LOG(D16,2),1))</f>
        <v>256</v>
      </c>
      <c r="F16" s="29">
        <f>E16/1024</f>
        <v>0.25</v>
      </c>
      <c r="G16" s="29">
        <f>F16/1024</f>
        <v>2.44140625E-4</v>
      </c>
      <c r="K16" s="2"/>
      <c r="L16" s="3"/>
      <c r="M16" s="3"/>
      <c r="N16" s="3"/>
    </row>
    <row r="17" spans="1:14" x14ac:dyDescent="0.2">
      <c r="A17" s="27" t="s">
        <v>37</v>
      </c>
      <c r="B17" s="28">
        <v>128</v>
      </c>
      <c r="C17" s="27" t="s">
        <v>31</v>
      </c>
      <c r="D17" s="27">
        <f>Q3+Q6</f>
        <v>256.5</v>
      </c>
      <c r="E17" s="29">
        <f t="shared" ref="E17:E21" si="10">IF(2^_xlfn.CEILING.MATH(LOG(D17,2),1) &lt; 64, "64", 2^_xlfn.CEILING.MATH(LOG(D17,2),1))</f>
        <v>512</v>
      </c>
      <c r="F17" s="29">
        <f t="shared" ref="F17:G21" si="11">E17/1024</f>
        <v>0.5</v>
      </c>
      <c r="G17" s="29">
        <f t="shared" si="11"/>
        <v>4.8828125E-4</v>
      </c>
      <c r="K17" s="2"/>
      <c r="L17" s="3"/>
      <c r="M17" s="3"/>
      <c r="N17" s="3"/>
    </row>
    <row r="18" spans="1:14" x14ac:dyDescent="0.2">
      <c r="A18" s="27" t="s">
        <v>38</v>
      </c>
      <c r="B18" s="27">
        <v>32</v>
      </c>
      <c r="C18" s="27" t="s">
        <v>22</v>
      </c>
      <c r="D18" s="27">
        <f>Q7</f>
        <v>32832</v>
      </c>
      <c r="E18" s="29">
        <f t="shared" si="10"/>
        <v>65536</v>
      </c>
      <c r="F18" s="29">
        <f t="shared" si="11"/>
        <v>64</v>
      </c>
      <c r="G18" s="29">
        <f t="shared" si="11"/>
        <v>6.25E-2</v>
      </c>
      <c r="K18" s="2"/>
      <c r="L18" s="3"/>
      <c r="M18" s="3"/>
      <c r="N18" s="3"/>
    </row>
    <row r="19" spans="1:14" x14ac:dyDescent="0.2">
      <c r="A19" s="27" t="s">
        <v>39</v>
      </c>
      <c r="B19" s="27">
        <v>64</v>
      </c>
      <c r="C19" s="27" t="s">
        <v>17</v>
      </c>
      <c r="D19" s="27">
        <f>O2</f>
        <v>65536</v>
      </c>
      <c r="E19" s="29">
        <f t="shared" si="10"/>
        <v>65536</v>
      </c>
      <c r="F19" s="29">
        <f t="shared" si="11"/>
        <v>64</v>
      </c>
      <c r="G19" s="29">
        <f t="shared" si="11"/>
        <v>6.25E-2</v>
      </c>
      <c r="K19" s="2"/>
      <c r="L19" s="3"/>
      <c r="M19" s="3"/>
      <c r="N19" s="3"/>
    </row>
    <row r="20" spans="1:14" x14ac:dyDescent="0.2">
      <c r="A20" s="27" t="s">
        <v>40</v>
      </c>
      <c r="B20" s="27">
        <v>8192</v>
      </c>
      <c r="C20" s="27" t="s">
        <v>26</v>
      </c>
      <c r="D20" s="27">
        <f>Q11</f>
        <v>8404992</v>
      </c>
      <c r="E20" s="29">
        <f t="shared" si="10"/>
        <v>16777216</v>
      </c>
      <c r="F20" s="29">
        <f t="shared" si="11"/>
        <v>16384</v>
      </c>
      <c r="G20" s="29">
        <v>32</v>
      </c>
      <c r="N20" s="3"/>
    </row>
    <row r="21" spans="1:14" x14ac:dyDescent="0.2">
      <c r="A21" s="27" t="s">
        <v>41</v>
      </c>
      <c r="B21" s="27">
        <v>16384</v>
      </c>
      <c r="C21" s="27" t="s">
        <v>19</v>
      </c>
      <c r="D21" s="27">
        <f>Q4</f>
        <v>16809984</v>
      </c>
      <c r="E21" s="29">
        <f t="shared" si="10"/>
        <v>33554432</v>
      </c>
      <c r="F21" s="29">
        <f t="shared" si="11"/>
        <v>32768</v>
      </c>
      <c r="G21" s="29">
        <v>64</v>
      </c>
      <c r="N21" s="3"/>
    </row>
    <row r="22" spans="1:14" x14ac:dyDescent="0.2">
      <c r="D22" s="3"/>
      <c r="E22" s="3"/>
      <c r="N22" s="3"/>
    </row>
    <row r="23" spans="1:14" x14ac:dyDescent="0.2">
      <c r="D23" s="3"/>
      <c r="N23" s="3"/>
    </row>
    <row r="24" spans="1:14" x14ac:dyDescent="0.2">
      <c r="D24" s="3"/>
      <c r="E24" s="3"/>
      <c r="N24" s="3"/>
    </row>
    <row r="25" spans="1:14" x14ac:dyDescent="0.2">
      <c r="N25" s="3"/>
    </row>
    <row r="27" spans="1:14" x14ac:dyDescent="0.2">
      <c r="H27" s="3"/>
      <c r="I27" s="3"/>
    </row>
    <row r="28" spans="1:14" x14ac:dyDescent="0.2">
      <c r="H28" s="3"/>
      <c r="I28" s="3"/>
    </row>
    <row r="29" spans="1:14" x14ac:dyDescent="0.2">
      <c r="H29" s="3"/>
      <c r="I29" s="3"/>
    </row>
    <row r="30" spans="1:14" x14ac:dyDescent="0.2">
      <c r="H30" s="3"/>
      <c r="I30" s="3"/>
    </row>
    <row r="31" spans="1:14" x14ac:dyDescent="0.2">
      <c r="H31" s="3"/>
      <c r="I31" s="3"/>
    </row>
    <row r="32" spans="1:14" x14ac:dyDescent="0.2">
      <c r="H32" s="3"/>
      <c r="I32" s="3"/>
    </row>
    <row r="33" spans="8:16" x14ac:dyDescent="0.2">
      <c r="H33" s="3"/>
      <c r="I33" s="3"/>
    </row>
    <row r="34" spans="8:16" x14ac:dyDescent="0.2">
      <c r="H34" s="3"/>
      <c r="I34" s="3"/>
    </row>
    <row r="35" spans="8:16" x14ac:dyDescent="0.2">
      <c r="H35" s="3"/>
      <c r="I35" s="3"/>
    </row>
    <row r="36" spans="8:16" x14ac:dyDescent="0.2">
      <c r="H36" s="3"/>
      <c r="I36" s="3"/>
    </row>
    <row r="37" spans="8:16" x14ac:dyDescent="0.2">
      <c r="H37" s="3"/>
      <c r="I37" s="3"/>
    </row>
    <row r="38" spans="8:16" x14ac:dyDescent="0.2">
      <c r="H38" s="3"/>
      <c r="I38" s="3"/>
    </row>
    <row r="39" spans="8:16" x14ac:dyDescent="0.2">
      <c r="H39" s="3"/>
      <c r="I39" s="3"/>
    </row>
    <row r="40" spans="8:16" x14ac:dyDescent="0.2">
      <c r="H40" s="3"/>
      <c r="I40" s="3"/>
    </row>
    <row r="43" spans="8:16" x14ac:dyDescent="0.2">
      <c r="P43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Uprise 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2022-05-08T08:14:27Z</dcterms:modified>
</cp:coreProperties>
</file>