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67044203-7A3E-4242-BBA4-318DB790C7B4}" xr6:coauthVersionLast="47" xr6:coauthVersionMax="47" xr10:uidLastSave="{00000000-0000-0000-0000-000000000000}"/>
  <bookViews>
    <workbookView xWindow="28080" yWindow="9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ax_sup_selectivity" localSheetId="4">'Sup Feed'!$L$11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Sheep!$S$169:$W$169</definedName>
    <definedName name="i_salep_percentile_scalar_s7s4">Sheep!$S$170:$W$177</definedName>
    <definedName name="i_salep_price_max_s7">Sheep!$R$170:$R$177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Feed'!$I$58:$L$75</definedName>
    <definedName name="i_sup_selectivity_included" localSheetId="4">'Sup Feed'!$J$11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X1320" i="14" l="1"/>
  <c r="W1320" i="14"/>
  <c r="X1318" i="14"/>
  <c r="W1318" i="14"/>
  <c r="X1316" i="14"/>
  <c r="W1316" i="14"/>
  <c r="X1314" i="14"/>
  <c r="W1314" i="14"/>
  <c r="X1313" i="14"/>
  <c r="W1313" i="14"/>
  <c r="X1312" i="14"/>
  <c r="W1312" i="14"/>
  <c r="X1311" i="14"/>
  <c r="V1311" i="14"/>
  <c r="W1311" i="14" s="1"/>
  <c r="X1309" i="14"/>
  <c r="V1309" i="14"/>
  <c r="W1309" i="14" s="1"/>
  <c r="X1307" i="14"/>
  <c r="V1307" i="14"/>
  <c r="W1307" i="14" s="1"/>
  <c r="X1306" i="14"/>
  <c r="V1306" i="14"/>
  <c r="W1306" i="14" s="1"/>
  <c r="X1305" i="14"/>
  <c r="V1305" i="14"/>
  <c r="W1305" i="14" s="1"/>
  <c r="X1304" i="14"/>
  <c r="V1304" i="14"/>
  <c r="W1304" i="14" s="1"/>
  <c r="X1303" i="14"/>
  <c r="V1303" i="14"/>
  <c r="W1303" i="14" s="1"/>
  <c r="Z1306" i="14"/>
  <c r="AA1306" i="14" s="1"/>
  <c r="AB1306" i="14" s="1"/>
  <c r="K343" i="13"/>
  <c r="K342" i="13"/>
  <c r="K341" i="13"/>
  <c r="K340" i="13"/>
  <c r="G13" i="6" l="1"/>
  <c r="R174" i="13" l="1"/>
  <c r="R175" i="13"/>
  <c r="I206" i="13"/>
  <c r="I207" i="13" s="1"/>
  <c r="I198" i="13"/>
  <c r="I199" i="13" s="1"/>
  <c r="W176" i="13" l="1"/>
  <c r="V176" i="13"/>
  <c r="T176" i="13"/>
  <c r="S176" i="13"/>
  <c r="W172" i="13"/>
  <c r="V172" i="13"/>
  <c r="T172" i="13"/>
  <c r="S172" i="13"/>
  <c r="W171" i="13"/>
  <c r="V171" i="13"/>
  <c r="T171" i="13"/>
  <c r="S171" i="13"/>
  <c r="W170" i="13"/>
  <c r="V170" i="13"/>
  <c r="T170" i="13"/>
  <c r="S170" i="13"/>
  <c r="AB190" i="13"/>
  <c r="AB191" i="13" s="1"/>
  <c r="AA190" i="13"/>
  <c r="AA191" i="13" s="1"/>
  <c r="Z190" i="13"/>
  <c r="Z191" i="13" s="1"/>
  <c r="Y190" i="13"/>
  <c r="Y191" i="13" s="1"/>
  <c r="X190" i="13"/>
  <c r="X191" i="13" s="1"/>
  <c r="U191" i="13"/>
  <c r="Q191" i="13"/>
  <c r="U190" i="13"/>
  <c r="T190" i="13"/>
  <c r="T191" i="13" s="1"/>
  <c r="S190" i="13"/>
  <c r="S191" i="13" s="1"/>
  <c r="R190" i="13"/>
  <c r="R191" i="13" s="1"/>
  <c r="Q190" i="13"/>
  <c r="W177" i="13"/>
  <c r="W173" i="13"/>
  <c r="V173" i="13"/>
  <c r="T173" i="13"/>
  <c r="A70" i="18"/>
  <c r="A70" i="16"/>
  <c r="W174" i="13" l="1"/>
  <c r="S177" i="13"/>
  <c r="T177" i="13"/>
  <c r="V177" i="13"/>
  <c r="W175" i="13"/>
  <c r="S174" i="13"/>
  <c r="S175" i="13"/>
  <c r="T174" i="13"/>
  <c r="T175" i="13"/>
  <c r="V174" i="13"/>
  <c r="V175" i="13"/>
  <c r="C69" i="14"/>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X821" i="14"/>
  <c r="X820" i="14"/>
  <c r="X819" i="14"/>
  <c r="X817" i="14"/>
  <c r="X816" i="14"/>
  <c r="X815" i="14"/>
  <c r="V821" i="14"/>
  <c r="W821" i="14" s="1"/>
  <c r="W820" i="14"/>
  <c r="W819" i="14"/>
  <c r="V817" i="14"/>
  <c r="W817" i="14" s="1"/>
  <c r="V816" i="14"/>
  <c r="W816" i="14" s="1"/>
  <c r="V815" i="14"/>
  <c r="W815" i="14" s="1"/>
  <c r="Z821" i="14" l="1"/>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C207" i="13"/>
  <c r="C206" i="13"/>
  <c r="C205" i="13"/>
  <c r="C204" i="13"/>
  <c r="C203" i="13"/>
  <c r="C202" i="13"/>
  <c r="H201" i="13"/>
  <c r="F201" i="13"/>
  <c r="F202" i="13" s="1"/>
  <c r="C201" i="13"/>
  <c r="C200" i="13"/>
  <c r="C199" i="13"/>
  <c r="C198" i="13"/>
  <c r="C197" i="13"/>
  <c r="C196" i="13"/>
  <c r="C195" i="13"/>
  <c r="C194"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C177" i="13"/>
  <c r="AG176" i="13"/>
  <c r="AF176" i="13"/>
  <c r="S173" i="13"/>
  <c r="C176" i="13"/>
  <c r="AG175" i="13"/>
  <c r="AF175" i="13"/>
  <c r="C175" i="13"/>
  <c r="AG174" i="13"/>
  <c r="AF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AA1064" i="14" s="1"/>
  <c r="X1064" i="14"/>
  <c r="X1063" i="14" s="1"/>
  <c r="Z1065" i="14"/>
  <c r="AA1065" i="14" s="1"/>
  <c r="AB1065" i="14" s="1"/>
  <c r="X1065" i="14"/>
  <c r="V699" i="14"/>
  <c r="AQ176" i="13"/>
  <c r="AQ173" i="13"/>
  <c r="I229" i="13"/>
  <c r="AA698" i="14"/>
  <c r="W575" i="14"/>
  <c r="V714" i="14"/>
  <c r="V715" i="14" s="1"/>
  <c r="V716" i="14" s="1"/>
  <c r="BD101" i="13"/>
  <c r="AZ107" i="13" s="1"/>
  <c r="F104" i="13"/>
  <c r="Z704" i="14"/>
  <c r="Y576" i="14"/>
  <c r="M104" i="13"/>
  <c r="M103" i="13" s="1"/>
  <c r="M102" i="13" s="1"/>
  <c r="AN101" i="13"/>
  <c r="AS101" i="13" s="1"/>
  <c r="AC95" i="13"/>
  <c r="W695" i="14"/>
  <c r="W694" i="14"/>
  <c r="X694" i="14"/>
  <c r="Z694" i="14"/>
  <c r="AB694" i="14"/>
  <c r="V575" i="14"/>
  <c r="K58" i="10"/>
  <c r="AF322" i="13"/>
  <c r="V656" i="14"/>
  <c r="V702" i="14"/>
  <c r="AA694" i="14"/>
  <c r="Z695" i="14"/>
  <c r="AA695" i="14"/>
  <c r="J128" i="13"/>
  <c r="U575" i="14"/>
  <c r="U695" i="14"/>
  <c r="C279" i="13"/>
  <c r="C86" i="13"/>
  <c r="N104" i="13"/>
  <c r="N103" i="13" s="1"/>
  <c r="N102" i="13" s="1"/>
  <c r="AB698" i="14"/>
  <c r="P104" i="13"/>
  <c r="P103" i="13" s="1"/>
  <c r="P102" i="13" s="1"/>
  <c r="M215" i="13"/>
  <c r="R104" i="13"/>
  <c r="R103" i="13" s="1"/>
  <c r="R102" i="13" s="1"/>
  <c r="C49" i="13"/>
  <c r="C163" i="13"/>
  <c r="C15" i="13"/>
  <c r="P106" i="13"/>
  <c r="P107" i="13" s="1"/>
  <c r="P108" i="13" s="1"/>
  <c r="P109" i="13" s="1"/>
  <c r="P110" i="13" s="1"/>
  <c r="P111" i="13" s="1"/>
  <c r="P113" i="13" s="1"/>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J215" i="13"/>
  <c r="H242" i="13"/>
  <c r="J103" i="13"/>
  <c r="C95" i="13"/>
  <c r="C288" i="13"/>
  <c r="C382" i="13"/>
  <c r="K143" i="13"/>
  <c r="K144" i="13" s="1"/>
  <c r="C162" i="13"/>
  <c r="C5" i="13"/>
  <c r="C39" i="13"/>
  <c r="C164"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J191" i="13"/>
  <c r="C373" i="13"/>
  <c r="L191" i="13"/>
  <c r="C153" i="13"/>
  <c r="C15" i="14"/>
  <c r="C14" i="14"/>
  <c r="C5" i="14"/>
  <c r="N191" i="13"/>
  <c r="F235" i="13"/>
  <c r="F236" i="13" s="1"/>
  <c r="F237" i="13" s="1"/>
  <c r="F238" i="13" s="1"/>
  <c r="F239" i="13" s="1"/>
  <c r="F240" i="13" s="1"/>
  <c r="M245" i="13"/>
  <c r="N246" i="13"/>
  <c r="K247" i="13"/>
  <c r="L246" i="13"/>
  <c r="C325" i="13"/>
  <c r="V166" i="14"/>
  <c r="X273" i="14"/>
  <c r="Y287" i="14"/>
  <c r="Y485" i="14"/>
  <c r="AA575" i="14"/>
  <c r="L577" i="14"/>
  <c r="Z575" i="14"/>
  <c r="Y575" i="14"/>
  <c r="X575" i="14"/>
  <c r="X655" i="14"/>
  <c r="X656" i="14"/>
  <c r="X653" i="14"/>
  <c r="W699" i="14"/>
  <c r="X783" i="14"/>
  <c r="X699" i="14" s="1"/>
  <c r="X1039" i="14"/>
  <c r="Y1040"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Z1063" i="14" l="1"/>
  <c r="I230" i="13"/>
  <c r="W714" i="14"/>
  <c r="W715" i="14" s="1"/>
  <c r="W716" i="14" s="1"/>
  <c r="AB703" i="14"/>
  <c r="AB701" i="14"/>
  <c r="AZ111" i="13"/>
  <c r="AZ104" i="13"/>
  <c r="AZ105" i="13"/>
  <c r="AZ103" i="13"/>
  <c r="AZ114" i="13"/>
  <c r="AZ108" i="13"/>
  <c r="AZ112" i="13"/>
  <c r="AZ110" i="13"/>
  <c r="AZ106" i="13"/>
  <c r="AZ113" i="13"/>
  <c r="AZ109" i="13"/>
  <c r="AR171" i="13"/>
  <c r="F103" i="13"/>
  <c r="BA107" i="13"/>
  <c r="AR176" i="13"/>
  <c r="AV176" i="13" s="1"/>
  <c r="AC104" i="13"/>
  <c r="AA701" i="14"/>
  <c r="AC110" i="13"/>
  <c r="AC108" i="13"/>
  <c r="AC103" i="13"/>
  <c r="AC102" i="13" s="1"/>
  <c r="AC106" i="13"/>
  <c r="AC112" i="13"/>
  <c r="AR172" i="13"/>
  <c r="K53" i="10"/>
  <c r="AC107" i="13"/>
  <c r="AC105" i="13"/>
  <c r="AC109" i="13"/>
  <c r="P112" i="13"/>
  <c r="P114" i="13" s="1"/>
  <c r="AR173" i="13"/>
  <c r="AV173" i="13" s="1"/>
  <c r="AA704" i="14"/>
  <c r="AA703" i="14"/>
  <c r="AC114" i="13"/>
  <c r="AC113" i="13"/>
  <c r="AB783" i="14"/>
  <c r="AB699" i="14" s="1"/>
  <c r="AA699" i="14"/>
  <c r="J102" i="13"/>
  <c r="F102" i="13" s="1"/>
  <c r="AC111" i="13"/>
  <c r="AA751" i="14"/>
  <c r="Z651" i="14"/>
  <c r="X700" i="14"/>
  <c r="X702" i="14"/>
  <c r="AB1064" i="14"/>
  <c r="AB1063" i="14" s="1"/>
  <c r="AA1063" i="14"/>
  <c r="L247" i="13"/>
  <c r="N247" i="13"/>
  <c r="AR170" i="13"/>
  <c r="V713" i="14"/>
  <c r="W712" i="14"/>
  <c r="W1079" i="14"/>
  <c r="Y757" i="14"/>
  <c r="Z756" i="14"/>
  <c r="X704" i="14"/>
  <c r="X701" i="14"/>
  <c r="X703" i="14"/>
  <c r="Y1039" i="14"/>
  <c r="Z1040" i="14"/>
  <c r="O113" i="13"/>
  <c r="O112" i="13"/>
  <c r="O114" i="13" s="1"/>
  <c r="Y652" i="14"/>
  <c r="Y753" i="14"/>
  <c r="Z752" i="14"/>
  <c r="Y654" i="14"/>
  <c r="AB700" i="14"/>
  <c r="AB702" i="14"/>
  <c r="M246" i="13"/>
  <c r="AB708" i="14"/>
  <c r="AB706" i="14"/>
  <c r="AB577" i="14"/>
  <c r="AA577" i="14"/>
  <c r="Y577" i="14"/>
  <c r="X577" i="14"/>
  <c r="Z577" i="14"/>
  <c r="F109" i="13"/>
  <c r="F110" i="13"/>
  <c r="Y478" i="14"/>
  <c r="Y479" i="14" s="1"/>
  <c r="Y480" i="14" s="1"/>
  <c r="Z477" i="14"/>
  <c r="AA1071" i="14"/>
  <c r="AB1072" i="14"/>
  <c r="AB1071" i="14" s="1"/>
  <c r="Y486" i="14"/>
  <c r="Y487" i="14" s="1"/>
  <c r="Y488" i="14" s="1"/>
  <c r="Z485" i="14"/>
  <c r="Y1032" i="14"/>
  <c r="X1031" i="14"/>
  <c r="I231" i="13" l="1"/>
  <c r="X714" i="14"/>
  <c r="X715" i="14" s="1"/>
  <c r="X716" i="14" s="1"/>
  <c r="BA114" i="13"/>
  <c r="BA109" i="13"/>
  <c r="BA113" i="13"/>
  <c r="BA111" i="13"/>
  <c r="BA110" i="13"/>
  <c r="BA112" i="13"/>
  <c r="BA108" i="13"/>
  <c r="BA103" i="13"/>
  <c r="BA105" i="13"/>
  <c r="BA104" i="13"/>
  <c r="BA106" i="13"/>
  <c r="Y656" i="14"/>
  <c r="Y653" i="14"/>
  <c r="Y655" i="14"/>
  <c r="Z478" i="14"/>
  <c r="Z479" i="14" s="1"/>
  <c r="Z480" i="14" s="1"/>
  <c r="AA477" i="14"/>
  <c r="W713" i="14"/>
  <c r="X712" i="14"/>
  <c r="AB751" i="14"/>
  <c r="AB651" i="14" s="1"/>
  <c r="AA651" i="14"/>
  <c r="Z1032" i="14"/>
  <c r="Y1031" i="14"/>
  <c r="Z486" i="14"/>
  <c r="Z487" i="14" s="1"/>
  <c r="Z488" i="14" s="1"/>
  <c r="AA485" i="14"/>
  <c r="M247" i="13"/>
  <c r="Z757" i="14"/>
  <c r="AA756" i="14"/>
  <c r="Z654" i="14"/>
  <c r="Z753" i="14"/>
  <c r="AA752" i="14"/>
  <c r="Z652" i="14"/>
  <c r="Z1039" i="14"/>
  <c r="AA1040" i="14"/>
  <c r="Y714" i="14" l="1"/>
  <c r="Z714" i="14" s="1"/>
  <c r="AA757" i="14"/>
  <c r="AB756" i="14"/>
  <c r="AB757" i="14" s="1"/>
  <c r="AA1032" i="14"/>
  <c r="Z1031" i="14"/>
  <c r="AA654" i="14"/>
  <c r="AA753" i="14"/>
  <c r="AB752" i="14"/>
  <c r="AA652" i="14"/>
  <c r="AR177" i="13"/>
  <c r="Z653" i="14"/>
  <c r="Z655" i="14"/>
  <c r="Z656" i="14"/>
  <c r="AA1039" i="14"/>
  <c r="AB1040" i="14"/>
  <c r="AB1039" i="14" s="1"/>
  <c r="AA478" i="14"/>
  <c r="AA479" i="14" s="1"/>
  <c r="AA480" i="14" s="1"/>
  <c r="AB477" i="14"/>
  <c r="AB478" i="14" s="1"/>
  <c r="AB479" i="14" s="1"/>
  <c r="AB480" i="14" s="1"/>
  <c r="AA486" i="14"/>
  <c r="AA487" i="14" s="1"/>
  <c r="AA488" i="14" s="1"/>
  <c r="AB485" i="14"/>
  <c r="AB486" i="14" s="1"/>
  <c r="AB487" i="14" s="1"/>
  <c r="AB488" i="14" s="1"/>
  <c r="X713" i="14"/>
  <c r="Y712" i="14"/>
  <c r="Y715" i="14" l="1"/>
  <c r="Y716" i="14" s="1"/>
  <c r="AB1032" i="14"/>
  <c r="AB1031" i="14" s="1"/>
  <c r="AA1031" i="14"/>
  <c r="AB753" i="14"/>
  <c r="AB652" i="14"/>
  <c r="AB654" i="14"/>
  <c r="AA656" i="14"/>
  <c r="AA653" i="14"/>
  <c r="AA655" i="14"/>
  <c r="Y713" i="14"/>
  <c r="Z712" i="14"/>
  <c r="Z715" i="14"/>
  <c r="Z716" i="14" s="1"/>
  <c r="AA714" i="14"/>
  <c r="AR174" i="13" l="1"/>
  <c r="AR175" i="13"/>
  <c r="AV175" i="13" s="1"/>
  <c r="AB656" i="14"/>
  <c r="AB655" i="14"/>
  <c r="AB653" i="14"/>
  <c r="AA715" i="14"/>
  <c r="AA716" i="14" s="1"/>
  <c r="AB714" i="14"/>
  <c r="AB715" i="14" s="1"/>
  <c r="AB716" i="14" s="1"/>
  <c r="Z713" i="14"/>
  <c r="AA712" i="14"/>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5"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<sst xmlns="http://schemas.openxmlformats.org/spreadsheetml/2006/main" count="4759" uniqueCount="2786">
  <si>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</si>
  <si>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</si>
  <si>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</si>
  <si>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</si>
  <si>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</si>
  <si>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</si>
  <si>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</si>
  <si>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</si>
  <si>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</si>
  <si>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</si>
  <si>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</si>
  <si>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</si>
  <si>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</si>
  <si>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</si>
  <si>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</si>
  <si>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</si>
  <si>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</si>
  <si>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</si>
  <si>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</si>
  <si>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</si>
  <si>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</si>
  <si>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</si>
  <si>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</si>
  <si>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</si>
  <si>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</si>
  <si>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</si>
  <si>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</si>
  <si>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</si>
  <si>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</si>
  <si>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</si>
  <si>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</si>
  <si>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</si>
  <si>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</si>
  <si>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</si>
  <si>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</si>
  <si>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</si>
  <si>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</si>
  <si>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</si>
  <si>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</si>
  <si>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</si>
  <si>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</si>
  <si>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</si>
  <si>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</si>
  <si>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</si>
  <si>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</si>
  <si>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</si>
  <si>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</si>
  <si>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</si>
  <si>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</si>
  <si>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</si>
  <si>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</si>
  <si>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</si>
  <si>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</si>
  <si>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</si>
  <si>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</si>
  <si>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</si>
  <si>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</si>
  <si>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</si>
  <si>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</si>
  <si>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</si>
  <si>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</si>
  <si>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</si>
  <si>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</si>
  <si>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</si>
  <si>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</si>
  <si>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</si>
  <si>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</si>
  <si>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</si>
  <si>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</si>
  <si>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</si>
  <si>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</si>
  <si>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</si>
  <si>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</si>
  <si>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</si>
  <si>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</si>
  <si>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</si>
  <si>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</si>
  <si>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</si>
  <si>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</si>
  <si>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</si>
  <si>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</si>
  <si>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</si>
  <si>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</si>
  <si>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</si>
  <si>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</si>
  <si>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</si>
  <si>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</si>
  <si>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</si>
  <si>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</si>
  <si>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</si>
  <si>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</si>
  <si>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</si>
  <si>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</si>
  <si>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</si>
  <si>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</si>
  <si>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</si>
  <si>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</si>
  <si>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</si>
  <si>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</si>
  <si>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</si>
  <si>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</si>
  <si>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</si>
  <si>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</si>
  <si>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</si>
  <si>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</si>
  <si>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</si>
  <si>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</si>
  <si>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</si>
  <si>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</si>
  <si>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</si>
  <si>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</si>
  <si>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</si>
  <si>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</si>
  <si>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</si>
  <si>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</si>
  <si>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</si>
  <si>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</si>
  <si>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</si>
  <si>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</si>
  <si>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</si>
  <si>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</si>
  <si>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</si>
  <si>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</si>
  <si>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</si>
  <si>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</si>
  <si>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</si>
  <si>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</si>
  <si>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</si>
  <si>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</si>
  <si>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</si>
  <si>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</si>
  <si>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</si>
  <si>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</si>
  <si>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</si>
  <si>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</si>
  <si>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</si>
  <si>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</si>
  <si>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</si>
  <si>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</si>
  <si>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</si>
  <si>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</si>
  <si>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</si>
  <si>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</si>
  <si>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</si>
  <si>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</si>
  <si>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</si>
  <si>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</si>
  <si>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</si>
  <si>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</si>
  <si>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</si>
  <si>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</si>
  <si>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</si>
  <si>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</si>
  <si>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</si>
  <si>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</si>
  <si>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</si>
  <si>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</si>
  <si>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</si>
  <si>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</si>
  <si>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</si>
  <si>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</si>
  <si>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</si>
  <si>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</si>
  <si>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</si>
  <si>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</si>
  <si>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</si>
  <si>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</si>
  <si>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</si>
  <si>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</si>
  <si>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</si>
  <si>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</si>
  <si>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</si>
  <si>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</si>
  <si>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</si>
  <si>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</si>
  <si>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</si>
  <si>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</si>
  <si>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</si>
  <si>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</si>
  <si>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</si>
  <si>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</si>
  <si>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</si>
  <si>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</si>
  <si>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</si>
  <si>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</si>
  <si>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</si>
  <si>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</si>
  <si>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</si>
  <si>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</si>
  <si>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</si>
  <si>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</si>
  <si>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</si>
  <si>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</si>
  <si>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</si>
  <si>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</si>
  <si>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</si>
  <si>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</si>
  <si>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</si>
  <si>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</si>
  <si>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</si>
  <si>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</si>
  <si>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</si>
  <si>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</si>
  <si>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</si>
  <si>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</si>
  <si>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</si>
  <si>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</si>
  <si>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</si>
  <si>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</si>
  <si>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</si>
  <si>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</si>
  <si>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</si>
  <si>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</si>
  <si>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</si>
  <si>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</si>
  <si>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</si>
  <si>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</si>
  <si>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</si>
  <si>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</si>
  <si>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</si>
  <si>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</si>
  <si>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</si>
  <si>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</si>
  <si>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</si>
  <si>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</si>
  <si>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</si>
  <si>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</si>
  <si>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</si>
  <si>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</si>
  <si>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</si>
  <si>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</si>
  <si>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</si>
  <si>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</si>
  <si>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</si>
  <si>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</si>
  <si>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</si>
  <si>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</si>
  <si>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</si>
  <si>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</si>
  <si>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</si>
  <si>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</si>
  <si>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</si>
  <si>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</si>
  <si>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</si>
  <si>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</si>
  <si>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</si>
  <si>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</si>
  <si>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</si>
  <si>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</si>
  <si>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</si>
  <si>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</si>
  <si>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</si>
  <si>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</si>
  <si>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</si>
  <si>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</si>
  <si>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</si>
  <si>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</si>
  <si>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</si>
  <si>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</si>
  <si>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</si>
  <si>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</si>
  <si>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</si>
  <si>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</si>
  <si>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</si>
  <si>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</si>
  <si>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</si>
  <si>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</si>
  <si>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</si>
  <si>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</si>
  <si>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</si>
  <si>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</si>
  <si>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</si>
  <si>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</si>
  <si>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</si>
  <si>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</si>
  <si>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</si>
  <si>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</si>
  <si>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</si>
  <si>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</si>
  <si>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</si>
  <si>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</si>
  <si>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</si>
  <si>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</si>
  <si>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</si>
  <si>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</si>
  <si>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</si>
  <si>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</si>
  <si>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</si>
  <si>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</si>
  <si>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</si>
  <si>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</si>
  <si>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</si>
  <si>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</si>
  <si>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</si>
  <si>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</si>
  <si>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</si>
  <si>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</si>
  <si>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</si>
  <si>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</si>
  <si>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</si>
  <si>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</si>
  <si>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</si>
  <si>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</si>
  <si>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</si>
  <si>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</si>
  <si>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</si>
  <si>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</si>
  <si>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</si>
  <si>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</si>
  <si>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</si>
  <si>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</si>
  <si>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</si>
  <si>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</si>
  <si>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</si>
  <si>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</si>
  <si>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</si>
  <si>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</si>
  <si>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</si>
  <si>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</si>
  <si>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</si>
  <si>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</si>
  <si>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</si>
  <si>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</si>
  <si>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</si>
  <si>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</si>
  <si>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</si>
  <si>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</si>
  <si>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</si>
  <si>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</si>
  <si>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</si>
  <si>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</si>
  <si>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</si>
  <si>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</si>
  <si>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</si>
  <si>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</si>
  <si>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</si>
  <si>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</si>
  <si>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</si>
  <si>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</si>
  <si>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</si>
  <si>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</si>
  <si>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</si>
  <si>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</si>
  <si>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</si>
  <si>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</si>
  <si>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</si>
  <si>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</si>
  <si>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</si>
  <si>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</si>
  <si>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</si>
  <si>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</si>
  <si>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</si>
  <si>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</si>
  <si>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</si>
  <si>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</si>
  <si>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</si>
  <si>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</si>
  <si>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</si>
  <si>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</si>
  <si>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</si>
  <si>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</si>
  <si>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</si>
  <si>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</si>
  <si>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</si>
  <si>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</si>
  <si>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</si>
  <si>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</si>
  <si>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</si>
  <si>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</si>
  <si>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</si>
  <si>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</si>
  <si>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</si>
  <si>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</si>
  <si>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</si>
  <si>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</si>
  <si>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</si>
  <si>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</si>
  <si>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</si>
  <si>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</si>
  <si>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</si>
  <si>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</si>
  <si>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</si>
  <si>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</si>
  <si>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</si>
  <si>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</si>
  <si>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</si>
  <si>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</si>
  <si>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</si>
  <si>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</si>
  <si>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</si>
  <si>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</si>
  <si>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</si>
  <si>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</si>
  <si>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</si>
  <si>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</si>
  <si>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</si>
  <si>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</si>
  <si>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</si>
  <si>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</si>
  <si>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</si>
  <si>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</si>
  <si>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</si>
  <si>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</si>
  <si>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</si>
  <si>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</si>
  <si>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</si>
  <si>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</si>
  <si>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</si>
  <si>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</si>
  <si>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</si>
  <si>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</si>
  <si>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</si>
  <si>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</si>
  <si>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</si>
  <si>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</si>
  <si>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</si>
  <si>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</si>
  <si>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</si>
  <si>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</si>
  <si>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</si>
  <si>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</si>
  <si>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</si>
  <si>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</si>
  <si>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</si>
  <si>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</si>
  <si>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</si>
  <si>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</si>
  <si>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</si>
  <si>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</si>
  <si>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</si>
  <si>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</si>
  <si>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</si>
  <si>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</si>
  <si>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</si>
  <si>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</si>
  <si>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</si>
  <si>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</si>
  <si>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</si>
  <si>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</si>
  <si>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</si>
  <si>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</si>
  <si>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</si>
  <si>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</si>
  <si>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</si>
  <si>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</si>
  <si>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</si>
  <si>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</si>
  <si>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</si>
  <si>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</si>
  <si>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</si>
  <si>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</si>
  <si>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</si>
  <si>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</si>
  <si>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</si>
  <si>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</si>
  <si>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</si>
  <si>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</si>
  <si>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</si>
  <si>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</si>
  <si>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</si>
  <si>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</si>
  <si>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</si>
  <si>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</si>
  <si>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</si>
  <si>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</si>
  <si>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</si>
  <si>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</si>
  <si>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</si>
  <si>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</si>
  <si>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</si>
  <si>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</si>
  <si>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</si>
  <si>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</si>
  <si>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</si>
  <si>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</si>
  <si>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</si>
  <si>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</si>
  <si>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</si>
  <si>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</si>
  <si>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</si>
  <si>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</si>
  <si>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</si>
  <si>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</si>
  <si>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</si>
  <si>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</si>
  <si>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</si>
  <si>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</si>
  <si>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</si>
  <si>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</si>
  <si>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</si>
  <si>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</si>
  <si>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</si>
  <si>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</si>
  <si>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</si>
  <si>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</si>
  <si>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</si>
  <si>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</si>
  <si>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</si>
  <si>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</si>
  <si>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</si>
  <si>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</si>
  <si>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</si>
  <si>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</si>
  <si>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</si>
  <si>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</si>
  <si>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</si>
  <si>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</si>
  <si>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</si>
  <si>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</si>
  <si>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</si>
  <si>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</si>
  <si>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</si>
  <si>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</si>
  <si>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</si>
  <si>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</si>
  <si>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</si>
  <si>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</si>
  <si>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</si>
  <si>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</si>
  <si>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</si>
  <si>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</si>
  <si>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</si>
  <si>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</si>
  <si>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</si>
  <si>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</si>
  <si>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</si>
  <si>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</si>
  <si>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</si>
  <si>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</si>
  <si>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</si>
  <si>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</si>
  <si>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</si>
  <si>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</si>
  <si>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</si>
  <si>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</si>
  <si>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</si>
  <si>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</si>
  <si>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</si>
  <si>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</si>
  <si>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</si>
  <si>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</si>
  <si>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</si>
  <si>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</si>
  <si>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</si>
  <si>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</si>
  <si>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</si>
  <si>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</si>
  <si>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</si>
  <si>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</si>
  <si>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</si>
  <si>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</si>
  <si>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</si>
  <si>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</si>
  <si>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</si>
  <si>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</si>
  <si>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</si>
  <si>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</si>
  <si>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</si>
  <si>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</si>
  <si>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</si>
  <si>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</si>
  <si>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</si>
  <si>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</si>
  <si>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</si>
  <si>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</si>
  <si>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</si>
  <si>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</si>
  <si>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</si>
  <si>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</si>
  <si>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</si>
  <si>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</si>
  <si>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</si>
  <si>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</si>
  <si>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</si>
  <si>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</si>
  <si>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</si>
  <si>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</si>
  <si>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</si>
  <si>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</si>
  <si>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</si>
  <si>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</si>
  <si>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</si>
  <si>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</si>
  <si>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</si>
  <si>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</si>
  <si>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</si>
  <si>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</si>
  <si>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</si>
  <si>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</si>
  <si>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</si>
  <si>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</si>
  <si>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</si>
  <si>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</si>
  <si>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</si>
  <si>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</si>
  <si>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</si>
  <si>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</si>
  <si>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</si>
  <si>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</si>
  <si>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</si>
  <si>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</si>
  <si>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</si>
  <si>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</si>
  <si>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</si>
  <si>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</si>
  <si>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</si>
  <si>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</si>
  <si>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</si>
  <si>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</si>
  <si>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</si>
  <si>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</si>
  <si>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</si>
  <si>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</si>
  <si>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</si>
  <si>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</si>
  <si>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</si>
  <si>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</si>
  <si>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</si>
  <si>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</si>
  <si>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</si>
  <si>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</si>
  <si>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</si>
  <si>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</si>
  <si>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</si>
  <si>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</si>
  <si>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</si>
  <si>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</si>
  <si>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</si>
  <si>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</si>
  <si>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</si>
  <si>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</si>
  <si>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</si>
  <si>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</si>
  <si>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</si>
  <si>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</si>
  <si>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</si>
  <si>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</si>
  <si>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</si>
  <si>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</si>
  <si>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</si>
  <si>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</si>
  <si>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</si>
  <si>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</si>
  <si>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</si>
  <si>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</si>
  <si>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</si>
  <si>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</si>
  <si>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</si>
  <si>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</si>
  <si>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</si>
  <si>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</si>
  <si>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</si>
  <si>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</si>
  <si>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</si>
  <si>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</si>
  <si>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</si>
  <si>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</si>
  <si>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</si>
  <si>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</si>
  <si>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</si>
  <si>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</si>
  <si>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</si>
  <si>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</si>
  <si>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</si>
  <si>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</si>
  <si>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</si>
  <si>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</si>
  <si>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</si>
  <si>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</si>
  <si>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</si>
  <si>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</si>
  <si>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</si>
  <si>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</si>
  <si>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</si>
  <si>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</si>
  <si>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</si>
  <si>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</si>
  <si>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</si>
  <si>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</si>
  <si>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</si>
  <si>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</si>
  <si>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</si>
  <si>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</si>
  <si>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</si>
  <si>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</si>
  <si>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</si>
  <si>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</si>
  <si>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</si>
  <si>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</si>
  <si>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</si>
  <si>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</si>
  <si>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</si>
  <si>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</si>
  <si>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</si>
  <si>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</si>
  <si>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</si>
  <si>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</si>
  <si>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</si>
  <si>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</si>
  <si>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</si>
  <si>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</si>
  <si>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</si>
  <si>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</si>
  <si>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</si>
  <si>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</si>
  <si>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</si>
  <si>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</si>
  <si>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</si>
  <si>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</si>
  <si>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</si>
  <si>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</si>
  <si>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</si>
  <si>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</si>
  <si>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</si>
  <si>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</si>
  <si>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</si>
  <si>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</si>
  <si>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</si>
  <si>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</si>
  <si>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</si>
  <si>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</si>
  <si>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</si>
  <si>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</si>
  <si>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</si>
  <si>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</si>
  <si>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</si>
  <si>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</si>
  <si>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</si>
  <si>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</si>
  <si>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</si>
  <si>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</si>
  <si>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</si>
  <si>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</si>
  <si>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</si>
  <si>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</si>
  <si>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</si>
  <si>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</si>
  <si>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</si>
  <si>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</si>
  <si>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</si>
  <si>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</si>
  <si>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</si>
  <si>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</si>
  <si>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</si>
  <si>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</si>
  <si>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</si>
  <si>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</si>
  <si>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</si>
  <si>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</si>
  <si>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</si>
  <si>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</si>
  <si>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</si>
  <si>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</si>
  <si>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</si>
  <si>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</si>
  <si>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</si>
  <si>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</si>
  <si>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</si>
  <si>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</si>
  <si>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</si>
  <si>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</si>
  <si>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</si>
  <si>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</si>
  <si>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</si>
  <si>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</si>
  <si>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</si>
  <si>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</si>
  <si>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</si>
  <si>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</si>
  <si>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</si>
  <si>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</si>
  <si>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</si>
  <si>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</si>
  <si>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</si>
  <si>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</si>
  <si>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</si>
  <si>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</si>
  <si>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</si>
  <si>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</si>
  <si>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</si>
  <si>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</si>
  <si>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</si>
  <si>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</si>
  <si>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</si>
  <si>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</si>
  <si>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</si>
  <si>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</si>
  <si>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</si>
  <si>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</si>
  <si>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</si>
  <si>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</si>
  <si>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</si>
  <si>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</si>
  <si>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</si>
  <si>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</si>
  <si>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</si>
  <si>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</si>
  <si>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</si>
  <si>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</si>
  <si>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</si>
  <si>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</si>
  <si>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</si>
  <si>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</si>
  <si>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</si>
  <si>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</si>
  <si>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</si>
  <si>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</si>
  <si>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</si>
  <si>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</si>
  <si>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</si>
  <si>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</si>
  <si>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</si>
  <si>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</si>
  <si>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</si>
  <si>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</si>
  <si>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</si>
  <si>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</si>
  <si>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</si>
  <si>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</si>
  <si>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</si>
  <si>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</si>
  <si>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</si>
  <si>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</si>
  <si>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</si>
  <si>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</si>
  <si>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</si>
  <si>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</si>
  <si>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</si>
  <si>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</si>
  <si>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</si>
  <si>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</si>
  <si>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</si>
  <si>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</si>
  <si>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</si>
  <si>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</si>
  <si>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</si>
  <si>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</si>
  <si>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</si>
  <si>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</si>
  <si>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</si>
  <si>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</si>
  <si>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</si>
  <si>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</si>
  <si>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</si>
  <si>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</si>
  <si>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</si>
  <si>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</si>
  <si>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</si>
  <si>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</si>
  <si>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</si>
  <si>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</si>
  <si>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</si>
  <si>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</si>
  <si>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</si>
  <si>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</si>
  <si>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</si>
  <si>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</si>
  <si>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</si>
  <si>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</si>
  <si>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</si>
  <si>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</si>
  <si>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</si>
  <si>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</si>
  <si>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</si>
  <si>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</si>
  <si>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</si>
  <si>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</si>
  <si>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</si>
  <si>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</si>
  <si>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</si>
  <si>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</si>
  <si>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</si>
  <si>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</si>
  <si>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</si>
  <si>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</si>
  <si>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</si>
  <si>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</si>
  <si>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</si>
  <si>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</si>
  <si>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</si>
  <si>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</si>
  <si>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</si>
  <si>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</si>
  <si>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</si>
  <si>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</si>
  <si>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</si>
  <si>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</si>
  <si>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</si>
  <si>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</si>
  <si>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</si>
  <si>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</si>
  <si>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</si>
  <si>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</si>
  <si>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</si>
  <si>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</si>
  <si>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</si>
  <si>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</si>
  <si>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</si>
  <si>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</si>
  <si>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</si>
  <si>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</si>
  <si>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</si>
  <si>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</si>
  <si>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</si>
  <si>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</si>
  <si>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</si>
  <si>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</si>
  <si>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</si>
  <si>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</si>
  <si>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</si>
  <si>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</si>
  <si>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</si>
  <si>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</si>
  <si>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</si>
  <si>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</si>
  <si>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</si>
  <si>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</si>
  <si>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</si>
  <si>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</si>
  <si>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</si>
  <si>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</si>
  <si>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</si>
  <si>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</si>
  <si>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</si>
  <si>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</si>
  <si>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</si>
  <si>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</si>
  <si>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</si>
  <si>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</si>
  <si>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</si>
  <si>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</si>
  <si>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</si>
  <si>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</si>
  <si>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</si>
  <si>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</si>
  <si>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</si>
  <si>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</si>
  <si>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</si>
  <si>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</si>
  <si>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</si>
  <si>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</si>
  <si>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</si>
  <si>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</si>
  <si>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</si>
  <si>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</si>
  <si>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</si>
  <si>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</si>
  <si>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</si>
  <si>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</si>
  <si>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</si>
  <si>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</si>
  <si>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</si>
  <si>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</si>
  <si>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</si>
  <si>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</si>
  <si>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</si>
  <si>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</si>
  <si>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</si>
  <si>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</si>
  <si>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</si>
  <si>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</si>
  <si>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</si>
  <si>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</si>
  <si>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</si>
  <si>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</si>
  <si>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</si>
  <si>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</si>
  <si>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</si>
  <si>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</si>
  <si>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</si>
  <si>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</si>
  <si>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</si>
  <si>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</si>
  <si>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</si>
  <si>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</si>
  <si>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</si>
  <si>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</si>
  <si>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</si>
  <si>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</si>
  <si>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</si>
  <si>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</si>
  <si>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</si>
  <si>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</si>
  <si>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</si>
  <si>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</si>
  <si>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</si>
  <si>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</si>
  <si>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</si>
  <si>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</si>
  <si>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</si>
  <si>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</si>
  <si>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</si>
  <si>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</si>
  <si>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</si>
  <si>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</si>
  <si>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</si>
  <si>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</si>
  <si>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</si>
  <si>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</si>
  <si>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</si>
  <si>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</si>
  <si>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</si>
  <si>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</si>
  <si>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</si>
  <si>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</si>
  <si>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</si>
  <si>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</si>
  <si>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</si>
  <si>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</si>
  <si>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</si>
  <si>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</si>
  <si>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</si>
  <si>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</si>
  <si>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</si>
  <si>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</si>
  <si>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</si>
  <si>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</si>
  <si>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</si>
  <si>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</si>
  <si>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</si>
  <si>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</si>
  <si>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</si>
  <si>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</si>
  <si>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</si>
  <si>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</si>
  <si>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</si>
  <si>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</si>
  <si>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</si>
  <si>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</si>
  <si>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</si>
  <si>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</si>
  <si>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</si>
  <si>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</si>
  <si>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</si>
  <si>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</si>
  <si>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</si>
  <si>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</si>
  <si>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</si>
  <si>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</si>
  <si>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</si>
  <si>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</si>
  <si>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</si>
  <si>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</si>
  <si>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</si>
  <si>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</si>
  <si>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</si>
  <si>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</si>
  <si>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</si>
  <si>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</si>
  <si>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</si>
  <si>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</si>
  <si>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</si>
  <si>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</si>
  <si>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</si>
  <si>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</si>
  <si>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</si>
  <si>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</si>
  <si>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</si>
  <si>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</si>
  <si>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</si>
  <si>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</si>
  <si>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</si>
  <si>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</si>
  <si>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</si>
  <si>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</si>
  <si>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</si>
  <si>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</si>
  <si>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</si>
  <si>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</si>
  <si>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</si>
  <si>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</si>
  <si>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</si>
  <si>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</si>
  <si>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</si>
  <si>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</si>
  <si>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</si>
  <si>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</si>
  <si>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</si>
  <si>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</si>
  <si>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</si>
  <si>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</si>
  <si>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</si>
  <si>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</si>
  <si>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</si>
  <si>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</si>
  <si>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</si>
  <si>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</si>
  <si>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</si>
  <si>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</si>
  <si>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</si>
  <si>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</si>
  <si>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</si>
  <si>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</si>
  <si>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</si>
  <si>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</si>
  <si>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</si>
  <si>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</si>
  <si>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</si>
  <si>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</si>
  <si>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</si>
  <si>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</si>
  <si>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</si>
  <si>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</si>
  <si>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</si>
  <si>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</si>
  <si>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</si>
  <si>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</si>
  <si>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</si>
  <si>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</si>
  <si>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</si>
  <si>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</si>
  <si>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</si>
  <si>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</si>
  <si>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</si>
  <si>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</si>
  <si>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</si>
  <si>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</si>
  <si>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</si>
  <si>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</si>
  <si>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</si>
  <si>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</si>
  <si>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</si>
  <si>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</si>
  <si>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</si>
  <si>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</si>
  <si>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</si>
  <si>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</si>
  <si>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</si>
  <si>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</si>
  <si>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</si>
  <si>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</si>
  <si>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</si>
  <si>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</si>
  <si>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</si>
  <si>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</si>
  <si>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</si>
  <si>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</si>
  <si>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</si>
  <si>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</si>
  <si>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</si>
  <si>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</si>
  <si>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</si>
  <si>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</si>
  <si>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</si>
  <si>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</si>
  <si>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</si>
  <si>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</si>
  <si>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</si>
  <si>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</si>
  <si>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</si>
  <si>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</si>
  <si>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</si>
  <si>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</si>
  <si>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</si>
  <si>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</si>
  <si>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</si>
  <si>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</si>
  <si>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</si>
  <si>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</si>
  <si>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</si>
  <si>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</si>
  <si>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</si>
  <si>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</si>
  <si>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</si>
  <si>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</si>
  <si>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</si>
  <si>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</si>
  <si>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</si>
  <si>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</si>
  <si>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</si>
  <si>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</si>
  <si>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</si>
  <si>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</si>
  <si>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</si>
  <si>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</si>
  <si>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</si>
  <si>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</si>
  <si>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</si>
  <si>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</si>
  <si>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</si>
  <si>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</si>
  <si>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</si>
  <si>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</si>
  <si>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</si>
  <si>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</si>
  <si>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</si>
  <si>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</si>
  <si>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</si>
  <si>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</si>
  <si>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</si>
  <si>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</si>
  <si>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</si>
  <si>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</si>
  <si>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</si>
  <si>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</si>
  <si>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</si>
  <si>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</si>
  <si>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</si>
  <si>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</si>
  <si>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</si>
  <si>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</si>
  <si>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</si>
  <si>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</si>
  <si>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</si>
  <si>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</si>
  <si>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</si>
  <si>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</si>
  <si>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</si>
  <si>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</si>
  <si>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</si>
  <si>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</si>
  <si>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</si>
  <si>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</si>
  <si>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</si>
  <si>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</si>
  <si>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</si>
  <si>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</si>
  <si>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</si>
  <si>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</si>
  <si>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</si>
  <si>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</si>
  <si>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</si>
  <si>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</si>
  <si>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</si>
  <si>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</si>
  <si>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</si>
  <si>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</si>
  <si>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</si>
  <si>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</si>
  <si>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</si>
  <si>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</si>
  <si>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</si>
  <si>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</si>
  <si>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</si>
  <si>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</si>
  <si>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</si>
  <si>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</si>
  <si>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</si>
  <si>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</si>
  <si>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</si>
  <si>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</si>
  <si>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</si>
  <si>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</si>
  <si>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</si>
  <si>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</si>
  <si>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</si>
  <si>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</si>
  <si>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</si>
  <si>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</si>
  <si>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</si>
  <si>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</si>
  <si>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</si>
  <si>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</si>
  <si>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</si>
  <si>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</si>
  <si>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</si>
  <si>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</si>
  <si>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</si>
  <si>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</si>
  <si>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</si>
  <si>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</si>
  <si>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</si>
  <si>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</si>
  <si>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</si>
  <si>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</si>
  <si>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</si>
  <si>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</si>
  <si>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</si>
  <si>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</si>
  <si>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</si>
  <si>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</si>
  <si>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</si>
  <si>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</si>
  <si>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</si>
  <si>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</si>
  <si>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</si>
  <si>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</si>
  <si>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</si>
  <si>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</si>
  <si>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</si>
  <si>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</si>
  <si>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</si>
  <si>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</si>
  <si>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</si>
  <si>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</si>
  <si>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</si>
  <si>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</si>
  <si>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</si>
  <si>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</si>
  <si>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</si>
  <si>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</si>
  <si>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</si>
  <si>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</si>
  <si>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</si>
  <si>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</si>
  <si>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</si>
  <si>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</si>
  <si>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</si>
  <si>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</si>
  <si>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</si>
  <si>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</si>
  <si>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</si>
  <si>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</si>
  <si>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</si>
  <si>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</si>
  <si>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</si>
  <si>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</si>
  <si>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</si>
  <si>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</si>
  <si>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</si>
  <si>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</si>
  <si>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</si>
  <si>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</si>
  <si>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</si>
  <si>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</si>
  <si>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</si>
  <si>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</si>
  <si>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</si>
  <si>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</si>
  <si>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</si>
  <si>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</si>
  <si>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</si>
  <si>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</si>
  <si>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</si>
  <si>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</si>
  <si>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</si>
  <si>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</si>
  <si>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</si>
  <si>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</si>
  <si>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</si>
  <si>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</si>
  <si>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</si>
  <si>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</si>
  <si>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</si>
  <si>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</si>
  <si>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</si>
  <si>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</si>
  <si>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</si>
  <si>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</si>
  <si>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</si>
  <si>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</si>
  <si>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</si>
  <si>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</si>
  <si>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</si>
  <si>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</si>
  <si>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</si>
  <si>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</si>
  <si>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</si>
  <si>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</si>
  <si>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</si>
  <si>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</si>
  <si>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</si>
  <si>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</si>
  <si>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</si>
  <si>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</si>
  <si>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</si>
  <si>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</si>
  <si>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</si>
  <si>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</si>
  <si>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</si>
  <si>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</si>
  <si>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</si>
  <si>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</si>
  <si>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</si>
  <si>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</si>
  <si>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</si>
  <si>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</si>
  <si>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</si>
  <si>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</si>
  <si>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</si>
  <si>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</si>
  <si>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</si>
  <si>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</si>
  <si>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</si>
  <si>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</si>
  <si>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</si>
  <si>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</si>
  <si>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</si>
  <si>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</si>
  <si>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</si>
  <si>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</si>
  <si>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</si>
  <si>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</si>
  <si>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</si>
  <si>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</si>
  <si>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</si>
  <si>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</si>
  <si>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</si>
  <si>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</si>
  <si>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</si>
  <si>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</si>
  <si>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</si>
  <si>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</si>
  <si>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</si>
  <si>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</si>
  <si>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</si>
  <si>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</si>
  <si>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</si>
  <si>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</si>
  <si>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</si>
  <si>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</si>
  <si>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</si>
  <si>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</si>
  <si>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</si>
  <si>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</si>
  <si>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</si>
  <si>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</si>
  <si>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</si>
  <si>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</si>
  <si>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</si>
  <si>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</si>
  <si>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</si>
  <si>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</si>
  <si>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</si>
  <si>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</si>
  <si>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</si>
  <si>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</si>
  <si>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</si>
  <si>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</si>
  <si>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</si>
  <si>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</si>
  <si>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</si>
  <si>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</si>
  <si>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</si>
  <si>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</si>
  <si>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</si>
  <si>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</si>
  <si>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</si>
  <si>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</si>
  <si>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</si>
  <si>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</si>
  <si>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</si>
  <si>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</si>
  <si>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</si>
  <si>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</si>
  <si>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</si>
  <si>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</si>
  <si>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</si>
  <si>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</si>
  <si>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</si>
  <si>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</si>
  <si>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</si>
  <si>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</si>
  <si>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</si>
  <si>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</si>
  <si>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</si>
  <si>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</si>
  <si>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</si>
  <si>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</si>
  <si>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</si>
  <si>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</si>
  <si>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</si>
  <si>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</si>
  <si>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</si>
  <si>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</si>
  <si>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</si>
  <si>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</si>
  <si>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</si>
  <si>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</si>
  <si>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</si>
  <si>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</si>
  <si>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</si>
  <si>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</si>
  <si>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</si>
  <si>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</si>
  <si>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</si>
  <si>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</si>
  <si>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</si>
  <si>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</si>
  <si>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</si>
  <si>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</si>
  <si>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</si>
  <si>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</si>
  <si>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</si>
  <si>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</si>
  <si>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</si>
  <si>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</si>
  <si>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</si>
  <si>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</si>
  <si>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</si>
  <si>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</si>
  <si>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</si>
  <si>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</si>
  <si>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</si>
  <si>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</si>
  <si>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</si>
  <si>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</si>
  <si>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</si>
  <si>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</si>
  <si>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</si>
  <si>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</si>
  <si>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</si>
  <si>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</si>
  <si>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</si>
  <si>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</si>
  <si>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</si>
  <si>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</si>
  <si>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</si>
  <si>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</si>
  <si>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</si>
  <si>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</si>
  <si>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</si>
  <si>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</si>
  <si>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</si>
  <si>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</si>
  <si>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</si>
  <si>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</si>
  <si>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</si>
  <si>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</si>
  <si>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</si>
  <si>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</si>
  <si>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</si>
  <si>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</si>
  <si>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</si>
  <si>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</si>
  <si>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</si>
  <si>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</si>
  <si>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</si>
  <si>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</si>
  <si>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</si>
  <si>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</si>
  <si>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</si>
  <si>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</si>
  <si>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</si>
  <si>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</si>
  <si>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</si>
  <si>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</si>
  <si>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</si>
  <si>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</si>
  <si>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</si>
  <si>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</si>
  <si>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</si>
  <si>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</si>
  <si>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</si>
  <si>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</si>
  <si>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</si>
  <si>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</si>
  <si>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</si>
  <si>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</si>
  <si>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</si>
  <si>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</si>
  <si>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</si>
  <si>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</si>
  <si>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</si>
  <si>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</si>
  <si>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</si>
  <si>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</si>
  <si>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</si>
  <si>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</si>
  <si>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</si>
  <si>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</si>
  <si>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</si>
  <si>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</si>
  <si>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</si>
  <si>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</si>
  <si>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</si>
  <si>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</si>
  <si>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</si>
  <si>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</si>
  <si>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</si>
  <si>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</si>
  <si>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</si>
  <si>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</si>
  <si>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</si>
  <si>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</si>
  <si>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</si>
  <si>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</si>
  <si>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</si>
  <si>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</si>
  <si>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</si>
  <si>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</si>
  <si>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</si>
  <si>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</si>
  <si>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</si>
  <si>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</si>
  <si>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</si>
  <si>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</si>
  <si>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</si>
  <si>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</si>
  <si>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</si>
  <si>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</si>
  <si>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</si>
  <si>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</si>
  <si>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</si>
  <si>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</si>
  <si>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</si>
  <si>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</si>
  <si>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</si>
  <si>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</si>
  <si>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</si>
  <si>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</si>
  <si>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</si>
  <si>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</si>
  <si>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</si>
  <si>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</si>
  <si>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</si>
  <si>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</si>
  <si>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</si>
  <si>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</si>
  <si>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</si>
  <si>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</si>
  <si>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</si>
  <si>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</si>
  <si>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</si>
  <si>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</si>
  <si>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</si>
  <si>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</si>
  <si>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</si>
  <si>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</si>
  <si>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</si>
  <si>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</si>
  <si>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</si>
  <si>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</si>
  <si>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</si>
  <si>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</si>
  <si>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</si>
  <si>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</si>
  <si>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</si>
  <si>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</si>
  <si>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</si>
  <si>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</si>
  <si>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</si>
  <si>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</si>
  <si>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</si>
  <si>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</si>
  <si>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</si>
  <si>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</si>
  <si>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</si>
  <si>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</si>
  <si>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</si>
  <si>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</si>
  <si>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</si>
  <si>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</si>
  <si>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</si>
  <si>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</si>
  <si>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</si>
  <si>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</si>
  <si>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</si>
  <si>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</si>
  <si>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</si>
  <si>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</si>
  <si>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</si>
  <si>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</si>
  <si>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</si>
  <si>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</si>
  <si>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</si>
  <si>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</si>
  <si>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</si>
  <si>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</si>
  <si>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</si>
  <si>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</si>
  <si>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</si>
  <si>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</si>
  <si>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</si>
  <si>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</si>
  <si>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</si>
  <si>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</si>
  <si>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</si>
  <si>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</si>
  <si>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</si>
  <si>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</si>
  <si>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</si>
  <si>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</si>
  <si>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</si>
  <si>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</si>
  <si>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</si>
  <si>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</si>
  <si>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</si>
  <si>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</si>
  <si>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</si>
  <si>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</si>
  <si>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</si>
  <si>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</si>
  <si>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</si>
  <si>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</si>
  <si>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</si>
  <si>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</si>
  <si>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</si>
  <si>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</si>
  <si>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</si>
  <si>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</si>
  <si>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</si>
  <si>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</si>
  <si>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</si>
  <si>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</si>
  <si>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</si>
  <si>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</si>
  <si>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</si>
  <si>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</si>
  <si>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</si>
  <si>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</si>
  <si>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</si>
  <si>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</si>
  <si>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</si>
  <si>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</si>
  <si>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</si>
  <si>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</si>
  <si>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</si>
  <si>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</si>
  <si>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</si>
  <si>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</si>
  <si>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</si>
  <si>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</si>
  <si>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</si>
  <si>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</si>
  <si>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</si>
  <si>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</si>
  <si>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</si>
  <si>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</si>
  <si>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</si>
  <si>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</si>
  <si>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</si>
  <si>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</si>
  <si>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</si>
  <si>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</si>
  <si>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</si>
  <si>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</si>
  <si>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</si>
  <si>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</si>
  <si>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</si>
  <si>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</si>
  <si>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</si>
  <si>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</si>
  <si>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</si>
  <si>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</si>
  <si>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</si>
  <si>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</si>
  <si>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</si>
  <si>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</si>
  <si>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</si>
  <si>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</si>
  <si>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</si>
  <si>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</si>
  <si>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</si>
  <si>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</si>
  <si>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</si>
  <si>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</si>
  <si>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</si>
  <si>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</si>
  <si>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</si>
  <si>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</si>
  <si>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</si>
  <si>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</si>
  <si>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</si>
  <si>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</si>
  <si>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</si>
  <si>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</si>
  <si>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</si>
  <si>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</si>
  <si>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</si>
  <si>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</si>
  <si>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</si>
  <si>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</si>
  <si>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</si>
  <si>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</si>
  <si>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</si>
  <si>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</si>
  <si>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</si>
  <si>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</si>
  <si>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</si>
  <si>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</si>
  <si>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</si>
  <si>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</si>
  <si>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</si>
  <si>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</si>
  <si>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</si>
  <si>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</si>
  <si>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</si>
  <si>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</si>
  <si>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</si>
  <si>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</si>
  <si>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</si>
  <si>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</si>
  <si>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</si>
  <si>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</si>
  <si>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</si>
  <si>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</si>
  <si>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</si>
  <si>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</si>
  <si>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</si>
  <si>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</si>
  <si>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</si>
  <si>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</si>
  <si>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</si>
  <si>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</si>
  <si>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</si>
  <si>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</si>
  <si>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</si>
  <si>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</si>
  <si>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</si>
  <si>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</si>
  <si>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</si>
  <si>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</si>
  <si>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</si>
  <si>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</si>
  <si>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</si>
  <si>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</si>
  <si>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</si>
  <si>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</si>
  <si>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</si>
  <si>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</si>
  <si>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</si>
  <si>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</si>
  <si>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</si>
  <si>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</si>
  <si>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</si>
  <si>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</si>
  <si>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</si>
  <si>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</si>
  <si>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</si>
  <si>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</si>
  <si>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</si>
  <si>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</si>
  <si>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</si>
  <si>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</si>
  <si>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</si>
  <si>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</si>
  <si>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</si>
  <si>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</si>
  <si>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</si>
  <si>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</si>
  <si>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</si>
  <si>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</si>
  <si>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</si>
  <si>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</si>
  <si>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</si>
  <si>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</si>
  <si>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</si>
  <si>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</si>
  <si>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</si>
  <si>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</si>
  <si>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</si>
  <si>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</si>
  <si>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</si>
  <si>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</si>
  <si>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</si>
  <si>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</si>
  <si>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</si>
  <si>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</si>
  <si>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</si>
  <si>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</si>
  <si>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</si>
  <si>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</si>
  <si>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</si>
  <si>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</si>
  <si>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</si>
  <si>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</si>
  <si>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</si>
  <si>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</si>
  <si>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</si>
  <si>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</si>
  <si>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</si>
  <si>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</si>
  <si>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</si>
  <si>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</si>
  <si>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</si>
  <si>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</si>
  <si>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</si>
  <si>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</si>
  <si>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</si>
  <si>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</si>
  <si>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</si>
  <si>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</si>
  <si>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</si>
  <si>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</si>
  <si>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</si>
  <si>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</si>
  <si>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</si>
  <si>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</si>
  <si>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</si>
  <si>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</si>
  <si>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</si>
  <si>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</si>
  <si>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</si>
  <si>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</si>
  <si>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</si>
  <si>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</si>
  <si>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</si>
  <si>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</si>
  <si>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</si>
  <si>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</si>
  <si>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</si>
  <si>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</si>
  <si>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</si>
  <si>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</si>
  <si>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</si>
  <si>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</si>
  <si>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</si>
  <si>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</si>
  <si>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</si>
  <si>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</si>
  <si>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</si>
  <si>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</si>
  <si>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</si>
  <si>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</si>
  <si>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</si>
  <si>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</si>
  <si>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</si>
  <si>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</si>
  <si>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</si>
  <si>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</si>
  <si>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</si>
  <si>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</si>
  <si>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</si>
  <si>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</si>
  <si>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</si>
  <si>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</si>
  <si>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</si>
  <si>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</si>
  <si>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</si>
  <si>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</si>
  <si>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</si>
  <si>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</si>
  <si>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</si>
  <si>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</si>
  <si>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</si>
  <si>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</si>
  <si>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</si>
  <si>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</si>
  <si>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</si>
  <si>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</si>
  <si>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</si>
  <si>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</si>
  <si>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</si>
  <si>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</si>
  <si>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</si>
  <si>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</si>
  <si>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</si>
  <si>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</si>
  <si>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</si>
  <si>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</si>
  <si>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</si>
  <si>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</si>
  <si>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</si>
  <si>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</si>
  <si>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</si>
  <si>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</si>
  <si>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</si>
  <si>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</si>
  <si>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</si>
  <si>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</si>
  <si>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</si>
  <si>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</si>
  <si>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</si>
  <si>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</si>
  <si>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</si>
  <si>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</si>
  <si>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</si>
  <si>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</si>
  <si>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</si>
  <si>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</si>
  <si>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</si>
  <si>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</si>
  <si>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</si>
  <si>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</si>
  <si>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</si>
  <si>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</si>
  <si>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</si>
  <si>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</si>
  <si>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</si>
  <si>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</si>
  <si>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</si>
  <si>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</si>
  <si>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</si>
  <si>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</si>
  <si>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</si>
  <si>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</si>
  <si>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</si>
  <si>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</si>
  <si>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</si>
  <si>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</si>
  <si>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</si>
  <si>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</si>
  <si>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</si>
  <si>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</si>
  <si>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</si>
  <si>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</si>
  <si>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</si>
  <si>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</si>
  <si>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</si>
  <si>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</si>
  <si>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</si>
  <si>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</si>
  <si>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</si>
  <si>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</si>
  <si>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</si>
  <si>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</si>
  <si>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</si>
  <si>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</si>
  <si>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</si>
  <si>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</si>
  <si>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</si>
  <si>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</si>
  <si>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</si>
  <si>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</si>
  <si>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</si>
  <si>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</si>
  <si>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</si>
  <si>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</si>
  <si>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</si>
  <si>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</si>
  <si>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</si>
  <si>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</si>
  <si>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</si>
  <si>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</si>
  <si>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</si>
  <si>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</si>
  <si>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</si>
  <si>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</si>
  <si>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</si>
  <si>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</si>
  <si>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</si>
  <si>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</si>
  <si>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</si>
  <si>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</si>
  <si>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</si>
  <si>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</si>
  <si>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</si>
  <si>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</si>
  <si>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</si>
  <si>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</si>
  <si>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</si>
  <si>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</si>
  <si>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</si>
  <si>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</si>
  <si>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</si>
  <si>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</si>
  <si>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</si>
  <si>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</si>
  <si>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</si>
  <si>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</si>
  <si>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</si>
  <si>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</si>
  <si>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</si>
  <si>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</si>
  <si>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</si>
  <si>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</si>
  <si>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</si>
  <si>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</si>
  <si>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</si>
  <si>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</si>
  <si>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</si>
  <si>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</si>
  <si>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</si>
  <si>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</si>
  <si>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</si>
  <si>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</si>
  <si>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</si>
  <si>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</si>
  <si>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</si>
  <si>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</si>
  <si>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</si>
  <si>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</si>
  <si>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</si>
  <si>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</si>
  <si>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</si>
  <si>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</si>
  <si>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</si>
  <si>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</si>
  <si>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</si>
  <si>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</si>
  <si>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</si>
  <si>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</si>
  <si>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</si>
  <si>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</si>
  <si>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</si>
  <si>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</si>
  <si>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</si>
  <si>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</si>
  <si>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</si>
  <si>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</si>
  <si>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</si>
  <si>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</si>
  <si>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</si>
  <si>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</si>
  <si>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</si>
  <si>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</si>
  <si>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</si>
  <si>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</si>
  <si>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</si>
  <si>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</si>
  <si>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</si>
  <si>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</si>
  <si>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</si>
  <si>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</si>
  <si>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</si>
  <si>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</si>
  <si>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</si>
  <si>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</si>
  <si>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</si>
  <si>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</si>
  <si>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</si>
  <si>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</si>
  <si>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</si>
  <si>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</si>
  <si>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</si>
  <si>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</si>
  <si>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</si>
  <si>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</si>
  <si>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</si>
  <si>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</si>
  <si>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</si>
  <si>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</si>
  <si>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</si>
  <si>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</si>
  <si>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</si>
  <si>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</si>
  <si>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</si>
  <si>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</si>
  <si>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</si>
  <si>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</si>
  <si>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</si>
  <si>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</si>
  <si>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</si>
  <si>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</si>
  <si>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</si>
  <si>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</si>
  <si>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</si>
  <si>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</si>
  <si>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</si>
  <si>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</si>
  <si>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</si>
  <si>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</si>
  <si>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</si>
  <si>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</si>
  <si>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</si>
  <si>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</si>
  <si>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</si>
  <si>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</si>
  <si>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</si>
  <si>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</si>
  <si>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</si>
  <si>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</si>
  <si>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</si>
  <si>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</si>
  <si>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</si>
  <si>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</si>
  <si>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</si>
  <si>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</si>
  <si>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</si>
  <si>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</si>
  <si>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</si>
  <si>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</si>
  <si>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</si>
  <si>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</si>
  <si>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</si>
  <si>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</si>
  <si>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</si>
  <si>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</si>
  <si>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</si>
  <si>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</si>
  <si>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</si>
  <si>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</si>
  <si>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</si>
  <si>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</si>
  <si>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</si>
  <si>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</si>
  <si>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</si>
  <si>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</si>
  <si>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</si>
  <si>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</si>
  <si>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</si>
  <si>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</si>
  <si>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</si>
  <si>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</si>
  <si>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</si>
  <si>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</si>
  <si>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</si>
  <si>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</si>
  <si>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</si>
  <si>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</si>
  <si>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</si>
  <si>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</si>
  <si>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</si>
  <si>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</si>
  <si>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</si>
  <si>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</si>
  <si>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</si>
  <si>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</si>
  <si>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</si>
  <si>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</si>
  <si>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</si>
  <si>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</si>
  <si>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</si>
  <si>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</si>
  <si>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</si>
  <si>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</si>
  <si>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</si>
  <si>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</si>
  <si>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</si>
  <si>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</si>
  <si>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</si>
  <si>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</si>
  <si>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</si>
  <si>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</si>
  <si>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</si>
  <si>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</si>
  <si>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</si>
  <si>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</si>
  <si>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</si>
  <si>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</si>
  <si>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</si>
  <si>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</si>
  <si>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</si>
  <si>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</si>
  <si>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</si>
  <si>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</si>
  <si>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</si>
  <si>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</si>
  <si>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</si>
  <si>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</si>
  <si>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</si>
  <si>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</si>
  <si>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</si>
  <si>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</si>
  <si>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</si>
  <si>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</si>
  <si>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</si>
  <si>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</si>
  <si>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</si>
  <si>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</si>
  <si>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</si>
  <si>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</si>
  <si>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</si>
  <si>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</si>
  <si>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</si>
  <si>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</si>
  <si>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</si>
  <si>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</si>
  <si>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</si>
  <si>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</si>
  <si>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</si>
  <si>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</si>
  <si>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</si>
  <si>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</si>
  <si>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</si>
  <si>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</si>
  <si>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</si>
  <si>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</si>
  <si>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</si>
  <si>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</si>
  <si>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</si>
  <si>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</si>
  <si>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</si>
  <si>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</si>
  <si>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</si>
  <si>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</si>
  <si>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</si>
  <si>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</si>
  <si>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</si>
  <si>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</si>
  <si>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</si>
  <si>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</si>
  <si>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</si>
  <si>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</si>
  <si>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</si>
  <si>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</si>
  <si>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</si>
  <si>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</si>
  <si>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</si>
  <si>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</si>
  <si>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</si>
  <si>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</si>
  <si>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</si>
  <si>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</si>
  <si>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</si>
  <si>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</si>
  <si>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</si>
  <si>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</si>
  <si>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</si>
  <si>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</si>
  <si>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</si>
  <si>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</si>
  <si>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</si>
  <si>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</si>
  <si>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</si>
  <si>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</si>
  <si>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</si>
  <si>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</si>
  <si>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</si>
  <si>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</si>
  <si>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</si>
  <si>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</si>
  <si>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</si>
  <si>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</si>
  <si>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</si>
  <si>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</si>
  <si>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</si>
  <si>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</si>
  <si>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</si>
  <si>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</si>
  <si>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</si>
  <si>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</si>
  <si>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</si>
  <si>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</si>
  <si>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</si>
  <si>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</si>
  <si>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</si>
  <si>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</si>
  <si>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</si>
  <si>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</si>
  <si>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</si>
  <si>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</si>
  <si>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</si>
  <si>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</si>
  <si>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</si>
  <si>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</si>
  <si>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</si>
  <si>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</si>
  <si>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</si>
  <si>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</si>
  <si>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</si>
  <si>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</si>
  <si>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</si>
  <si>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</si>
  <si>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</si>
  <si>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</si>
  <si>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</si>
  <si>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</si>
  <si>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</si>
  <si>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</si>
  <si>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</si>
  <si>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</si>
  <si>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</si>
  <si>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</si>
  <si>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</si>
  <si>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</si>
  <si>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</si>
  <si>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</si>
  <si>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</si>
  <si>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</si>
  <si>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</si>
  <si>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</si>
  <si>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</si>
  <si>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</si>
  <si>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</si>
  <si>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</si>
  <si>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</si>
  <si>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</si>
  <si>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</si>
  <si>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</si>
  <si>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</si>
  <si>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</si>
  <si>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</si>
  <si>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</si>
  <si>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</si>
  <si>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</si>
  <si>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</si>
  <si>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</si>
  <si>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</si>
  <si>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</si>
  <si>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</si>
  <si>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</si>
  <si>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</si>
  <si>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</si>
  <si>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</si>
  <si>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</si>
  <si>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</si>
  <si>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</si>
  <si>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</si>
  <si>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</si>
  <si>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</si>
  <si>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</si>
  <si>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</si>
  <si>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</si>
  <si>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</si>
  <si>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</si>
  <si>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</si>
  <si>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</si>
  <si>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</si>
  <si>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</si>
  <si>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</si>
  <si>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</si>
  <si>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</si>
  <si>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</si>
  <si>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</si>
  <si>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</si>
  <si>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</si>
  <si>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</si>
  <si>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</si>
  <si>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</si>
  <si>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</si>
  <si>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</si>
  <si>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</si>
  <si>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</si>
  <si>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</si>
  <si>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</si>
  <si>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</si>
  <si>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</si>
  <si>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</si>
  <si>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</si>
  <si>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</si>
  <si>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</si>
  <si>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</si>
  <si>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</si>
  <si>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</si>
  <si>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</si>
  <si>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</si>
  <si>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</si>
  <si>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</si>
  <si>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</si>
  <si>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</si>
  <si>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</si>
  <si>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</si>
  <si>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</si>
  <si>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</si>
  <si>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</si>
  <si>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</si>
  <si>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</si>
  <si>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</si>
  <si>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</si>
  <si>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</si>
  <si>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</si>
  <si>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</si>
  <si>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</si>
  <si>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</si>
  <si>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</si>
  <si>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</si>
  <si>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</si>
  <si>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</si>
  <si>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</si>
  <si>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</si>
  <si>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</si>
  <si>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</si>
  <si>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</si>
  <si>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</si>
  <si>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</si>
  <si>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</si>
  <si>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</si>
  <si>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</si>
  <si>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</si>
  <si>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</si>
  <si>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</si>
  <si>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</si>
  <si>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</si>
  <si>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</si>
  <si>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</si>
  <si>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</si>
  <si>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</si>
  <si>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</si>
  <si>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</si>
  <si>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</si>
  <si>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</si>
  <si>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</si>
  <si>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</si>
  <si>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</si>
  <si>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</si>
  <si>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</si>
  <si>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</si>
  <si>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</si>
  <si>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</si>
  <si>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</si>
  <si>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</si>
  <si>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</si>
  <si>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</si>
  <si>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</si>
  <si>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</si>
  <si>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</si>
  <si>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</si>
  <si>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</si>
  <si>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</si>
  <si>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</si>
  <si>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</si>
  <si>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</si>
  <si>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</si>
  <si>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</si>
  <si>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</si>
  <si>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</si>
  <si>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</si>
  <si>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</si>
  <si>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</si>
  <si>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</si>
  <si>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</si>
  <si>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</si>
  <si>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</si>
  <si>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</si>
  <si>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</si>
  <si>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</si>
  <si>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</si>
  <si>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</si>
  <si>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</si>
  <si>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</si>
  <si>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</si>
  <si>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</si>
  <si>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</si>
  <si>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</si>
  <si>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</si>
  <si>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</si>
  <si>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</si>
  <si>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</si>
  <si>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</si>
  <si>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</si>
  <si>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</si>
  <si>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</si>
  <si>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</si>
  <si>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</si>
  <si>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</si>
  <si>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</si>
  <si>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</si>
  <si>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</si>
  <si>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</si>
  <si>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</si>
  <si>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</si>
  <si>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</si>
  <si>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</si>
  <si>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</si>
  <si>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</si>
  <si>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</si>
  <si>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</si>
  <si>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</si>
  <si>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</si>
  <si>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</si>
  <si>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</si>
  <si>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</si>
  <si>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</si>
  <si>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</si>
  <si>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</si>
  <si>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</si>
  <si>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</si>
  <si>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</si>
  <si>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</si>
  <si>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</si>
  <si>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</si>
  <si>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</si>
  <si>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</si>
  <si>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</si>
  <si>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</si>
  <si>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</si>
  <si>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</si>
  <si>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</si>
  <si>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</si>
  <si>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</si>
  <si>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</si>
  <si>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</si>
  <si>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</si>
  <si>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</si>
  <si>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</si>
  <si>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</si>
  <si>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</si>
  <si>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</si>
  <si>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</si>
  <si>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</si>
  <si>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</si>
  <si>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</si>
  <si>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</si>
  <si>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</si>
  <si>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</si>
  <si>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</si>
  <si>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</si>
  <si>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</si>
  <si>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</si>
  <si>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</si>
  <si>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</si>
  <si>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</si>
  <si>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</si>
  <si>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</si>
  <si>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</si>
  <si>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</si>
  <si>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</si>
  <si>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</si>
  <si>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</si>
  <si>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</si>
  <si>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</si>
  <si>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</si>
  <si>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</si>
  <si>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</si>
  <si>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</si>
  <si>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</si>
  <si>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</si>
  <si>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</si>
  <si>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</si>
  <si>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</si>
  <si>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</si>
  <si>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</si>
  <si>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</si>
  <si>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</si>
  <si>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</si>
  <si>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</si>
  <si>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</si>
  <si>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</si>
  <si>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</si>
  <si>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</si>
  <si>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</si>
  <si>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</si>
  <si>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</si>
  <si>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</si>
  <si>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</si>
  <si>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</si>
  <si>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</si>
  <si>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</si>
  <si>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</si>
  <si>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</si>
  <si>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</si>
  <si>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</si>
  <si>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</si>
  <si>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</si>
  <si>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</si>
  <si>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</si>
  <si>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</si>
  <si>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</si>
  <si>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</si>
  <si>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</si>
  <si>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</si>
  <si>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</si>
  <si>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</si>
  <si>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</si>
  <si>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</si>
  <si>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</si>
  <si>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</si>
  <si>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</si>
  <si>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</si>
  <si>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</si>
  <si>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</si>
  <si>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</si>
  <si>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</si>
  <si>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</si>
  <si>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</si>
  <si>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</si>
  <si>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</si>
  <si>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</si>
  <si>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</si>
  <si>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</si>
  <si>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</si>
  <si>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</si>
  <si>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</si>
  <si>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</si>
  <si>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</si>
  <si>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</si>
  <si>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</si>
  <si>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</si>
  <si>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</si>
  <si>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</si>
  <si>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</si>
  <si>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</si>
  <si>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</si>
  <si>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</si>
  <si>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</si>
  <si>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</si>
  <si>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</si>
  <si>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</si>
  <si>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</si>
  <si>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</si>
  <si>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</si>
  <si>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</si>
  <si>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</si>
  <si>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</si>
  <si>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</si>
  <si>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</si>
  <si>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</si>
  <si>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</si>
  <si>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</si>
  <si>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</si>
  <si>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</si>
  <si>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</si>
  <si>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</si>
  <si>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</si>
  <si>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</si>
  <si>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</si>
  <si>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</si>
  <si>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</si>
  <si>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</si>
  <si>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</si>
  <si>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</si>
  <si>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</si>
  <si>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</si>
  <si>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</si>
  <si>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</si>
  <si>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</si>
  <si>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</si>
  <si>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</si>
  <si>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</si>
  <si>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</si>
  <si>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</si>
  <si>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</si>
  <si>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</si>
  <si>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</si>
  <si>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</si>
  <si>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</si>
  <si>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</si>
  <si>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</si>
  <si>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</si>
  <si>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</si>
  <si>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</si>
  <si>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</si>
  <si>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</si>
  <si>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</si>
  <si>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</si>
  <si>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</si>
  <si>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</si>
  <si>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</si>
  <si>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</si>
  <si>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</si>
  <si>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</si>
  <si>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</si>
  <si>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</si>
  <si>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</si>
  <si>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</si>
  <si>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</si>
  <si>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</si>
  <si>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</si>
  <si>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</si>
  <si>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</si>
  <si>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</si>
  <si>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</si>
  <si>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</si>
  <si>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</si>
  <si>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</si>
  <si>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</si>
  <si>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</si>
  <si>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</si>
  <si>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</si>
  <si>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</si>
  <si>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</si>
  <si>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</si>
  <si>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</si>
  <si>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</si>
  <si>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</si>
  <si>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</si>
  <si>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</si>
  <si>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</si>
  <si>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</si>
  <si>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</si>
  <si>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</si>
  <si>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</si>
  <si>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</si>
  <si>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</si>
  <si>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</si>
  <si>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</si>
  <si>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</si>
  <si>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</si>
  <si>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</si>
  <si>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</si>
  <si>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</si>
  <si>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</si>
  <si>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</si>
  <si>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</si>
  <si>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</si>
  <si>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</si>
  <si>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</si>
  <si>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</si>
  <si>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</si>
  <si>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</si>
  <si>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</si>
  <si>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</si>
  <si>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</si>
  <si>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</si>
  <si>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</si>
  <si>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</si>
  <si>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</si>
  <si>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</si>
  <si>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</si>
  <si>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</si>
  <si>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</si>
  <si>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</si>
  <si>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</si>
  <si>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</si>
  <si>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</si>
  <si>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</si>
  <si>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</si>
  <si>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</si>
  <si>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</si>
  <si>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</si>
  <si>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</si>
  <si>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</si>
  <si>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</si>
  <si>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</si>
  <si>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</si>
  <si>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</si>
  <si>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</si>
  <si>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</si>
  <si>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</si>
  <si>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</si>
  <si>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</si>
  <si>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</si>
  <si>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</si>
  <si>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</si>
  <si>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</si>
  <si>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</si>
  <si>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</si>
  <si>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</si>
  <si>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</si>
  <si>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</si>
  <si>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</si>
  <si>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</si>
  <si>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</si>
  <si>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16Jul22: Altered the MAternal ewe lamb coefficients to be equivalent to James Pettie (with intercept scalar). Now peak RR is at 58kg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</si>
</sst>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2494</v>
      </c>
      <c r="C3" t="s">
        <v>2495</v>
      </c>
    </row>
    <row r="4" spans="1:3" x14ac:dyDescent="0.25">
      <c r="A4" s="382" t="s">
        <v>4</v>
      </c>
      <c r="C4" s="382" t="s">
        <v>2496</v>
      </c>
    </row>
    <row r="5" spans="1:3" x14ac:dyDescent="0.25">
      <c r="A5" s="383" t="s">
        <v>2488</v>
      </c>
      <c r="C5" s="383" t="s">
        <v>144</v>
      </c>
    </row>
    <row r="6" spans="1:3" x14ac:dyDescent="0.25">
      <c r="A6" s="383" t="s">
        <v>10</v>
      </c>
      <c r="C6" s="383" t="s">
        <v>4</v>
      </c>
    </row>
    <row r="7" spans="1:3" x14ac:dyDescent="0.25">
      <c r="A7" s="386" t="s">
        <v>87</v>
      </c>
      <c r="B7" s="390"/>
      <c r="C7" s="383" t="s">
        <v>2488</v>
      </c>
    </row>
    <row r="8" spans="1:3" x14ac:dyDescent="0.25">
      <c r="A8" s="383" t="s">
        <v>88</v>
      </c>
      <c r="C8" s="383" t="s">
        <v>10</v>
      </c>
    </row>
    <row r="9" spans="1:3" x14ac:dyDescent="0.25">
      <c r="A9" s="383" t="s">
        <v>89</v>
      </c>
      <c r="C9" s="383" t="s">
        <v>87</v>
      </c>
    </row>
    <row r="10" spans="1:3" x14ac:dyDescent="0.25">
      <c r="A10" s="383" t="s">
        <v>7</v>
      </c>
      <c r="C10" s="383" t="s">
        <v>88</v>
      </c>
    </row>
    <row r="11" spans="1:3" x14ac:dyDescent="0.25">
      <c r="A11" s="383" t="s">
        <v>6</v>
      </c>
      <c r="C11" s="383" t="s">
        <v>2497</v>
      </c>
    </row>
    <row r="12" spans="1:3" x14ac:dyDescent="0.25">
      <c r="A12" s="383" t="s">
        <v>2492</v>
      </c>
      <c r="C12" s="383" t="s">
        <v>149</v>
      </c>
    </row>
    <row r="13" spans="1:3" x14ac:dyDescent="0.25">
      <c r="A13" s="383" t="s">
        <v>103</v>
      </c>
      <c r="C13" s="383" t="s">
        <v>147</v>
      </c>
    </row>
    <row r="14" spans="1:3" x14ac:dyDescent="0.25">
      <c r="A14" s="383" t="s">
        <v>9</v>
      </c>
      <c r="C14" s="383" t="s">
        <v>89</v>
      </c>
    </row>
    <row r="15" spans="1:3" x14ac:dyDescent="0.25">
      <c r="A15" s="383" t="s">
        <v>2491</v>
      </c>
      <c r="C15" s="383" t="s">
        <v>7</v>
      </c>
    </row>
    <row r="16" spans="1:3" x14ac:dyDescent="0.25">
      <c r="A16" s="383" t="s">
        <v>90</v>
      </c>
      <c r="C16" s="383" t="s">
        <v>158</v>
      </c>
    </row>
    <row r="17" spans="1:3" x14ac:dyDescent="0.25">
      <c r="A17" s="383" t="s">
        <v>5</v>
      </c>
      <c r="C17" s="383" t="s">
        <v>6</v>
      </c>
    </row>
    <row r="18" spans="1:3" x14ac:dyDescent="0.25">
      <c r="A18" s="383" t="s">
        <v>2490</v>
      </c>
      <c r="C18" s="383" t="s">
        <v>2492</v>
      </c>
    </row>
    <row r="19" spans="1:3" x14ac:dyDescent="0.25">
      <c r="A19" s="383" t="s">
        <v>8</v>
      </c>
      <c r="C19" s="383" t="s">
        <v>103</v>
      </c>
    </row>
    <row r="20" spans="1:3" x14ac:dyDescent="0.25">
      <c r="A20" s="384" t="s">
        <v>2489</v>
      </c>
      <c r="C20" s="383" t="s">
        <v>9</v>
      </c>
    </row>
    <row r="21" spans="1:3" x14ac:dyDescent="0.25">
      <c r="C21" s="383" t="s">
        <v>2491</v>
      </c>
    </row>
    <row r="22" spans="1:3" x14ac:dyDescent="0.25">
      <c r="C22" s="383" t="s">
        <v>2498</v>
      </c>
    </row>
    <row r="23" spans="1:3" x14ac:dyDescent="0.25">
      <c r="C23" s="383" t="s">
        <v>2765</v>
      </c>
    </row>
    <row r="24" spans="1:3" x14ac:dyDescent="0.25">
      <c r="C24" s="383" t="s">
        <v>145</v>
      </c>
    </row>
    <row r="25" spans="1:3" x14ac:dyDescent="0.25">
      <c r="C25" s="383" t="s">
        <v>2499</v>
      </c>
    </row>
    <row r="26" spans="1:3" x14ac:dyDescent="0.25">
      <c r="C26" s="383" t="s">
        <v>148</v>
      </c>
    </row>
    <row r="27" spans="1:3" x14ac:dyDescent="0.25">
      <c r="C27" s="383" t="s">
        <v>146</v>
      </c>
    </row>
    <row r="28" spans="1:3" x14ac:dyDescent="0.25">
      <c r="C28" s="383" t="s">
        <v>2500</v>
      </c>
    </row>
    <row r="29" spans="1:3" x14ac:dyDescent="0.25">
      <c r="C29" s="383" t="s">
        <v>152</v>
      </c>
    </row>
    <row r="30" spans="1:3" x14ac:dyDescent="0.25">
      <c r="C30" s="383" t="s">
        <v>150</v>
      </c>
    </row>
    <row r="31" spans="1:3" x14ac:dyDescent="0.25">
      <c r="C31" s="383" t="s">
        <v>90</v>
      </c>
    </row>
    <row r="32" spans="1:3" x14ac:dyDescent="0.25">
      <c r="C32" s="383" t="s">
        <v>5</v>
      </c>
    </row>
    <row r="33" spans="3:3" x14ac:dyDescent="0.25">
      <c r="C33" s="383" t="s">
        <v>2490</v>
      </c>
    </row>
    <row r="34" spans="3:3" x14ac:dyDescent="0.25">
      <c r="C34" s="383" t="s">
        <v>2501</v>
      </c>
    </row>
    <row r="35" spans="3:3" x14ac:dyDescent="0.25">
      <c r="C35" s="383" t="s">
        <v>153</v>
      </c>
    </row>
    <row r="36" spans="3:3" x14ac:dyDescent="0.25">
      <c r="C36" s="387" t="s">
        <v>151</v>
      </c>
    </row>
    <row r="37" spans="3:3" x14ac:dyDescent="0.25">
      <c r="C37" s="387" t="s">
        <v>8</v>
      </c>
    </row>
    <row r="38" spans="3:3" x14ac:dyDescent="0.25">
      <c r="C38" s="391" t="s">
        <v>2489</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2364</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2518</v>
      </c>
      <c r="G16" s="401"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399" t="s">
        <v>2526</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2528</v>
      </c>
      <c r="G20" s="400"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2519</v>
      </c>
      <c r="G21" s="440" t="s">
        <v>2521</v>
      </c>
      <c r="H21" s="439">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399" t="s">
        <v>2527</v>
      </c>
      <c r="G23" s="99"/>
      <c r="H23" s="99"/>
      <c r="I23" s="99"/>
      <c r="J23" s="99"/>
      <c r="K23" s="399" t="s">
        <v>2521</v>
      </c>
      <c r="L23" s="99"/>
      <c r="M23" s="99"/>
      <c r="N23" s="99"/>
      <c r="O23" s="99"/>
      <c r="P23" s="399" t="s">
        <v>2522</v>
      </c>
      <c r="Q23" s="99"/>
      <c r="R23" s="99"/>
      <c r="S23" s="99"/>
      <c r="T23" s="99"/>
      <c r="U23" s="99"/>
      <c r="V23" s="99"/>
      <c r="W23" s="78"/>
      <c r="X23" s="60"/>
      <c r="Y23" s="48"/>
      <c r="Z23" s="48"/>
      <c r="AA23" s="48"/>
    </row>
    <row r="24" spans="1:27" ht="60" outlineLevel="3" x14ac:dyDescent="0.25">
      <c r="A24" s="48"/>
      <c r="B24" s="57"/>
      <c r="C24" s="78"/>
      <c r="D24" s="78"/>
      <c r="E24" s="81"/>
      <c r="F24" s="403" t="s">
        <v>2520</v>
      </c>
      <c r="G24" s="402" t="s">
        <v>2521</v>
      </c>
      <c r="H24" s="81"/>
      <c r="I24" s="81"/>
      <c r="J24" s="81"/>
      <c r="K24" s="403" t="s">
        <v>2523</v>
      </c>
      <c r="L24" s="400">
        <v>5.0000000000000004E-6</v>
      </c>
      <c r="M24" s="81"/>
      <c r="N24" s="81"/>
      <c r="O24" s="81"/>
      <c r="P24" s="403" t="s">
        <v>2524</v>
      </c>
      <c r="Q24" s="400">
        <v>0.7</v>
      </c>
      <c r="R24" s="81"/>
      <c r="S24" s="81"/>
      <c r="T24" s="81"/>
      <c r="U24" s="81"/>
      <c r="V24" s="81"/>
      <c r="W24" s="78"/>
      <c r="X24" s="60"/>
      <c r="Y24" s="48"/>
      <c r="Z24" s="48"/>
      <c r="AA24" s="48"/>
    </row>
    <row r="25" spans="1:27" outlineLevel="3" x14ac:dyDescent="0.25">
      <c r="A25" s="48"/>
      <c r="B25" s="57"/>
      <c r="C25" s="78"/>
      <c r="D25" s="78"/>
      <c r="E25" s="81"/>
      <c r="F25" s="81"/>
      <c r="G25" s="402" t="s">
        <v>2522</v>
      </c>
      <c r="H25" s="81"/>
      <c r="I25" s="81"/>
      <c r="J25" s="81"/>
      <c r="K25" s="81"/>
      <c r="L25" s="81"/>
      <c r="M25" s="81"/>
      <c r="N25" s="81"/>
      <c r="O25" s="81"/>
      <c r="P25" s="81" t="s">
        <v>2525</v>
      </c>
      <c r="Q25" s="400">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5" t="str">
        <f>Idx!A4</f>
        <v>b</v>
      </c>
      <c r="B9" s="4">
        <v>300</v>
      </c>
      <c r="C9" s="1" t="s">
        <v>13</v>
      </c>
    </row>
    <row r="10" spans="1:3" x14ac:dyDescent="0.25">
      <c r="A10" s="385" t="str">
        <f>Idx!A5</f>
        <v>bd</v>
      </c>
      <c r="B10" s="4">
        <v>300</v>
      </c>
      <c r="C10" s="1" t="s">
        <v>13</v>
      </c>
    </row>
    <row r="11" spans="1:3" x14ac:dyDescent="0.25">
      <c r="A11" s="385" t="str">
        <f>Idx!A6</f>
        <v>f</v>
      </c>
      <c r="B11" s="4">
        <v>300</v>
      </c>
      <c r="C11" s="1" t="s">
        <v>13</v>
      </c>
    </row>
    <row r="12" spans="1:3" x14ac:dyDescent="0.25">
      <c r="A12" s="385" t="str">
        <f>Idx!A7</f>
        <v>h</v>
      </c>
      <c r="B12" s="4">
        <v>300</v>
      </c>
      <c r="C12" s="1" t="s">
        <v>13</v>
      </c>
    </row>
    <row r="13" spans="1:3" x14ac:dyDescent="0.25">
      <c r="A13" s="385" t="str">
        <f>Idx!A8</f>
        <v>i</v>
      </c>
      <c r="B13" s="4">
        <v>300</v>
      </c>
      <c r="C13" s="1" t="s">
        <v>13</v>
      </c>
    </row>
    <row r="14" spans="1:3" x14ac:dyDescent="0.25">
      <c r="A14" s="385" t="str">
        <f>Idx!A9</f>
        <v>k</v>
      </c>
      <c r="B14" s="4">
        <v>300</v>
      </c>
      <c r="C14" s="1" t="s">
        <v>13</v>
      </c>
    </row>
    <row r="15" spans="1:3" x14ac:dyDescent="0.25">
      <c r="A15" s="385" t="str">
        <f>Idx!A10</f>
        <v>l</v>
      </c>
      <c r="B15" s="4">
        <v>300</v>
      </c>
      <c r="C15" s="1" t="s">
        <v>13</v>
      </c>
    </row>
    <row r="16" spans="1:3" x14ac:dyDescent="0.25">
      <c r="A16" s="385" t="str">
        <f>Idx!A11</f>
        <v>o</v>
      </c>
      <c r="B16" s="4">
        <v>300</v>
      </c>
      <c r="C16" s="1" t="s">
        <v>13</v>
      </c>
    </row>
    <row r="17" spans="1:3" x14ac:dyDescent="0.25">
      <c r="A17" s="385" t="str">
        <f>Idx!A12</f>
        <v>od</v>
      </c>
      <c r="B17" s="4">
        <v>300</v>
      </c>
      <c r="C17" s="1" t="s">
        <v>13</v>
      </c>
    </row>
    <row r="18" spans="1:3" x14ac:dyDescent="0.25">
      <c r="A18" s="385" t="str">
        <f>Idx!A13</f>
        <v>of</v>
      </c>
      <c r="B18" s="4">
        <v>300</v>
      </c>
      <c r="C18" s="1" t="s">
        <v>13</v>
      </c>
    </row>
    <row r="19" spans="1:3" x14ac:dyDescent="0.25">
      <c r="A19" s="385" t="str">
        <f>Idx!A14</f>
        <v>r</v>
      </c>
      <c r="B19" s="4">
        <v>300</v>
      </c>
      <c r="C19" s="1" t="s">
        <v>13</v>
      </c>
    </row>
    <row r="20" spans="1:3" x14ac:dyDescent="0.25">
      <c r="A20" s="385" t="str">
        <f>Idx!A15</f>
        <v>rd</v>
      </c>
      <c r="B20" s="4">
        <v>300</v>
      </c>
      <c r="C20" s="1" t="s">
        <v>13</v>
      </c>
    </row>
    <row r="21" spans="1:3" x14ac:dyDescent="0.25">
      <c r="A21" s="385" t="str">
        <f>Idx!A16</f>
        <v>v</v>
      </c>
      <c r="B21" s="4">
        <v>300</v>
      </c>
      <c r="C21" s="1" t="s">
        <v>13</v>
      </c>
    </row>
    <row r="22" spans="1:3" x14ac:dyDescent="0.25">
      <c r="A22" s="385" t="str">
        <f>Idx!A17</f>
        <v>w</v>
      </c>
      <c r="B22" s="4">
        <v>300</v>
      </c>
      <c r="C22" s="1" t="s">
        <v>13</v>
      </c>
    </row>
    <row r="23" spans="1:3" x14ac:dyDescent="0.25">
      <c r="A23" s="385" t="str">
        <f>Idx!A18</f>
        <v>wd</v>
      </c>
      <c r="B23" s="4">
        <v>300</v>
      </c>
      <c r="C23" s="1" t="s">
        <v>13</v>
      </c>
    </row>
    <row r="24" spans="1:3" x14ac:dyDescent="0.25">
      <c r="A24" s="385" t="str">
        <f>Idx!A19</f>
        <v>z</v>
      </c>
      <c r="B24" s="4">
        <v>300</v>
      </c>
      <c r="C24" s="1" t="s">
        <v>13</v>
      </c>
    </row>
    <row r="25" spans="1:3" x14ac:dyDescent="0.25">
      <c r="A25" s="385"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8">
        <f>MIN(364,INT((C44 - DATE(YEAR(C44),1,1))))</f>
        <v>226</v>
      </c>
      <c r="C44" s="6">
        <v>43692</v>
      </c>
    </row>
    <row r="46" spans="1:18" x14ac:dyDescent="0.25">
      <c r="A46" s="1" t="s">
        <v>2448</v>
      </c>
      <c r="B46" s="4">
        <v>50</v>
      </c>
      <c r="J46" s="1" t="s">
        <v>2449</v>
      </c>
    </row>
    <row r="47" spans="1:18" x14ac:dyDescent="0.25">
      <c r="A47" s="3"/>
      <c r="J47" s="487" t="s">
        <v>2502</v>
      </c>
      <c r="K47" s="487"/>
      <c r="L47" s="487"/>
      <c r="M47" s="487" t="s">
        <v>2506</v>
      </c>
      <c r="N47" s="487"/>
      <c r="O47" s="487"/>
      <c r="P47" s="487" t="s">
        <v>2507</v>
      </c>
      <c r="Q47" s="487"/>
      <c r="R47" s="487"/>
    </row>
    <row r="48" spans="1:18" x14ac:dyDescent="0.25">
      <c r="A48" s="3"/>
      <c r="I48" s="1" t="s">
        <v>2508</v>
      </c>
      <c r="J48" s="4" t="s">
        <v>2503</v>
      </c>
      <c r="K48" s="4" t="s">
        <v>2503</v>
      </c>
      <c r="L48" s="4" t="s">
        <v>2503</v>
      </c>
      <c r="M48" s="4" t="s">
        <v>2505</v>
      </c>
      <c r="N48" s="4" t="s">
        <v>2505</v>
      </c>
      <c r="O48" s="4" t="s">
        <v>2505</v>
      </c>
      <c r="P48" s="4" t="s">
        <v>2504</v>
      </c>
      <c r="Q48" s="4" t="s">
        <v>2504</v>
      </c>
      <c r="R48" s="4" t="s">
        <v>2504</v>
      </c>
    </row>
    <row r="49" spans="1:18" x14ac:dyDescent="0.25">
      <c r="A49" s="4" t="s">
        <v>86</v>
      </c>
      <c r="B49" s="4" t="s">
        <v>2450</v>
      </c>
      <c r="C49" s="4" t="s">
        <v>91</v>
      </c>
      <c r="D49" s="4" t="s">
        <v>92</v>
      </c>
      <c r="E49" s="4" t="s">
        <v>93</v>
      </c>
      <c r="F49" s="4" t="s">
        <v>94</v>
      </c>
      <c r="G49" s="4" t="s">
        <v>104</v>
      </c>
      <c r="I49" s="1" t="s">
        <v>2447</v>
      </c>
      <c r="J49" s="4">
        <v>20</v>
      </c>
      <c r="K49" s="4">
        <v>50</v>
      </c>
      <c r="L49" s="4">
        <v>80</v>
      </c>
      <c r="M49" s="4">
        <v>20</v>
      </c>
      <c r="N49" s="4">
        <v>50</v>
      </c>
      <c r="O49" s="4">
        <v>80</v>
      </c>
      <c r="P49" s="4">
        <v>20</v>
      </c>
      <c r="Q49" s="4">
        <v>50</v>
      </c>
      <c r="R49" s="4">
        <v>80</v>
      </c>
    </row>
    <row r="50" spans="1:18" x14ac:dyDescent="0.25">
      <c r="A50" s="385" t="str">
        <f>Idx!A4</f>
        <v>b</v>
      </c>
      <c r="B50" s="436">
        <v>0.1</v>
      </c>
      <c r="C50" s="436">
        <v>0.7</v>
      </c>
      <c r="D50" s="435">
        <f t="shared" ref="D50:D62" si="0">1-C50</f>
        <v>0.30000000000000004</v>
      </c>
      <c r="E50" s="437">
        <v>0.15</v>
      </c>
      <c r="F50" s="437">
        <v>13.45</v>
      </c>
      <c r="G50" s="437">
        <f>0.86*1.05</f>
        <v>0.90300000000000002</v>
      </c>
      <c r="I50" s="4" t="str">
        <f>A50</f>
        <v>b</v>
      </c>
      <c r="J50" s="398">
        <f>225/(1-$B50)</f>
        <v>250</v>
      </c>
      <c r="K50" s="398">
        <f>255/(1-$B50)</f>
        <v>283.33333333333331</v>
      </c>
      <c r="L50" s="398">
        <f>286/(1-$B50)</f>
        <v>317.77777777777777</v>
      </c>
      <c r="M50" s="392">
        <v>0</v>
      </c>
      <c r="N50" s="392">
        <v>0</v>
      </c>
      <c r="O50" s="392">
        <v>0</v>
      </c>
      <c r="P50" s="392">
        <f>Q50*0.75</f>
        <v>112.5</v>
      </c>
      <c r="Q50" s="392">
        <v>150</v>
      </c>
      <c r="R50" s="392">
        <f>Q50*1.25</f>
        <v>187.5</v>
      </c>
    </row>
    <row r="51" spans="1:18" x14ac:dyDescent="0.25">
      <c r="A51" s="385" t="str">
        <f>Idx!A5</f>
        <v>bd</v>
      </c>
      <c r="B51" s="433">
        <f>B50</f>
        <v>0.1</v>
      </c>
      <c r="C51" s="433">
        <f t="shared" ref="C51:G51" si="1">C50</f>
        <v>0.7</v>
      </c>
      <c r="D51" s="433">
        <f t="shared" si="1"/>
        <v>0.30000000000000004</v>
      </c>
      <c r="E51" s="433">
        <f t="shared" si="1"/>
        <v>0.15</v>
      </c>
      <c r="F51" s="433">
        <f t="shared" si="1"/>
        <v>13.45</v>
      </c>
      <c r="G51" s="433">
        <f t="shared" si="1"/>
        <v>0.90300000000000002</v>
      </c>
      <c r="I51" s="4" t="str">
        <f t="shared" ref="I51:I66" si="2">A51</f>
        <v>bd</v>
      </c>
      <c r="J51" s="433">
        <f t="shared" ref="J51" si="3">J50</f>
        <v>250</v>
      </c>
      <c r="K51" s="433">
        <f>K50</f>
        <v>283.33333333333331</v>
      </c>
      <c r="L51" s="433">
        <f t="shared" ref="L51" si="4">L50</f>
        <v>317.77777777777777</v>
      </c>
      <c r="M51" s="433">
        <f t="shared" ref="M51:R51" si="5">M50</f>
        <v>0</v>
      </c>
      <c r="N51" s="433">
        <f t="shared" si="5"/>
        <v>0</v>
      </c>
      <c r="O51" s="433">
        <f t="shared" si="5"/>
        <v>0</v>
      </c>
      <c r="P51" s="433">
        <f t="shared" si="5"/>
        <v>112.5</v>
      </c>
      <c r="Q51" s="433">
        <f t="shared" si="5"/>
        <v>150</v>
      </c>
      <c r="R51" s="433">
        <f t="shared" si="5"/>
        <v>187.5</v>
      </c>
    </row>
    <row r="52" spans="1:18" x14ac:dyDescent="0.25">
      <c r="A52" s="385" t="str">
        <f>Idx!A6</f>
        <v>f</v>
      </c>
      <c r="B52" s="436">
        <v>0</v>
      </c>
      <c r="C52" s="436">
        <v>1</v>
      </c>
      <c r="D52" s="435">
        <f t="shared" si="0"/>
        <v>0</v>
      </c>
      <c r="E52" s="437">
        <v>0.15</v>
      </c>
      <c r="F52" s="437">
        <v>15.85</v>
      </c>
      <c r="G52" s="437">
        <f>1.04*1.05</f>
        <v>1.0920000000000001</v>
      </c>
      <c r="I52" s="4" t="str">
        <f t="shared" si="2"/>
        <v>f</v>
      </c>
      <c r="J52" s="392">
        <f t="shared" ref="J52:J62" si="6">K52*0.75</f>
        <v>262.5</v>
      </c>
      <c r="K52" s="392">
        <v>350</v>
      </c>
      <c r="L52" s="392">
        <f t="shared" ref="L52:L62" si="7">K52*1.25</f>
        <v>437.5</v>
      </c>
      <c r="M52" s="392">
        <v>0</v>
      </c>
      <c r="N52" s="392">
        <v>0</v>
      </c>
      <c r="O52" s="392">
        <v>0</v>
      </c>
      <c r="P52" s="392">
        <f t="shared" ref="P52:P63" si="8">Q52*0.75</f>
        <v>112.5</v>
      </c>
      <c r="Q52" s="392">
        <v>150</v>
      </c>
      <c r="R52" s="392">
        <f t="shared" ref="R52:R63" si="9">Q52*1.25</f>
        <v>187.5</v>
      </c>
    </row>
    <row r="53" spans="1:18" x14ac:dyDescent="0.25">
      <c r="A53" s="385" t="str">
        <f>Idx!A7</f>
        <v>h</v>
      </c>
      <c r="B53" s="436">
        <v>0</v>
      </c>
      <c r="C53" s="436">
        <v>1</v>
      </c>
      <c r="D53" s="435">
        <f t="shared" si="0"/>
        <v>0</v>
      </c>
      <c r="E53" s="437">
        <v>0.5</v>
      </c>
      <c r="F53" s="437">
        <v>1.5</v>
      </c>
      <c r="G53" s="437">
        <f>0.86*1.05</f>
        <v>0.90300000000000002</v>
      </c>
      <c r="I53" s="4" t="str">
        <f t="shared" si="2"/>
        <v>h</v>
      </c>
      <c r="J53" s="392">
        <f t="shared" si="6"/>
        <v>176.25</v>
      </c>
      <c r="K53" s="392">
        <v>235</v>
      </c>
      <c r="L53" s="392">
        <f t="shared" si="7"/>
        <v>293.75</v>
      </c>
      <c r="M53" s="392">
        <v>0</v>
      </c>
      <c r="N53" s="392">
        <v>0</v>
      </c>
      <c r="O53" s="392">
        <v>0</v>
      </c>
      <c r="P53" s="392">
        <f t="shared" si="8"/>
        <v>112.5</v>
      </c>
      <c r="Q53" s="392">
        <v>150</v>
      </c>
      <c r="R53" s="392">
        <f t="shared" si="9"/>
        <v>187.5</v>
      </c>
    </row>
    <row r="54" spans="1:18" x14ac:dyDescent="0.25">
      <c r="A54" s="385" t="str">
        <f>Idx!A8</f>
        <v>i</v>
      </c>
      <c r="B54" s="436">
        <v>0</v>
      </c>
      <c r="C54" s="436">
        <v>1</v>
      </c>
      <c r="D54" s="435">
        <f t="shared" si="0"/>
        <v>0</v>
      </c>
      <c r="E54" s="437">
        <v>0.15</v>
      </c>
      <c r="F54" s="437">
        <v>15.85</v>
      </c>
      <c r="G54" s="437">
        <f>1.04*1.05</f>
        <v>1.0920000000000001</v>
      </c>
      <c r="I54" s="4" t="str">
        <f t="shared" si="2"/>
        <v>i</v>
      </c>
      <c r="J54" s="392">
        <f t="shared" si="6"/>
        <v>262.5</v>
      </c>
      <c r="K54" s="392">
        <v>350</v>
      </c>
      <c r="L54" s="392">
        <f t="shared" si="7"/>
        <v>437.5</v>
      </c>
      <c r="M54" s="392">
        <v>0</v>
      </c>
      <c r="N54" s="392">
        <v>0</v>
      </c>
      <c r="O54" s="392">
        <v>0</v>
      </c>
      <c r="P54" s="392">
        <f t="shared" si="8"/>
        <v>112.5</v>
      </c>
      <c r="Q54" s="392">
        <v>150</v>
      </c>
      <c r="R54" s="392">
        <f t="shared" si="9"/>
        <v>187.5</v>
      </c>
    </row>
    <row r="55" spans="1:18" x14ac:dyDescent="0.25">
      <c r="A55" s="385" t="str">
        <f>Idx!A9</f>
        <v>k</v>
      </c>
      <c r="B55" s="436">
        <v>0</v>
      </c>
      <c r="C55" s="436">
        <v>1</v>
      </c>
      <c r="D55" s="435">
        <f t="shared" si="0"/>
        <v>0</v>
      </c>
      <c r="E55" s="437">
        <v>0.15</v>
      </c>
      <c r="F55" s="437">
        <v>15.85</v>
      </c>
      <c r="G55" s="437">
        <f>1.04*1.05</f>
        <v>1.0920000000000001</v>
      </c>
      <c r="I55" s="4" t="str">
        <f t="shared" si="2"/>
        <v>k</v>
      </c>
      <c r="J55" s="392">
        <f t="shared" si="6"/>
        <v>262.5</v>
      </c>
      <c r="K55" s="392">
        <v>350</v>
      </c>
      <c r="L55" s="392">
        <f t="shared" si="7"/>
        <v>437.5</v>
      </c>
      <c r="M55" s="392">
        <v>0</v>
      </c>
      <c r="N55" s="392">
        <v>0</v>
      </c>
      <c r="O55" s="392">
        <v>0</v>
      </c>
      <c r="P55" s="392">
        <f t="shared" si="8"/>
        <v>112.5</v>
      </c>
      <c r="Q55" s="392">
        <v>150</v>
      </c>
      <c r="R55" s="392">
        <f t="shared" si="9"/>
        <v>187.5</v>
      </c>
    </row>
    <row r="56" spans="1:18" x14ac:dyDescent="0.25">
      <c r="A56" s="385" t="str">
        <f>Idx!A10</f>
        <v>l</v>
      </c>
      <c r="B56" s="436">
        <v>0</v>
      </c>
      <c r="C56" s="436">
        <v>1</v>
      </c>
      <c r="D56" s="435">
        <f t="shared" si="0"/>
        <v>0</v>
      </c>
      <c r="E56" s="437">
        <v>0.15</v>
      </c>
      <c r="F56" s="437">
        <v>12.05</v>
      </c>
      <c r="G56" s="437">
        <f>1.04*1.05</f>
        <v>1.0920000000000001</v>
      </c>
      <c r="I56" s="4" t="str">
        <f t="shared" si="2"/>
        <v>l</v>
      </c>
      <c r="J56" s="392">
        <f t="shared" si="6"/>
        <v>228.75</v>
      </c>
      <c r="K56" s="392">
        <v>305</v>
      </c>
      <c r="L56" s="392">
        <f t="shared" si="7"/>
        <v>381.25</v>
      </c>
      <c r="M56" s="392">
        <v>0</v>
      </c>
      <c r="N56" s="392">
        <v>0</v>
      </c>
      <c r="O56" s="392">
        <v>0</v>
      </c>
      <c r="P56" s="392">
        <f t="shared" si="8"/>
        <v>112.5</v>
      </c>
      <c r="Q56" s="392">
        <v>150</v>
      </c>
      <c r="R56" s="392">
        <f t="shared" si="9"/>
        <v>187.5</v>
      </c>
    </row>
    <row r="57" spans="1:18" x14ac:dyDescent="0.25">
      <c r="A57" s="385" t="str">
        <f>Idx!A11</f>
        <v>o</v>
      </c>
      <c r="B57" s="436">
        <v>0</v>
      </c>
      <c r="C57" s="436">
        <v>1</v>
      </c>
      <c r="D57" s="435">
        <f t="shared" si="0"/>
        <v>0</v>
      </c>
      <c r="E57" s="437">
        <v>0.15</v>
      </c>
      <c r="F57" s="437">
        <v>12.85</v>
      </c>
      <c r="G57" s="437">
        <f>0.86*1.05</f>
        <v>0.90300000000000002</v>
      </c>
      <c r="I57" s="4" t="str">
        <f t="shared" si="2"/>
        <v>o</v>
      </c>
      <c r="J57" s="392">
        <f t="shared" si="6"/>
        <v>176.25</v>
      </c>
      <c r="K57" s="392">
        <v>235</v>
      </c>
      <c r="L57" s="392">
        <f t="shared" si="7"/>
        <v>293.75</v>
      </c>
      <c r="M57" s="392">
        <v>0</v>
      </c>
      <c r="N57" s="392">
        <v>0</v>
      </c>
      <c r="O57" s="392">
        <v>0</v>
      </c>
      <c r="P57" s="392">
        <f t="shared" si="8"/>
        <v>112.5</v>
      </c>
      <c r="Q57" s="392">
        <v>150</v>
      </c>
      <c r="R57" s="392">
        <f t="shared" si="9"/>
        <v>187.5</v>
      </c>
    </row>
    <row r="58" spans="1:18" x14ac:dyDescent="0.25">
      <c r="A58" s="385" t="str">
        <f>Idx!A12</f>
        <v>od</v>
      </c>
      <c r="B58" s="434">
        <f t="shared" ref="B58" si="10">B57</f>
        <v>0</v>
      </c>
      <c r="C58" s="434">
        <f t="shared" ref="C58" si="11">C57</f>
        <v>1</v>
      </c>
      <c r="D58" s="434">
        <f t="shared" ref="D58" si="12">D57</f>
        <v>0</v>
      </c>
      <c r="E58" s="434">
        <f t="shared" ref="E58" si="13">E57</f>
        <v>0.15</v>
      </c>
      <c r="F58" s="434">
        <f t="shared" ref="F58" si="14">F57</f>
        <v>12.85</v>
      </c>
      <c r="G58" s="434">
        <f t="shared" ref="G58" si="15">G57</f>
        <v>0.90300000000000002</v>
      </c>
      <c r="I58" s="4" t="str">
        <f t="shared" si="2"/>
        <v>od</v>
      </c>
      <c r="J58" s="433">
        <f>J57</f>
        <v>176.25</v>
      </c>
      <c r="K58" s="433">
        <f t="shared" ref="K58:R58" si="16">K57</f>
        <v>235</v>
      </c>
      <c r="L58" s="433">
        <f t="shared" si="16"/>
        <v>293.75</v>
      </c>
      <c r="M58" s="433">
        <f t="shared" si="16"/>
        <v>0</v>
      </c>
      <c r="N58" s="433">
        <f t="shared" si="16"/>
        <v>0</v>
      </c>
      <c r="O58" s="433">
        <f t="shared" si="16"/>
        <v>0</v>
      </c>
      <c r="P58" s="433">
        <f t="shared" si="16"/>
        <v>112.5</v>
      </c>
      <c r="Q58" s="433">
        <f t="shared" si="16"/>
        <v>150</v>
      </c>
      <c r="R58" s="433">
        <f t="shared" si="16"/>
        <v>187.5</v>
      </c>
    </row>
    <row r="59" spans="1:18" x14ac:dyDescent="0.25">
      <c r="A59" s="385" t="str">
        <f>Idx!A13</f>
        <v>of</v>
      </c>
      <c r="B59" s="434">
        <f>B57</f>
        <v>0</v>
      </c>
      <c r="C59" s="434">
        <f t="shared" ref="C59:G59" si="17">C57</f>
        <v>1</v>
      </c>
      <c r="D59" s="434">
        <f t="shared" si="17"/>
        <v>0</v>
      </c>
      <c r="E59" s="434">
        <f t="shared" si="17"/>
        <v>0.15</v>
      </c>
      <c r="F59" s="434">
        <f t="shared" si="17"/>
        <v>12.85</v>
      </c>
      <c r="G59" s="434">
        <f t="shared" si="17"/>
        <v>0.90300000000000002</v>
      </c>
      <c r="I59" s="4" t="str">
        <f t="shared" si="2"/>
        <v>of</v>
      </c>
      <c r="J59" s="433">
        <f>J57</f>
        <v>176.25</v>
      </c>
      <c r="K59" s="433">
        <f>K57</f>
        <v>235</v>
      </c>
      <c r="L59" s="433">
        <f t="shared" ref="L59:R59" si="18">L57</f>
        <v>293.75</v>
      </c>
      <c r="M59" s="433">
        <f t="shared" si="18"/>
        <v>0</v>
      </c>
      <c r="N59" s="433">
        <f t="shared" si="18"/>
        <v>0</v>
      </c>
      <c r="O59" s="433">
        <f t="shared" si="18"/>
        <v>0</v>
      </c>
      <c r="P59" s="433">
        <f t="shared" si="18"/>
        <v>112.5</v>
      </c>
      <c r="Q59" s="433">
        <f t="shared" si="18"/>
        <v>150</v>
      </c>
      <c r="R59" s="433">
        <f t="shared" si="18"/>
        <v>187.5</v>
      </c>
    </row>
    <row r="60" spans="1:18" x14ac:dyDescent="0.25">
      <c r="A60" s="385" t="str">
        <f>Idx!A14</f>
        <v>r</v>
      </c>
      <c r="B60" s="436">
        <v>0</v>
      </c>
      <c r="C60" s="436">
        <v>1</v>
      </c>
      <c r="D60" s="435">
        <f t="shared" si="0"/>
        <v>0</v>
      </c>
      <c r="E60" s="432">
        <v>0.12</v>
      </c>
      <c r="F60" s="432">
        <v>21.95</v>
      </c>
      <c r="G60" s="432">
        <f>1.04*1.05</f>
        <v>1.0920000000000001</v>
      </c>
      <c r="I60" s="4" t="str">
        <f t="shared" si="2"/>
        <v>r</v>
      </c>
      <c r="J60" s="392">
        <v>521</v>
      </c>
      <c r="K60" s="392">
        <v>566</v>
      </c>
      <c r="L60" s="392">
        <v>617</v>
      </c>
      <c r="M60" s="392">
        <v>0</v>
      </c>
      <c r="N60" s="392">
        <v>0</v>
      </c>
      <c r="O60" s="392">
        <v>0</v>
      </c>
      <c r="P60" s="392">
        <f t="shared" si="8"/>
        <v>112.5</v>
      </c>
      <c r="Q60" s="392">
        <v>150</v>
      </c>
      <c r="R60" s="392">
        <f t="shared" si="9"/>
        <v>187.5</v>
      </c>
    </row>
    <row r="61" spans="1:18" x14ac:dyDescent="0.25">
      <c r="A61" s="385" t="str">
        <f>Idx!A15</f>
        <v>rd</v>
      </c>
      <c r="B61" s="436">
        <v>0</v>
      </c>
      <c r="C61" s="436">
        <v>1</v>
      </c>
      <c r="D61" s="435">
        <f t="shared" ref="D61" si="19">1-C61</f>
        <v>0</v>
      </c>
      <c r="E61" s="432">
        <v>0.12</v>
      </c>
      <c r="F61" s="432">
        <v>21.95</v>
      </c>
      <c r="G61" s="432">
        <f>1.04*1.05</f>
        <v>1.0920000000000001</v>
      </c>
      <c r="I61" s="4" t="str">
        <f t="shared" si="2"/>
        <v>rd</v>
      </c>
      <c r="J61" s="433">
        <f>J$60</f>
        <v>521</v>
      </c>
      <c r="K61" s="433">
        <f t="shared" ref="K61:R61" si="20">K$60</f>
        <v>566</v>
      </c>
      <c r="L61" s="433">
        <f t="shared" si="20"/>
        <v>617</v>
      </c>
      <c r="M61" s="433">
        <f t="shared" si="20"/>
        <v>0</v>
      </c>
      <c r="N61" s="433">
        <f t="shared" si="20"/>
        <v>0</v>
      </c>
      <c r="O61" s="433">
        <f t="shared" si="20"/>
        <v>0</v>
      </c>
      <c r="P61" s="433">
        <f t="shared" si="20"/>
        <v>112.5</v>
      </c>
      <c r="Q61" s="433">
        <f t="shared" si="20"/>
        <v>150</v>
      </c>
      <c r="R61" s="433">
        <f t="shared" si="20"/>
        <v>187.5</v>
      </c>
    </row>
    <row r="62" spans="1:18" x14ac:dyDescent="0.25">
      <c r="A62" s="385" t="str">
        <f>Idx!A16</f>
        <v>v</v>
      </c>
      <c r="B62" s="436">
        <v>0</v>
      </c>
      <c r="C62" s="436">
        <v>1</v>
      </c>
      <c r="D62" s="435">
        <f t="shared" si="0"/>
        <v>0</v>
      </c>
      <c r="E62" s="432">
        <v>0.15</v>
      </c>
      <c r="F62" s="432">
        <v>15.85</v>
      </c>
      <c r="G62" s="432">
        <f>1.04*1.05</f>
        <v>1.0920000000000001</v>
      </c>
      <c r="I62" s="4" t="str">
        <f t="shared" si="2"/>
        <v>v</v>
      </c>
      <c r="J62" s="392">
        <f t="shared" si="6"/>
        <v>262.5</v>
      </c>
      <c r="K62" s="392">
        <v>350</v>
      </c>
      <c r="L62" s="392">
        <f t="shared" si="7"/>
        <v>437.5</v>
      </c>
      <c r="M62" s="392">
        <v>0</v>
      </c>
      <c r="N62" s="392">
        <v>0</v>
      </c>
      <c r="O62" s="392">
        <v>0</v>
      </c>
      <c r="P62" s="392">
        <f t="shared" si="8"/>
        <v>112.5</v>
      </c>
      <c r="Q62" s="392">
        <v>150</v>
      </c>
      <c r="R62" s="392">
        <f t="shared" si="9"/>
        <v>187.5</v>
      </c>
    </row>
    <row r="63" spans="1:18" x14ac:dyDescent="0.25">
      <c r="A63" s="385" t="str">
        <f>Idx!A17</f>
        <v>w</v>
      </c>
      <c r="B63" s="436">
        <v>0.1</v>
      </c>
      <c r="C63" s="436">
        <v>0.8</v>
      </c>
      <c r="D63" s="435">
        <f>1-C63</f>
        <v>0.19999999999999996</v>
      </c>
      <c r="E63" s="432">
        <v>0.15</v>
      </c>
      <c r="F63" s="432">
        <v>12.05</v>
      </c>
      <c r="G63" s="432">
        <f>0.86*1.05</f>
        <v>0.90300000000000002</v>
      </c>
      <c r="I63" s="4" t="str">
        <f t="shared" si="2"/>
        <v>w</v>
      </c>
      <c r="J63" s="392">
        <v>266</v>
      </c>
      <c r="K63" s="392">
        <v>301</v>
      </c>
      <c r="L63" s="392">
        <v>337</v>
      </c>
      <c r="M63" s="392">
        <v>0</v>
      </c>
      <c r="N63" s="392">
        <v>0</v>
      </c>
      <c r="O63" s="392">
        <v>0</v>
      </c>
      <c r="P63" s="392">
        <f t="shared" si="8"/>
        <v>112.5</v>
      </c>
      <c r="Q63" s="392">
        <v>150</v>
      </c>
      <c r="R63" s="392">
        <f t="shared" si="9"/>
        <v>187.5</v>
      </c>
    </row>
    <row r="64" spans="1:18" x14ac:dyDescent="0.25">
      <c r="A64" s="385" t="str">
        <f>Idx!A18</f>
        <v>wd</v>
      </c>
      <c r="B64" s="434">
        <f>B63</f>
        <v>0.1</v>
      </c>
      <c r="C64" s="434">
        <f t="shared" ref="C64:G64" si="21">C63</f>
        <v>0.8</v>
      </c>
      <c r="D64" s="434">
        <f t="shared" si="21"/>
        <v>0.19999999999999996</v>
      </c>
      <c r="E64" s="434">
        <f t="shared" si="21"/>
        <v>0.15</v>
      </c>
      <c r="F64" s="434">
        <f t="shared" si="21"/>
        <v>12.05</v>
      </c>
      <c r="G64" s="434">
        <f t="shared" si="21"/>
        <v>0.90300000000000002</v>
      </c>
      <c r="I64" s="4" t="str">
        <f t="shared" si="2"/>
        <v>wd</v>
      </c>
      <c r="J64" s="433">
        <f>J63</f>
        <v>266</v>
      </c>
      <c r="K64" s="433">
        <f>K63</f>
        <v>301</v>
      </c>
      <c r="L64" s="433">
        <f t="shared" ref="L64:R64" si="22">L63</f>
        <v>337</v>
      </c>
      <c r="M64" s="433">
        <f t="shared" si="22"/>
        <v>0</v>
      </c>
      <c r="N64" s="433">
        <f t="shared" si="22"/>
        <v>0</v>
      </c>
      <c r="O64" s="433">
        <f t="shared" si="22"/>
        <v>0</v>
      </c>
      <c r="P64" s="433">
        <f t="shared" si="22"/>
        <v>112.5</v>
      </c>
      <c r="Q64" s="433">
        <f t="shared" si="22"/>
        <v>150</v>
      </c>
      <c r="R64" s="433">
        <f t="shared" si="22"/>
        <v>187.5</v>
      </c>
    </row>
    <row r="65" spans="1:18" x14ac:dyDescent="0.25">
      <c r="A65" s="385" t="str">
        <f>Idx!A19</f>
        <v>z</v>
      </c>
      <c r="B65" s="436">
        <v>0</v>
      </c>
      <c r="C65" s="436">
        <v>1</v>
      </c>
      <c r="D65" s="435">
        <f>1-C65</f>
        <v>0</v>
      </c>
      <c r="E65" s="437">
        <v>0.12</v>
      </c>
      <c r="F65" s="437">
        <v>21.95</v>
      </c>
      <c r="G65" s="437">
        <f>1.04*1.05</f>
        <v>1.0920000000000001</v>
      </c>
      <c r="I65" s="4" t="str">
        <f t="shared" si="2"/>
        <v>z</v>
      </c>
      <c r="J65" s="433">
        <f t="shared" ref="J65:R66" si="23">J$60</f>
        <v>521</v>
      </c>
      <c r="K65" s="433">
        <f t="shared" si="23"/>
        <v>566</v>
      </c>
      <c r="L65" s="433">
        <f t="shared" si="23"/>
        <v>617</v>
      </c>
      <c r="M65" s="433">
        <f t="shared" si="23"/>
        <v>0</v>
      </c>
      <c r="N65" s="433">
        <f t="shared" si="23"/>
        <v>0</v>
      </c>
      <c r="O65" s="433">
        <f t="shared" si="23"/>
        <v>0</v>
      </c>
      <c r="P65" s="433">
        <f t="shared" si="23"/>
        <v>112.5</v>
      </c>
      <c r="Q65" s="433">
        <f t="shared" si="23"/>
        <v>150</v>
      </c>
      <c r="R65" s="433">
        <f t="shared" si="23"/>
        <v>187.5</v>
      </c>
    </row>
    <row r="66" spans="1:18" x14ac:dyDescent="0.25">
      <c r="A66" s="385" t="str">
        <f>Idx!A20</f>
        <v>zd</v>
      </c>
      <c r="B66" s="436">
        <v>0</v>
      </c>
      <c r="C66" s="436">
        <v>1</v>
      </c>
      <c r="D66" s="435">
        <f>1-C66</f>
        <v>0</v>
      </c>
      <c r="E66" s="437">
        <v>0.12</v>
      </c>
      <c r="F66" s="437">
        <v>21.95</v>
      </c>
      <c r="G66" s="437">
        <f>1.04*1.05</f>
        <v>1.0920000000000001</v>
      </c>
      <c r="I66" s="4" t="str">
        <f t="shared" si="2"/>
        <v>zd</v>
      </c>
      <c r="J66" s="433">
        <f t="shared" si="23"/>
        <v>521</v>
      </c>
      <c r="K66" s="433">
        <f t="shared" si="23"/>
        <v>566</v>
      </c>
      <c r="L66" s="433">
        <f t="shared" si="23"/>
        <v>617</v>
      </c>
      <c r="M66" s="433">
        <f t="shared" si="23"/>
        <v>0</v>
      </c>
      <c r="N66" s="433">
        <f t="shared" si="23"/>
        <v>0</v>
      </c>
      <c r="O66" s="433">
        <f t="shared" si="23"/>
        <v>0</v>
      </c>
      <c r="P66" s="433">
        <f t="shared" si="23"/>
        <v>112.5</v>
      </c>
      <c r="Q66" s="433">
        <f t="shared" si="23"/>
        <v>150</v>
      </c>
      <c r="R66" s="43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31" t="s">
        <v>2760</v>
      </c>
      <c r="B78" s="4">
        <v>520</v>
      </c>
    </row>
    <row r="79" spans="1:18" x14ac:dyDescent="0.25">
      <c r="A79" s="431" t="s">
        <v>2761</v>
      </c>
      <c r="B79" s="4">
        <v>520</v>
      </c>
    </row>
    <row r="80" spans="1:18" x14ac:dyDescent="0.25">
      <c r="A80" s="431" t="s">
        <v>2762</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2493</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2390</v>
      </c>
      <c r="B9" s="45">
        <v>0.5</v>
      </c>
    </row>
    <row r="10" spans="1:2" x14ac:dyDescent="0.25">
      <c r="A10" s="4" t="s">
        <v>2391</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2773</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2774</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81">
        <v>0</v>
      </c>
      <c r="D7" s="16"/>
      <c r="E7" s="21"/>
      <c r="F7" s="17"/>
      <c r="G7" s="482"/>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2775</v>
      </c>
      <c r="K9" s="21"/>
      <c r="L9" s="483" t="s">
        <v>2775</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2776</v>
      </c>
      <c r="K10" s="25"/>
      <c r="L10" s="483" t="s">
        <v>2777</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4" t="b">
        <v>1</v>
      </c>
      <c r="K11" s="28"/>
      <c r="L11" s="485">
        <v>0.5</v>
      </c>
      <c r="M11" s="486"/>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5" t="str" cm="1">
        <f t="array" ref="J24:Z24">TRANSPOSE(Idx!A4:A20)</f>
        <v>b</v>
      </c>
      <c r="K24" s="385" t="str">
        <v>bd</v>
      </c>
      <c r="L24" s="385" t="str">
        <v>f</v>
      </c>
      <c r="M24" s="385" t="str">
        <v>h</v>
      </c>
      <c r="N24" s="385" t="str">
        <v>i</v>
      </c>
      <c r="O24" s="385" t="str">
        <v>k</v>
      </c>
      <c r="P24" s="385" t="str">
        <v>l</v>
      </c>
      <c r="Q24" s="385" t="str">
        <v>o</v>
      </c>
      <c r="R24" s="385" t="str">
        <v>od</v>
      </c>
      <c r="S24" s="385" t="str">
        <v>of</v>
      </c>
      <c r="T24" s="385" t="str">
        <v>r</v>
      </c>
      <c r="U24" s="385" t="str">
        <v>rd</v>
      </c>
      <c r="V24" s="385" t="str">
        <v>v</v>
      </c>
      <c r="W24" s="385" t="str">
        <v>w</v>
      </c>
      <c r="X24" s="385" t="str">
        <v>wd</v>
      </c>
      <c r="Y24" s="385" t="str">
        <v>z</v>
      </c>
      <c r="Z24" s="385"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8"/>
      <c r="AB25" s="388"/>
      <c r="AC25" s="388"/>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8"/>
      <c r="AB26" s="388"/>
      <c r="AC26" s="388"/>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8"/>
      <c r="AB27" s="388"/>
      <c r="AC27" s="388"/>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8"/>
      <c r="AB28" s="388"/>
      <c r="AC28" s="388"/>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8"/>
      <c r="Z29" s="388"/>
      <c r="AA29" s="388"/>
      <c r="AB29" s="388"/>
      <c r="AC29" s="388"/>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8"/>
      <c r="Z30" s="388"/>
      <c r="AA30" s="388"/>
      <c r="AB30" s="388"/>
      <c r="AC30" s="388"/>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5" t="str" cm="1">
        <f t="array" ref="J40:Z40">TRANSPOSE(Idx!A4:A20)</f>
        <v>b</v>
      </c>
      <c r="K40" s="385" t="str">
        <v>bd</v>
      </c>
      <c r="L40" s="385" t="str">
        <v>f</v>
      </c>
      <c r="M40" s="385" t="str">
        <v>h</v>
      </c>
      <c r="N40" s="385" t="str">
        <v>i</v>
      </c>
      <c r="O40" s="385" t="str">
        <v>k</v>
      </c>
      <c r="P40" s="385" t="str">
        <v>l</v>
      </c>
      <c r="Q40" s="385" t="str">
        <v>o</v>
      </c>
      <c r="R40" s="385" t="str">
        <v>od</v>
      </c>
      <c r="S40" s="385" t="str">
        <v>of</v>
      </c>
      <c r="T40" s="385" t="str">
        <v>r</v>
      </c>
      <c r="U40" s="385" t="str">
        <v>rd</v>
      </c>
      <c r="V40" s="385" t="str">
        <v>v</v>
      </c>
      <c r="W40" s="385" t="str">
        <v>w</v>
      </c>
      <c r="X40" s="385" t="str">
        <v>wd</v>
      </c>
      <c r="Y40" s="385" t="str">
        <v>z</v>
      </c>
      <c r="Z40" s="385"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2509</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8"/>
      <c r="AB41" s="388"/>
      <c r="AC41" s="388"/>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8"/>
      <c r="AB42" s="388"/>
      <c r="AC42" s="388"/>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2510</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8"/>
      <c r="AC55" s="388"/>
      <c r="AD55" s="30"/>
      <c r="AE55" s="20"/>
      <c r="AF55" s="12"/>
      <c r="AG55" s="12"/>
      <c r="AH55" s="12"/>
    </row>
    <row r="56" spans="1:34" ht="12" customHeight="1" x14ac:dyDescent="0.25">
      <c r="A56" s="10"/>
      <c r="B56" s="11"/>
      <c r="C56" s="21"/>
      <c r="D56" s="21"/>
      <c r="E56" s="21"/>
      <c r="F56" s="27"/>
      <c r="I56" t="s">
        <v>2511</v>
      </c>
      <c r="AB56" s="388"/>
      <c r="AC56" s="388"/>
      <c r="AD56" s="30"/>
      <c r="AE56" s="20"/>
      <c r="AF56" s="12"/>
      <c r="AG56" s="12"/>
      <c r="AH56" s="12"/>
    </row>
    <row r="57" spans="1:34" ht="12" customHeight="1" x14ac:dyDescent="0.25">
      <c r="A57" s="10"/>
      <c r="B57" s="11"/>
      <c r="C57" s="21"/>
      <c r="D57" s="21"/>
      <c r="E57" s="21"/>
      <c r="F57" s="27"/>
      <c r="I57" s="393"/>
      <c r="J57" s="393"/>
      <c r="K57" s="393"/>
      <c r="L57" s="393"/>
      <c r="M57" s="393"/>
      <c r="AB57" s="388"/>
      <c r="AC57" s="388"/>
      <c r="AD57" s="30"/>
      <c r="AE57" s="20"/>
      <c r="AF57" s="12"/>
      <c r="AG57" s="12"/>
      <c r="AH57" s="12"/>
    </row>
    <row r="58" spans="1:34" ht="12" customHeight="1" x14ac:dyDescent="0.25">
      <c r="A58" s="10"/>
      <c r="B58" s="11"/>
      <c r="C58" s="21"/>
      <c r="D58" s="21"/>
      <c r="E58" s="21"/>
      <c r="F58" s="27"/>
      <c r="J58" t="s">
        <v>2503</v>
      </c>
      <c r="K58" t="s">
        <v>2505</v>
      </c>
      <c r="L58" t="s">
        <v>2504</v>
      </c>
      <c r="AB58" s="388"/>
      <c r="AC58" s="388"/>
      <c r="AD58" s="30"/>
      <c r="AE58" s="20"/>
      <c r="AF58" s="12"/>
      <c r="AG58" s="12"/>
      <c r="AH58" s="12"/>
    </row>
    <row r="59" spans="1:34" ht="12" customHeight="1" x14ac:dyDescent="0.25">
      <c r="A59" s="10"/>
      <c r="B59" s="11"/>
      <c r="C59" s="21"/>
      <c r="D59" s="21"/>
      <c r="E59" s="21"/>
      <c r="F59" s="27"/>
      <c r="I59" s="394" t="str">
        <f>Idx!A4</f>
        <v>b</v>
      </c>
      <c r="J59" s="396">
        <v>1</v>
      </c>
      <c r="K59" s="396">
        <v>0</v>
      </c>
      <c r="L59" s="396">
        <v>0</v>
      </c>
      <c r="M59" s="395" t="str">
        <f>IF(SUM(J59:L59)&gt;1,"***ERROR***","")</f>
        <v/>
      </c>
      <c r="AB59" s="388"/>
      <c r="AC59" s="388"/>
      <c r="AD59" s="30"/>
      <c r="AE59" s="20"/>
      <c r="AF59" s="12"/>
      <c r="AG59" s="12"/>
      <c r="AH59" s="12"/>
    </row>
    <row r="60" spans="1:34" ht="12" customHeight="1" x14ac:dyDescent="0.25">
      <c r="A60" s="10"/>
      <c r="B60" s="11"/>
      <c r="C60" s="21"/>
      <c r="D60" s="21"/>
      <c r="E60" s="21"/>
      <c r="F60" s="27"/>
      <c r="I60" s="394" t="str">
        <f>Idx!A5</f>
        <v>bd</v>
      </c>
      <c r="J60" s="396">
        <v>1</v>
      </c>
      <c r="K60" s="396">
        <v>0</v>
      </c>
      <c r="L60" s="396">
        <v>0</v>
      </c>
      <c r="M60" s="395" t="str">
        <f t="shared" ref="M60:M75" si="0">IF(SUM(J60:L60)&gt;1,"***ERROR***","")</f>
        <v/>
      </c>
      <c r="AB60" s="388"/>
      <c r="AC60" s="388"/>
      <c r="AD60" s="30"/>
      <c r="AE60" s="20"/>
      <c r="AF60" s="12"/>
      <c r="AG60" s="12"/>
      <c r="AH60" s="12"/>
    </row>
    <row r="61" spans="1:34" ht="12" customHeight="1" x14ac:dyDescent="0.25">
      <c r="A61" s="10"/>
      <c r="B61" s="11"/>
      <c r="C61" s="21"/>
      <c r="D61" s="21"/>
      <c r="E61" s="21"/>
      <c r="F61" s="27"/>
      <c r="I61" s="394" t="str">
        <f>Idx!A6</f>
        <v>f</v>
      </c>
      <c r="J61" s="396">
        <v>1</v>
      </c>
      <c r="K61" s="396">
        <v>0</v>
      </c>
      <c r="L61" s="396">
        <v>0</v>
      </c>
      <c r="M61" s="395" t="str">
        <f t="shared" si="0"/>
        <v/>
      </c>
      <c r="AB61" s="388"/>
      <c r="AC61" s="388"/>
      <c r="AD61" s="30"/>
      <c r="AE61" s="20"/>
      <c r="AF61" s="12"/>
      <c r="AG61" s="12"/>
      <c r="AH61" s="12"/>
    </row>
    <row r="62" spans="1:34" ht="12" customHeight="1" x14ac:dyDescent="0.25">
      <c r="A62" s="10"/>
      <c r="B62" s="11"/>
      <c r="C62" s="21"/>
      <c r="D62" s="21"/>
      <c r="E62" s="21"/>
      <c r="F62" s="27"/>
      <c r="I62" s="394" t="str">
        <f>Idx!A7</f>
        <v>h</v>
      </c>
      <c r="J62" s="396">
        <v>0</v>
      </c>
      <c r="K62" s="396">
        <v>0</v>
      </c>
      <c r="L62" s="396">
        <v>1</v>
      </c>
      <c r="M62" s="395" t="str">
        <f t="shared" si="0"/>
        <v/>
      </c>
      <c r="AB62" s="388"/>
      <c r="AC62" s="388"/>
      <c r="AD62" s="30"/>
      <c r="AE62" s="20"/>
      <c r="AF62" s="12"/>
      <c r="AG62" s="12"/>
      <c r="AH62" s="12"/>
    </row>
    <row r="63" spans="1:34" ht="12" customHeight="1" x14ac:dyDescent="0.25">
      <c r="A63" s="10"/>
      <c r="B63" s="11"/>
      <c r="C63" s="21"/>
      <c r="D63" s="21"/>
      <c r="E63" s="21"/>
      <c r="F63" s="27"/>
      <c r="I63" s="394" t="str">
        <f>Idx!A8</f>
        <v>i</v>
      </c>
      <c r="J63" s="396">
        <v>1</v>
      </c>
      <c r="K63" s="396">
        <v>0</v>
      </c>
      <c r="L63" s="396">
        <v>0</v>
      </c>
      <c r="M63" s="395" t="str">
        <f t="shared" si="0"/>
        <v/>
      </c>
      <c r="AB63" s="388"/>
      <c r="AC63" s="388"/>
      <c r="AD63" s="30"/>
      <c r="AE63" s="20"/>
      <c r="AF63" s="12"/>
      <c r="AG63" s="12"/>
      <c r="AH63" s="12"/>
    </row>
    <row r="64" spans="1:34" ht="12" customHeight="1" x14ac:dyDescent="0.25">
      <c r="A64" s="10"/>
      <c r="B64" s="11"/>
      <c r="C64" s="21"/>
      <c r="D64" s="21"/>
      <c r="E64" s="21"/>
      <c r="F64" s="27"/>
      <c r="I64" s="394" t="str">
        <f>Idx!A9</f>
        <v>k</v>
      </c>
      <c r="J64" s="396">
        <v>1</v>
      </c>
      <c r="K64" s="396">
        <v>0</v>
      </c>
      <c r="L64" s="396">
        <v>0</v>
      </c>
      <c r="M64" s="395" t="str">
        <f t="shared" si="0"/>
        <v/>
      </c>
      <c r="AB64" s="388"/>
      <c r="AC64" s="388"/>
      <c r="AD64" s="30"/>
      <c r="AE64" s="20"/>
      <c r="AF64" s="12"/>
      <c r="AG64" s="12"/>
      <c r="AH64" s="12"/>
    </row>
    <row r="65" spans="1:34" ht="12" customHeight="1" x14ac:dyDescent="0.25">
      <c r="A65" s="10"/>
      <c r="B65" s="11"/>
      <c r="C65" s="21"/>
      <c r="D65" s="21"/>
      <c r="E65" s="21"/>
      <c r="F65" s="27"/>
      <c r="I65" s="394" t="str">
        <f>Idx!A10</f>
        <v>l</v>
      </c>
      <c r="J65" s="396">
        <v>1</v>
      </c>
      <c r="K65" s="396">
        <v>0</v>
      </c>
      <c r="L65" s="396">
        <v>0</v>
      </c>
      <c r="M65" s="395" t="str">
        <f t="shared" si="0"/>
        <v/>
      </c>
      <c r="AB65" s="388"/>
      <c r="AC65" s="388"/>
      <c r="AD65" s="30"/>
      <c r="AE65" s="20"/>
      <c r="AF65" s="12"/>
      <c r="AG65" s="12"/>
      <c r="AH65" s="12"/>
    </row>
    <row r="66" spans="1:34" ht="12" customHeight="1" x14ac:dyDescent="0.25">
      <c r="A66" s="10"/>
      <c r="B66" s="11"/>
      <c r="C66" s="21"/>
      <c r="D66" s="21"/>
      <c r="E66" s="21"/>
      <c r="F66" s="27"/>
      <c r="I66" s="394" t="str">
        <f>Idx!A11</f>
        <v>o</v>
      </c>
      <c r="J66" s="396">
        <v>1</v>
      </c>
      <c r="K66" s="396">
        <v>0</v>
      </c>
      <c r="L66" s="396">
        <v>0</v>
      </c>
      <c r="M66" s="395" t="str">
        <f t="shared" si="0"/>
        <v/>
      </c>
      <c r="AB66" s="388"/>
      <c r="AC66" s="388"/>
      <c r="AD66" s="30"/>
      <c r="AE66" s="20"/>
      <c r="AF66" s="12"/>
      <c r="AG66" s="12"/>
      <c r="AH66" s="12"/>
    </row>
    <row r="67" spans="1:34" ht="12" customHeight="1" x14ac:dyDescent="0.25">
      <c r="A67" s="10"/>
      <c r="B67" s="11"/>
      <c r="C67" s="21"/>
      <c r="D67" s="21"/>
      <c r="E67" s="21"/>
      <c r="F67" s="27"/>
      <c r="I67" s="394" t="str">
        <f>Idx!A12</f>
        <v>od</v>
      </c>
      <c r="J67" s="396">
        <v>1</v>
      </c>
      <c r="K67" s="396">
        <v>0</v>
      </c>
      <c r="L67" s="396">
        <v>0</v>
      </c>
      <c r="M67" s="395" t="str">
        <f t="shared" si="0"/>
        <v/>
      </c>
      <c r="AB67" s="388"/>
      <c r="AC67" s="388"/>
      <c r="AD67" s="30"/>
      <c r="AE67" s="20"/>
      <c r="AF67" s="12"/>
      <c r="AG67" s="12"/>
      <c r="AH67" s="12"/>
    </row>
    <row r="68" spans="1:34" ht="12" customHeight="1" x14ac:dyDescent="0.25">
      <c r="A68" s="10"/>
      <c r="B68" s="11"/>
      <c r="C68" s="21"/>
      <c r="D68" s="21"/>
      <c r="E68" s="21"/>
      <c r="F68" s="27"/>
      <c r="I68" s="394" t="str">
        <f>Idx!A13</f>
        <v>of</v>
      </c>
      <c r="J68" s="396">
        <v>0</v>
      </c>
      <c r="K68" s="396">
        <v>1</v>
      </c>
      <c r="L68" s="396">
        <v>0</v>
      </c>
      <c r="M68" s="395" t="str">
        <f t="shared" si="0"/>
        <v/>
      </c>
      <c r="AB68" s="388"/>
      <c r="AC68" s="388"/>
      <c r="AD68" s="30"/>
      <c r="AE68" s="20"/>
      <c r="AF68" s="12"/>
      <c r="AG68" s="12"/>
      <c r="AH68" s="12"/>
    </row>
    <row r="69" spans="1:34" ht="12" customHeight="1" x14ac:dyDescent="0.25">
      <c r="A69" s="10"/>
      <c r="B69" s="11"/>
      <c r="C69" s="21"/>
      <c r="D69" s="21"/>
      <c r="E69" s="21"/>
      <c r="F69" s="27"/>
      <c r="I69" s="394" t="str">
        <f>Idx!A14</f>
        <v>r</v>
      </c>
      <c r="J69" s="396">
        <v>1</v>
      </c>
      <c r="K69" s="396">
        <v>0</v>
      </c>
      <c r="L69" s="396">
        <v>0</v>
      </c>
      <c r="M69" s="395" t="str">
        <f t="shared" si="0"/>
        <v/>
      </c>
      <c r="AB69" s="388"/>
      <c r="AC69" s="388"/>
      <c r="AD69" s="30"/>
      <c r="AE69" s="20"/>
      <c r="AF69" s="12"/>
      <c r="AG69" s="12"/>
      <c r="AH69" s="12"/>
    </row>
    <row r="70" spans="1:34" ht="12" customHeight="1" x14ac:dyDescent="0.25">
      <c r="A70" s="10"/>
      <c r="B70" s="11"/>
      <c r="C70" s="21"/>
      <c r="D70" s="21"/>
      <c r="E70" s="21"/>
      <c r="F70" s="27"/>
      <c r="I70" s="394" t="str">
        <f>Idx!A15</f>
        <v>rd</v>
      </c>
      <c r="J70" s="396">
        <v>1</v>
      </c>
      <c r="K70" s="396">
        <v>0</v>
      </c>
      <c r="L70" s="396">
        <v>0</v>
      </c>
      <c r="M70" s="395" t="str">
        <f t="shared" si="0"/>
        <v/>
      </c>
      <c r="AB70" s="388"/>
      <c r="AC70" s="388"/>
      <c r="AD70" s="30"/>
      <c r="AE70" s="20"/>
      <c r="AF70" s="12"/>
      <c r="AG70" s="12"/>
      <c r="AH70" s="12"/>
    </row>
    <row r="71" spans="1:34" ht="12" customHeight="1" x14ac:dyDescent="0.25">
      <c r="A71" s="10"/>
      <c r="B71" s="11"/>
      <c r="C71" s="21"/>
      <c r="D71" s="21"/>
      <c r="E71" s="21"/>
      <c r="F71" s="27"/>
      <c r="I71" s="394" t="str">
        <f>Idx!A16</f>
        <v>v</v>
      </c>
      <c r="J71" s="396">
        <v>1</v>
      </c>
      <c r="K71" s="396">
        <v>0</v>
      </c>
      <c r="L71" s="396">
        <v>0</v>
      </c>
      <c r="M71" s="395" t="str">
        <f t="shared" si="0"/>
        <v/>
      </c>
      <c r="AB71" s="388"/>
      <c r="AC71" s="388"/>
      <c r="AD71" s="30"/>
      <c r="AE71" s="20"/>
      <c r="AF71" s="12"/>
      <c r="AG71" s="12"/>
      <c r="AH71" s="12"/>
    </row>
    <row r="72" spans="1:34" ht="12" customHeight="1" x14ac:dyDescent="0.25">
      <c r="A72" s="10"/>
      <c r="B72" s="11"/>
      <c r="C72" s="21"/>
      <c r="D72" s="21"/>
      <c r="E72" s="21"/>
      <c r="F72" s="27"/>
      <c r="I72" s="394" t="str">
        <f>Idx!A17</f>
        <v>w</v>
      </c>
      <c r="J72" s="396">
        <v>1</v>
      </c>
      <c r="K72" s="396">
        <v>0</v>
      </c>
      <c r="L72" s="396">
        <v>0</v>
      </c>
      <c r="M72" s="395" t="str">
        <f t="shared" si="0"/>
        <v/>
      </c>
      <c r="AB72" s="388"/>
      <c r="AC72" s="388"/>
      <c r="AD72" s="30"/>
      <c r="AE72" s="20"/>
      <c r="AF72" s="12"/>
      <c r="AG72" s="12"/>
      <c r="AH72" s="12"/>
    </row>
    <row r="73" spans="1:34" ht="12" customHeight="1" x14ac:dyDescent="0.25">
      <c r="A73" s="10"/>
      <c r="B73" s="11"/>
      <c r="C73" s="21"/>
      <c r="D73" s="21"/>
      <c r="E73" s="21"/>
      <c r="F73" s="27"/>
      <c r="I73" s="394" t="str">
        <f>Idx!A18</f>
        <v>wd</v>
      </c>
      <c r="J73" s="396">
        <v>1</v>
      </c>
      <c r="K73" s="396">
        <v>0</v>
      </c>
      <c r="L73" s="396">
        <v>0</v>
      </c>
      <c r="M73" s="395" t="str">
        <f t="shared" si="0"/>
        <v/>
      </c>
      <c r="AB73" s="388"/>
      <c r="AC73" s="388"/>
      <c r="AD73" s="30"/>
      <c r="AE73" s="20"/>
      <c r="AF73" s="12"/>
      <c r="AG73" s="12"/>
      <c r="AH73" s="12"/>
    </row>
    <row r="74" spans="1:34" ht="12" customHeight="1" x14ac:dyDescent="0.25">
      <c r="A74" s="10"/>
      <c r="B74" s="11"/>
      <c r="C74" s="21"/>
      <c r="D74" s="21"/>
      <c r="E74" s="21"/>
      <c r="F74" s="27"/>
      <c r="I74" s="394" t="str">
        <f>Idx!A19</f>
        <v>z</v>
      </c>
      <c r="J74" s="396">
        <v>1</v>
      </c>
      <c r="K74" s="396">
        <v>0</v>
      </c>
      <c r="L74" s="396">
        <v>0</v>
      </c>
      <c r="M74" s="395" t="str">
        <f t="shared" si="0"/>
        <v/>
      </c>
      <c r="AB74" s="388"/>
      <c r="AC74" s="388"/>
      <c r="AD74" s="30"/>
      <c r="AE74" s="20"/>
      <c r="AF74" s="12"/>
      <c r="AG74" s="12"/>
      <c r="AH74" s="12"/>
    </row>
    <row r="75" spans="1:34" ht="12" customHeight="1" x14ac:dyDescent="0.25">
      <c r="A75" s="10"/>
      <c r="B75" s="11"/>
      <c r="C75" s="21"/>
      <c r="D75" s="21"/>
      <c r="E75" s="21"/>
      <c r="F75" s="27"/>
      <c r="I75" s="394" t="str">
        <f>Idx!A20</f>
        <v>zd</v>
      </c>
      <c r="J75" s="396">
        <v>1</v>
      </c>
      <c r="K75" s="396">
        <v>0</v>
      </c>
      <c r="L75" s="396">
        <v>0</v>
      </c>
      <c r="M75" s="395" t="str">
        <f t="shared" si="0"/>
        <v/>
      </c>
      <c r="AB75" s="388"/>
      <c r="AC75" s="388"/>
      <c r="AD75" s="30"/>
      <c r="AE75" s="20"/>
      <c r="AF75" s="12"/>
      <c r="AG75" s="12"/>
      <c r="AH75" s="12"/>
    </row>
    <row r="76" spans="1:34" ht="12" customHeight="1" x14ac:dyDescent="0.25">
      <c r="A76" s="10"/>
      <c r="B76" s="11"/>
      <c r="C76" s="21"/>
      <c r="D76" s="21"/>
      <c r="E76" s="21"/>
      <c r="F76" s="27"/>
      <c r="AB76" s="388"/>
      <c r="AC76" s="388"/>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8" t="s">
        <v>2366</v>
      </c>
      <c r="K18" s="488"/>
      <c r="L18" s="488"/>
      <c r="M18" s="488"/>
      <c r="N18" s="488"/>
      <c r="O18" s="488"/>
      <c r="P18" s="488"/>
      <c r="Q18" s="488"/>
      <c r="R18" s="488"/>
      <c r="S18" s="488"/>
      <c r="T18" s="488"/>
      <c r="U18" s="488"/>
      <c r="V18" s="488"/>
      <c r="W18" s="488"/>
      <c r="X18" s="48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9" t="s">
        <v>2365</v>
      </c>
      <c r="K21" s="490"/>
      <c r="L21" s="490"/>
      <c r="M21" s="490"/>
      <c r="N21" s="490"/>
      <c r="O21" s="490"/>
      <c r="P21" s="490"/>
      <c r="Q21" s="490"/>
      <c r="R21" s="490"/>
      <c r="S21" s="490"/>
      <c r="T21" s="490"/>
      <c r="U21" s="490"/>
      <c r="V21" s="490"/>
      <c r="W21" s="490"/>
      <c r="X21" s="49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2364</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2363</v>
      </c>
      <c r="I46" s="30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2362</v>
      </c>
      <c r="I51" s="303" t="str">
        <f>IF(COUNT($J51:$Z51)&gt;1,STDEV($J51:$Z51)=0,"")</f>
        <v/>
      </c>
      <c r="J51" s="81" t="s">
        <v>2367</v>
      </c>
      <c r="K51" s="81" t="s">
        <v>2361</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2360</v>
      </c>
      <c r="I53" s="30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2359</v>
      </c>
      <c r="I54" s="303" t="str">
        <f t="shared" si="0"/>
        <v/>
      </c>
      <c r="J54" s="81" t="s">
        <v>2358</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2357</v>
      </c>
      <c r="I55" s="30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2356</v>
      </c>
      <c r="I56" s="30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2355</v>
      </c>
      <c r="I57" s="30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2354</v>
      </c>
      <c r="I58" s="30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2353</v>
      </c>
      <c r="I59" s="30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2352</v>
      </c>
      <c r="I60" s="30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2351</v>
      </c>
      <c r="I61" s="30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0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2350</v>
      </c>
      <c r="I63" s="30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2349</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51" t="s">
        <v>490</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85" zoomScaleNormal="85" workbookViewId="0">
      <pane xSplit="10" ySplit="16" topLeftCell="K335" activePane="bottomRight" state="frozen"/>
      <selection activeCell="A6" sqref="A6"/>
      <selection pane="topRight" activeCell="K6" sqref="K6"/>
      <selection pane="bottomLeft" activeCell="A22" sqref="A22"/>
      <selection pane="bottomRight" activeCell="K340" sqref="K340:K34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00">
        <v>44721.912152893499</v>
      </c>
      <c r="J18" s="492" t="s">
        <v>2772</v>
      </c>
      <c r="K18" s="488"/>
      <c r="L18" s="488"/>
      <c r="M18" s="488"/>
      <c r="N18" s="488"/>
      <c r="O18" s="488"/>
      <c r="P18" s="488"/>
      <c r="Q18" s="488"/>
      <c r="R18" s="488"/>
      <c r="S18" s="488"/>
      <c r="T18" s="488"/>
      <c r="U18" s="488"/>
      <c r="V18" s="488"/>
      <c r="W18" s="488"/>
      <c r="X18" s="488"/>
      <c r="Y18" s="305"/>
      <c r="Z18" s="305"/>
      <c r="AA18" s="305"/>
      <c r="AB18" s="30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292">
        <v>44754.499305555553</v>
      </c>
      <c r="J21" s="489" t="s">
        <v>2778</v>
      </c>
      <c r="K21" s="490"/>
      <c r="L21" s="490"/>
      <c r="M21" s="490"/>
      <c r="N21" s="490"/>
      <c r="O21" s="490"/>
      <c r="P21" s="490"/>
      <c r="Q21" s="490"/>
      <c r="R21" s="490"/>
      <c r="S21" s="490"/>
      <c r="T21" s="490"/>
      <c r="U21" s="490"/>
      <c r="V21" s="490"/>
      <c r="W21" s="490"/>
      <c r="X21" s="491"/>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2474</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2473</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377" t="str">
        <f>IF(J$49 = 0, "Intercept ","")&amp;"scan_per^"&amp;J$49</f>
        <v>Intercept scan_per^0</v>
      </c>
      <c r="K54" s="377" t="str">
        <f t="shared" ref="K54:N54" si="0">IF(K$49 = 0, "Intercept ","")&amp;"scan_per^"&amp;K$49</f>
        <v>scan_per^1</v>
      </c>
      <c r="L54" s="377" t="str">
        <f t="shared" si="0"/>
        <v>scan_per^2</v>
      </c>
      <c r="M54" s="377" t="str">
        <f t="shared" si="0"/>
        <v>scan_per^3</v>
      </c>
      <c r="N54" s="377"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2332</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2394</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2368</v>
      </c>
      <c r="AR99" t="s">
        <v>2369</v>
      </c>
      <c r="AY99" t="s">
        <v>2426</v>
      </c>
    </row>
    <row r="100" spans="1:57" outlineLevel="2" x14ac:dyDescent="0.25">
      <c r="A100" s="48"/>
      <c r="B100" s="57"/>
      <c r="C100" s="92">
        <f>INT($C$87)+2</f>
        <v>3</v>
      </c>
      <c r="D100" s="78"/>
      <c r="E100" s="73"/>
      <c r="F100" s="73"/>
      <c r="G100" s="78"/>
      <c r="H100" s="81"/>
      <c r="I100" s="100" t="s">
        <v>2513</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2370</v>
      </c>
      <c r="AE100" s="81"/>
      <c r="AF100" s="81"/>
      <c r="AG100" s="81"/>
      <c r="AH100" s="78"/>
      <c r="AI100" s="60"/>
      <c r="AJ100" s="48"/>
      <c r="AK100" s="48"/>
      <c r="AL100" s="48"/>
      <c r="AM100" t="s">
        <v>237</v>
      </c>
      <c r="AR100" t="str">
        <f>"Calculated from "&amp;AM102</f>
        <v>Calculated from Inputs from Mecardo (Andrew Wood) Nov 2020</v>
      </c>
      <c r="AY100" t="s">
        <v>2427</v>
      </c>
    </row>
    <row r="101" spans="1:57" outlineLevel="3" x14ac:dyDescent="0.25">
      <c r="A101" s="48"/>
      <c r="B101" s="57"/>
      <c r="C101" s="92">
        <f t="shared" ref="C101:C114" si="4">INT($C$87)+3</f>
        <v>4</v>
      </c>
      <c r="D101" s="78"/>
      <c r="E101" s="73"/>
      <c r="F101" s="73" t="s">
        <v>238</v>
      </c>
      <c r="G101" s="78"/>
      <c r="H101" s="113" t="s">
        <v>2371</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2428</v>
      </c>
      <c r="AZ101" s="168">
        <v>70</v>
      </c>
      <c r="BA101">
        <f>IFERROR(MIN(2,MATCH($AZ101,i_woolp_mpg_range_w5,1)),1)-1</f>
        <v>1</v>
      </c>
      <c r="BB101" t="s">
        <v>2429</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06">
        <f t="shared" si="9"/>
        <v>0.91725571045708054</v>
      </c>
      <c r="AD102" s="307">
        <f t="shared" si="9"/>
        <v>3.5402936335428681E-2</v>
      </c>
      <c r="AE102" s="307">
        <f t="shared" si="9"/>
        <v>8.4471771197698553E-2</v>
      </c>
      <c r="AF102" s="307">
        <f t="shared" si="9"/>
        <v>0.12349360879438454</v>
      </c>
      <c r="AG102" s="81"/>
      <c r="AH102" s="78"/>
      <c r="AI102" s="60"/>
      <c r="AJ102" s="48"/>
      <c r="AK102" s="308"/>
      <c r="AL102" s="48"/>
      <c r="AM102" t="s">
        <v>245</v>
      </c>
      <c r="AR102" s="125"/>
      <c r="AS102" s="125"/>
      <c r="AT102" s="125"/>
      <c r="AX102" s="356" t="s">
        <v>2430</v>
      </c>
      <c r="AY102" s="356" t="s">
        <v>2431</v>
      </c>
      <c r="AZ102" s="356" t="s">
        <v>2429</v>
      </c>
      <c r="BA102" s="370" t="s">
        <v>2437</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09">
        <f t="shared" si="9"/>
        <v>0</v>
      </c>
      <c r="M103" s="309">
        <f t="shared" si="9"/>
        <v>-2.2771633051398829E-2</v>
      </c>
      <c r="N103" s="309">
        <f t="shared" si="9"/>
        <v>-6.5061808718282363E-2</v>
      </c>
      <c r="O103" s="310">
        <f t="shared" si="9"/>
        <v>-3.2530904359141188E-2</v>
      </c>
      <c r="P103" s="310">
        <f t="shared" si="9"/>
        <v>-1.3012361743656473E-2</v>
      </c>
      <c r="Q103" s="310">
        <f t="shared" si="9"/>
        <v>0</v>
      </c>
      <c r="R103" s="310">
        <f t="shared" si="9"/>
        <v>4.8796356538711779E-3</v>
      </c>
      <c r="S103" s="310">
        <f t="shared" si="9"/>
        <v>0</v>
      </c>
      <c r="T103" s="310">
        <f t="shared" si="9"/>
        <v>0</v>
      </c>
      <c r="U103" s="310">
        <f t="shared" si="9"/>
        <v>0</v>
      </c>
      <c r="V103" s="310">
        <f t="shared" si="9"/>
        <v>0</v>
      </c>
      <c r="W103" s="309">
        <f t="shared" si="9"/>
        <v>0.94399999999999995</v>
      </c>
      <c r="X103" s="271">
        <f t="shared" si="9"/>
        <v>0.82499999999999996</v>
      </c>
      <c r="Y103" s="271">
        <f t="shared" si="9"/>
        <v>0.82499999999999996</v>
      </c>
      <c r="Z103" s="271">
        <f t="shared" si="9"/>
        <v>0.57499999999999996</v>
      </c>
      <c r="AA103" s="271">
        <f t="shared" si="9"/>
        <v>0.60499999999999998</v>
      </c>
      <c r="AB103" s="271">
        <f t="shared" si="9"/>
        <v>0.9</v>
      </c>
      <c r="AC103" s="31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0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44">
        <f>$H103</f>
        <v>16</v>
      </c>
      <c r="AY103" s="345">
        <f t="shared" ref="AY103:AY114" ca="1" si="13">IF($AX103=i_woolp_fd_std,_xlfn.FORECAST.LINEAR($AZ$101,OFFSET($I103:$K103,0,$BA$101,1,2),OFFSET(i_woolp_mpg_range_w5,0,$BA$101,1,2)),0)</f>
        <v>0</v>
      </c>
      <c r="AZ103" s="346">
        <f t="shared" ref="AZ103:AZ114" ca="1" si="14">_xlfn.FORECAST.LINEAR($BC$101,OFFSET($AD103:$AF103,0,$BD$101,1,2),OFFSET(i_woolp_fdprem_range_w5,0,$BD$101,1,2))</f>
        <v>8.4471771197698553E-2</v>
      </c>
      <c r="BA103" s="347">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09">
        <f t="shared" si="9"/>
        <v>0</v>
      </c>
      <c r="M104" s="309">
        <f t="shared" si="9"/>
        <v>-2.2771633051398829E-2</v>
      </c>
      <c r="N104" s="309">
        <f t="shared" si="9"/>
        <v>-6.5061808718282363E-2</v>
      </c>
      <c r="O104" s="310">
        <f t="shared" si="9"/>
        <v>-3.2530904359141188E-2</v>
      </c>
      <c r="P104" s="310">
        <f t="shared" si="9"/>
        <v>-1.3012361743656473E-2</v>
      </c>
      <c r="Q104" s="310">
        <f t="shared" si="9"/>
        <v>0</v>
      </c>
      <c r="R104" s="310">
        <f t="shared" si="9"/>
        <v>4.8796356538711779E-3</v>
      </c>
      <c r="S104" s="310">
        <f t="shared" si="9"/>
        <v>0</v>
      </c>
      <c r="T104" s="310">
        <f t="shared" si="9"/>
        <v>0</v>
      </c>
      <c r="U104" s="310">
        <f t="shared" si="9"/>
        <v>0</v>
      </c>
      <c r="V104" s="310">
        <f t="shared" si="9"/>
        <v>0</v>
      </c>
      <c r="W104" s="309">
        <f t="shared" si="9"/>
        <v>0.94399999999999995</v>
      </c>
      <c r="X104" s="271">
        <f t="shared" si="9"/>
        <v>0.82499999999999996</v>
      </c>
      <c r="Y104" s="271">
        <f t="shared" si="9"/>
        <v>0.82499999999999996</v>
      </c>
      <c r="Z104" s="271">
        <f t="shared" si="9"/>
        <v>0.57499999999999996</v>
      </c>
      <c r="AA104" s="271">
        <f t="shared" si="9"/>
        <v>0.60499999999999998</v>
      </c>
      <c r="AB104" s="271">
        <f t="shared" si="9"/>
        <v>0.9</v>
      </c>
      <c r="AC104" s="311">
        <f t="shared" si="10"/>
        <v>0.9175240298412437</v>
      </c>
      <c r="AD104" s="121">
        <f t="shared" si="11"/>
        <v>3.1025984771220427E-2</v>
      </c>
      <c r="AE104" s="122">
        <f t="shared" si="11"/>
        <v>7.1873373728261747E-2</v>
      </c>
      <c r="AF104" s="121">
        <f t="shared" si="11"/>
        <v>0.12115142108354537</v>
      </c>
      <c r="AG104" s="123"/>
      <c r="AH104" s="78"/>
      <c r="AI104" s="60"/>
      <c r="AJ104" s="48"/>
      <c r="AK104" s="308"/>
      <c r="AL104" s="48"/>
      <c r="AM104" s="124">
        <v>0.13</v>
      </c>
      <c r="AN104" s="124">
        <v>0.32</v>
      </c>
      <c r="AO104" s="124">
        <v>0.57999999999999996</v>
      </c>
      <c r="AR104" s="125">
        <f t="shared" si="12"/>
        <v>4.6296296296296058E-2</v>
      </c>
      <c r="AS104" s="125">
        <f t="shared" si="12"/>
        <v>0.10000000000000009</v>
      </c>
      <c r="AT104" s="125">
        <f t="shared" si="12"/>
        <v>0.14492753623188426</v>
      </c>
      <c r="AX104" s="348">
        <f t="shared" ref="AX104:AX114" si="16">$H104</f>
        <v>17</v>
      </c>
      <c r="AY104" s="349">
        <f t="shared" ca="1" si="13"/>
        <v>0</v>
      </c>
      <c r="AZ104" s="350">
        <f t="shared" ca="1" si="14"/>
        <v>7.1873373728261747E-2</v>
      </c>
      <c r="BA104" s="364">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11">
        <f t="shared" si="10"/>
        <v>0.91668415586448793</v>
      </c>
      <c r="AD105" s="121">
        <f t="shared" si="11"/>
        <v>2.5985568006018145E-2</v>
      </c>
      <c r="AE105" s="122">
        <f t="shared" si="11"/>
        <v>6.2658569182611146E-2</v>
      </c>
      <c r="AF105" s="121">
        <f t="shared" si="11"/>
        <v>0.11333628152095176</v>
      </c>
      <c r="AG105" s="123"/>
      <c r="AH105" s="78"/>
      <c r="AI105" s="60"/>
      <c r="AJ105" s="48"/>
      <c r="AK105" s="308"/>
      <c r="AL105" s="48"/>
      <c r="AM105" s="124">
        <v>0.08</v>
      </c>
      <c r="AN105" s="124">
        <v>0.2</v>
      </c>
      <c r="AO105" s="124">
        <v>0.38</v>
      </c>
      <c r="AR105" s="125">
        <f t="shared" si="12"/>
        <v>3.8461538461538547E-2</v>
      </c>
      <c r="AS105" s="125">
        <f t="shared" si="12"/>
        <v>8.1081081081080919E-2</v>
      </c>
      <c r="AT105" s="125">
        <f t="shared" si="12"/>
        <v>0.13114754098360648</v>
      </c>
      <c r="AX105" s="348">
        <f t="shared" si="16"/>
        <v>18</v>
      </c>
      <c r="AY105" s="349">
        <f t="shared" ca="1" si="13"/>
        <v>0</v>
      </c>
      <c r="AZ105" s="350">
        <f t="shared" ca="1" si="14"/>
        <v>6.2658569182611146E-2</v>
      </c>
      <c r="BA105" s="367">
        <f t="shared" ca="1" si="15"/>
        <v>1685.2288000000001</v>
      </c>
      <c r="BC105" s="345" t="s">
        <v>2515</v>
      </c>
      <c r="BD105" s="345"/>
      <c r="BE105" s="345"/>
    </row>
    <row r="106" spans="1:57" outlineLevel="3" x14ac:dyDescent="0.25">
      <c r="A106" s="48"/>
      <c r="B106" s="57"/>
      <c r="C106" s="92">
        <f t="shared" si="4"/>
        <v>4</v>
      </c>
      <c r="D106" s="78"/>
      <c r="E106" s="73"/>
      <c r="F106" s="73">
        <f t="shared" si="7"/>
        <v>-101</v>
      </c>
      <c r="G106" s="78"/>
      <c r="H106" s="84">
        <v>19</v>
      </c>
      <c r="I106" s="126">
        <v>1201</v>
      </c>
      <c r="J106" s="126">
        <v>1445</v>
      </c>
      <c r="K106" s="126">
        <v>1650</v>
      </c>
      <c r="L106" s="312">
        <f t="shared" ref="L106:AB112" si="17">L105</f>
        <v>0</v>
      </c>
      <c r="M106" s="312">
        <f t="shared" si="17"/>
        <v>-2.2771633051398829E-2</v>
      </c>
      <c r="N106" s="312">
        <f t="shared" si="17"/>
        <v>-6.5061808718282363E-2</v>
      </c>
      <c r="O106" s="313">
        <f t="shared" si="17"/>
        <v>-3.2530904359141188E-2</v>
      </c>
      <c r="P106" s="313">
        <f t="shared" si="17"/>
        <v>-1.3012361743656473E-2</v>
      </c>
      <c r="Q106" s="313">
        <f t="shared" si="17"/>
        <v>0</v>
      </c>
      <c r="R106" s="313">
        <f t="shared" si="17"/>
        <v>4.8796356538711779E-3</v>
      </c>
      <c r="S106" s="313">
        <f t="shared" si="17"/>
        <v>0</v>
      </c>
      <c r="T106" s="313">
        <f t="shared" si="17"/>
        <v>0</v>
      </c>
      <c r="U106" s="313">
        <f t="shared" si="17"/>
        <v>0</v>
      </c>
      <c r="V106" s="313">
        <f t="shared" si="17"/>
        <v>0</v>
      </c>
      <c r="W106" s="312">
        <f t="shared" si="17"/>
        <v>0.94399999999999995</v>
      </c>
      <c r="X106" s="314">
        <f t="shared" si="17"/>
        <v>0.82499999999999996</v>
      </c>
      <c r="Y106" s="314">
        <f t="shared" si="17"/>
        <v>0.82499999999999996</v>
      </c>
      <c r="Z106" s="314">
        <f t="shared" si="17"/>
        <v>0.57499999999999996</v>
      </c>
      <c r="AA106" s="314">
        <f t="shared" si="17"/>
        <v>0.60499999999999998</v>
      </c>
      <c r="AB106" s="314">
        <f t="shared" si="17"/>
        <v>0.9</v>
      </c>
      <c r="AC106" s="311">
        <f t="shared" si="10"/>
        <v>0.91612354610847324</v>
      </c>
      <c r="AD106" s="121">
        <f t="shared" si="11"/>
        <v>1.9803902718557032E-2</v>
      </c>
      <c r="AE106" s="122">
        <f t="shared" si="11"/>
        <v>5.3565375285273831E-2</v>
      </c>
      <c r="AF106" s="121">
        <f t="shared" si="11"/>
        <v>0.10453610171872607</v>
      </c>
      <c r="AG106" s="123"/>
      <c r="AH106" s="78"/>
      <c r="AI106" s="60"/>
      <c r="AJ106" s="48"/>
      <c r="AK106" s="308"/>
      <c r="AL106" s="48"/>
      <c r="AM106" s="124">
        <v>0.04</v>
      </c>
      <c r="AN106" s="124">
        <v>0.11</v>
      </c>
      <c r="AO106" s="124">
        <v>0.22</v>
      </c>
      <c r="AR106" s="125">
        <f t="shared" si="12"/>
        <v>2.9702970297029729E-2</v>
      </c>
      <c r="AS106" s="125">
        <f t="shared" si="12"/>
        <v>8.8235294117647189E-2</v>
      </c>
      <c r="AT106" s="125">
        <f t="shared" si="12"/>
        <v>0.16190476190476177</v>
      </c>
      <c r="AX106" s="348">
        <f t="shared" si="16"/>
        <v>19</v>
      </c>
      <c r="AY106" s="349">
        <f t="shared" ca="1" si="13"/>
        <v>0</v>
      </c>
      <c r="AZ106" s="350">
        <f t="shared" ca="1" si="14"/>
        <v>5.3565375285273831E-2</v>
      </c>
      <c r="BA106" s="365">
        <f t="shared" ca="1" si="15"/>
        <v>1558.8366399999998</v>
      </c>
      <c r="BC106" s="353" t="s">
        <v>2514</v>
      </c>
      <c r="BD106" s="353" t="s">
        <v>2428</v>
      </c>
      <c r="BE106" s="353" t="s">
        <v>2429</v>
      </c>
    </row>
    <row r="107" spans="1:57" outlineLevel="3" x14ac:dyDescent="0.25">
      <c r="A107" s="48"/>
      <c r="B107" s="57"/>
      <c r="C107" s="92">
        <f t="shared" si="4"/>
        <v>4</v>
      </c>
      <c r="D107" s="78"/>
      <c r="E107" s="73"/>
      <c r="F107" s="73">
        <f t="shared" si="7"/>
        <v>-45</v>
      </c>
      <c r="G107" s="78"/>
      <c r="H107" s="84">
        <v>20</v>
      </c>
      <c r="I107" s="126">
        <v>1152</v>
      </c>
      <c r="J107" s="126">
        <v>1344</v>
      </c>
      <c r="K107" s="126">
        <v>1653</v>
      </c>
      <c r="L107" s="312">
        <f t="shared" si="17"/>
        <v>0</v>
      </c>
      <c r="M107" s="312">
        <f t="shared" si="17"/>
        <v>-2.2771633051398829E-2</v>
      </c>
      <c r="N107" s="312">
        <f t="shared" si="17"/>
        <v>-6.5061808718282363E-2</v>
      </c>
      <c r="O107" s="313">
        <f t="shared" si="17"/>
        <v>-3.2530904359141188E-2</v>
      </c>
      <c r="P107" s="313">
        <f t="shared" si="17"/>
        <v>-1.3012361743656473E-2</v>
      </c>
      <c r="Q107" s="313">
        <f t="shared" si="17"/>
        <v>0</v>
      </c>
      <c r="R107" s="313">
        <f t="shared" si="17"/>
        <v>4.8796356538711779E-3</v>
      </c>
      <c r="S107" s="313">
        <f t="shared" si="17"/>
        <v>0</v>
      </c>
      <c r="T107" s="313">
        <f t="shared" si="17"/>
        <v>0</v>
      </c>
      <c r="U107" s="313">
        <f t="shared" si="17"/>
        <v>0</v>
      </c>
      <c r="V107" s="313">
        <f t="shared" si="17"/>
        <v>0</v>
      </c>
      <c r="W107" s="312">
        <f t="shared" si="17"/>
        <v>0.94399999999999995</v>
      </c>
      <c r="X107" s="314">
        <f t="shared" si="17"/>
        <v>0.82499999999999996</v>
      </c>
      <c r="Y107" s="314">
        <f t="shared" si="17"/>
        <v>0.82499999999999996</v>
      </c>
      <c r="Z107" s="314">
        <f t="shared" si="17"/>
        <v>0.57499999999999996</v>
      </c>
      <c r="AA107" s="314">
        <f t="shared" si="17"/>
        <v>0.60499999999999998</v>
      </c>
      <c r="AB107" s="314">
        <f t="shared" si="17"/>
        <v>0.9</v>
      </c>
      <c r="AC107" s="311">
        <f t="shared" si="10"/>
        <v>0.91613488570015422</v>
      </c>
      <c r="AD107" s="121">
        <f t="shared" si="11"/>
        <v>1.0000000000000009E-2</v>
      </c>
      <c r="AE107" s="122">
        <f t="shared" si="11"/>
        <v>2.0000000000000018E-2</v>
      </c>
      <c r="AF107" s="121">
        <f t="shared" si="11"/>
        <v>5.0000000000000044E-2</v>
      </c>
      <c r="AG107" s="123"/>
      <c r="AH107" s="78"/>
      <c r="AI107" s="60"/>
      <c r="AJ107" s="48"/>
      <c r="AK107" s="308"/>
      <c r="AL107" s="48"/>
      <c r="AM107" s="124">
        <v>0.01</v>
      </c>
      <c r="AN107" s="124">
        <v>0.02</v>
      </c>
      <c r="AO107" s="124">
        <v>0.05</v>
      </c>
      <c r="AR107" s="125">
        <f t="shared" si="12"/>
        <v>1.0000000000000009E-2</v>
      </c>
      <c r="AS107" s="125">
        <f>((1+AN107)/(1+AN108))^(1/($H108-$H107))-1</f>
        <v>2.0000000000000018E-2</v>
      </c>
      <c r="AT107" s="125">
        <f t="shared" si="12"/>
        <v>5.0000000000000044E-2</v>
      </c>
      <c r="AX107" s="348">
        <f t="shared" si="16"/>
        <v>20</v>
      </c>
      <c r="AY107" s="349">
        <f t="shared" ca="1" si="13"/>
        <v>0</v>
      </c>
      <c r="AZ107" s="350">
        <f t="shared" ca="1" si="14"/>
        <v>2.0000000000000018E-2</v>
      </c>
      <c r="BA107" s="367">
        <f t="shared" ca="1" si="15"/>
        <v>1432.4444799999999</v>
      </c>
      <c r="BC107" s="397">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12">
        <f t="shared" si="17"/>
        <v>0</v>
      </c>
      <c r="M108" s="312">
        <f t="shared" si="17"/>
        <v>-2.2771633051398829E-2</v>
      </c>
      <c r="N108" s="312">
        <f t="shared" si="17"/>
        <v>-6.5061808718282363E-2</v>
      </c>
      <c r="O108" s="313">
        <f t="shared" si="17"/>
        <v>-3.2530904359141188E-2</v>
      </c>
      <c r="P108" s="313">
        <f t="shared" si="17"/>
        <v>-1.3012361743656473E-2</v>
      </c>
      <c r="Q108" s="313">
        <f t="shared" si="17"/>
        <v>0</v>
      </c>
      <c r="R108" s="313">
        <f t="shared" si="17"/>
        <v>4.8796356538711779E-3</v>
      </c>
      <c r="S108" s="313">
        <f t="shared" si="17"/>
        <v>0</v>
      </c>
      <c r="T108" s="313">
        <f t="shared" si="17"/>
        <v>0</v>
      </c>
      <c r="U108" s="313">
        <f t="shared" si="17"/>
        <v>0</v>
      </c>
      <c r="V108" s="313">
        <f t="shared" si="17"/>
        <v>0</v>
      </c>
      <c r="W108" s="312">
        <f t="shared" si="17"/>
        <v>0.94399999999999995</v>
      </c>
      <c r="X108" s="314">
        <f t="shared" si="17"/>
        <v>0.82499999999999996</v>
      </c>
      <c r="Y108" s="314">
        <f t="shared" si="17"/>
        <v>0.82499999999999996</v>
      </c>
      <c r="Z108" s="314">
        <f t="shared" si="17"/>
        <v>0.57499999999999996</v>
      </c>
      <c r="AA108" s="314">
        <f t="shared" si="17"/>
        <v>0.60499999999999998</v>
      </c>
      <c r="AB108" s="314">
        <f t="shared" si="17"/>
        <v>0.9</v>
      </c>
      <c r="AC108" s="31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08"/>
      <c r="AL108" s="48"/>
      <c r="AM108" s="124"/>
      <c r="AN108" s="124"/>
      <c r="AO108" s="124"/>
      <c r="AR108" s="125"/>
      <c r="AS108" s="125"/>
      <c r="AT108" s="125"/>
      <c r="AX108" s="348">
        <f t="shared" si="16"/>
        <v>21</v>
      </c>
      <c r="AY108" s="349">
        <f t="shared" ca="1" si="13"/>
        <v>1487.6666666666667</v>
      </c>
      <c r="AZ108" s="350">
        <f t="shared" ca="1" si="14"/>
        <v>0</v>
      </c>
      <c r="BA108" s="365">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12">
        <f t="shared" si="17"/>
        <v>0</v>
      </c>
      <c r="M109" s="312">
        <f t="shared" si="17"/>
        <v>-2.2771633051398829E-2</v>
      </c>
      <c r="N109" s="312">
        <f t="shared" si="17"/>
        <v>-6.5061808718282363E-2</v>
      </c>
      <c r="O109" s="313">
        <f t="shared" si="17"/>
        <v>-3.2530904359141188E-2</v>
      </c>
      <c r="P109" s="313">
        <f t="shared" si="17"/>
        <v>-1.3012361743656473E-2</v>
      </c>
      <c r="Q109" s="313">
        <f t="shared" si="17"/>
        <v>0</v>
      </c>
      <c r="R109" s="313">
        <f t="shared" si="17"/>
        <v>4.8796356538711779E-3</v>
      </c>
      <c r="S109" s="313">
        <f t="shared" si="17"/>
        <v>0</v>
      </c>
      <c r="T109" s="313">
        <f t="shared" si="17"/>
        <v>0</v>
      </c>
      <c r="U109" s="313">
        <f t="shared" si="17"/>
        <v>0</v>
      </c>
      <c r="V109" s="313">
        <f t="shared" si="17"/>
        <v>0</v>
      </c>
      <c r="W109" s="312">
        <f t="shared" si="17"/>
        <v>0.94399999999999995</v>
      </c>
      <c r="X109" s="314">
        <f t="shared" si="17"/>
        <v>0.82499999999999996</v>
      </c>
      <c r="Y109" s="314">
        <f t="shared" si="17"/>
        <v>0.82499999999999996</v>
      </c>
      <c r="Z109" s="314">
        <f t="shared" si="17"/>
        <v>0.57499999999999996</v>
      </c>
      <c r="AA109" s="314">
        <f t="shared" si="17"/>
        <v>0.60499999999999998</v>
      </c>
      <c r="AB109" s="314">
        <f t="shared" si="17"/>
        <v>0.9</v>
      </c>
      <c r="AC109" s="31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0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48">
        <f t="shared" si="16"/>
        <v>22</v>
      </c>
      <c r="AY109" s="349">
        <f t="shared" ca="1" si="13"/>
        <v>0</v>
      </c>
      <c r="AZ109" s="350">
        <f t="shared" ca="1" si="14"/>
        <v>2.0408163265306145E-2</v>
      </c>
      <c r="BA109" s="368">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12">
        <f t="shared" si="17"/>
        <v>0</v>
      </c>
      <c r="M110" s="312">
        <f t="shared" si="17"/>
        <v>-2.2771633051398829E-2</v>
      </c>
      <c r="N110" s="312">
        <f t="shared" si="17"/>
        <v>-6.5061808718282363E-2</v>
      </c>
      <c r="O110" s="313">
        <f t="shared" si="17"/>
        <v>-3.2530904359141188E-2</v>
      </c>
      <c r="P110" s="313">
        <f t="shared" si="17"/>
        <v>-1.3012361743656473E-2</v>
      </c>
      <c r="Q110" s="313">
        <f t="shared" si="17"/>
        <v>0</v>
      </c>
      <c r="R110" s="313">
        <f t="shared" si="17"/>
        <v>4.8796356538711779E-3</v>
      </c>
      <c r="S110" s="313">
        <f t="shared" si="17"/>
        <v>0</v>
      </c>
      <c r="T110" s="313">
        <f t="shared" si="17"/>
        <v>0</v>
      </c>
      <c r="U110" s="313">
        <f t="shared" si="17"/>
        <v>0</v>
      </c>
      <c r="V110" s="313">
        <f t="shared" si="17"/>
        <v>0</v>
      </c>
      <c r="W110" s="312">
        <f t="shared" si="17"/>
        <v>0.94399999999999995</v>
      </c>
      <c r="X110" s="314">
        <f t="shared" si="17"/>
        <v>0.82499999999999996</v>
      </c>
      <c r="Y110" s="314">
        <f t="shared" si="17"/>
        <v>0.82499999999999996</v>
      </c>
      <c r="Z110" s="314">
        <f t="shared" si="17"/>
        <v>0.57499999999999996</v>
      </c>
      <c r="AA110" s="314">
        <f t="shared" si="17"/>
        <v>0.60499999999999998</v>
      </c>
      <c r="AB110" s="314">
        <f t="shared" si="17"/>
        <v>0.9</v>
      </c>
      <c r="AC110" s="315">
        <f t="shared" si="10"/>
        <v>0.91294971584521134</v>
      </c>
      <c r="AD110" s="121">
        <f t="shared" si="20"/>
        <v>2.4485188140280334E-2</v>
      </c>
      <c r="AE110" s="121">
        <f t="shared" si="20"/>
        <v>3.9608921504417527E-2</v>
      </c>
      <c r="AF110" s="121">
        <f t="shared" si="20"/>
        <v>5.983983294832651E-2</v>
      </c>
      <c r="AG110" s="123"/>
      <c r="AH110" s="78"/>
      <c r="AI110" s="60"/>
      <c r="AJ110" s="48"/>
      <c r="AK110" s="308"/>
      <c r="AL110" s="48"/>
      <c r="AM110" s="124">
        <v>-7.0000000000000007E-2</v>
      </c>
      <c r="AN110" s="124">
        <v>-0.11</v>
      </c>
      <c r="AO110" s="124">
        <v>-0.16</v>
      </c>
      <c r="AR110" s="125">
        <f t="shared" si="21"/>
        <v>-3.1753909143191983E-2</v>
      </c>
      <c r="AS110" s="125">
        <f t="shared" si="21"/>
        <v>-4.9344364594205992E-2</v>
      </c>
      <c r="AT110" s="125">
        <f>1-((1+AO110)/(1+AO109))^(1/($H109-$H110))</f>
        <v>-6.9044967649697586E-2</v>
      </c>
      <c r="AX110" s="348">
        <f t="shared" si="16"/>
        <v>24</v>
      </c>
      <c r="AY110" s="349">
        <f t="shared" ca="1" si="13"/>
        <v>0</v>
      </c>
      <c r="AZ110" s="350">
        <f t="shared" ca="1" si="14"/>
        <v>3.9608921504417527E-2</v>
      </c>
      <c r="BA110" s="366">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12">
        <f t="shared" si="17"/>
        <v>0</v>
      </c>
      <c r="M111" s="312">
        <f t="shared" si="17"/>
        <v>-2.2771633051398829E-2</v>
      </c>
      <c r="N111" s="312">
        <f t="shared" si="17"/>
        <v>-6.5061808718282363E-2</v>
      </c>
      <c r="O111" s="313">
        <f t="shared" si="17"/>
        <v>-3.2530904359141188E-2</v>
      </c>
      <c r="P111" s="313">
        <f t="shared" si="17"/>
        <v>-1.3012361743656473E-2</v>
      </c>
      <c r="Q111" s="313">
        <f t="shared" si="17"/>
        <v>0</v>
      </c>
      <c r="R111" s="313">
        <f t="shared" si="17"/>
        <v>4.8796356538711779E-3</v>
      </c>
      <c r="S111" s="313">
        <f t="shared" si="17"/>
        <v>0</v>
      </c>
      <c r="T111" s="313">
        <f t="shared" si="17"/>
        <v>0</v>
      </c>
      <c r="U111" s="313">
        <f t="shared" si="17"/>
        <v>0</v>
      </c>
      <c r="V111" s="313">
        <f t="shared" si="17"/>
        <v>0</v>
      </c>
      <c r="W111" s="127">
        <v>0.86099999999999999</v>
      </c>
      <c r="X111" s="129">
        <v>0.61299999999999999</v>
      </c>
      <c r="Y111" s="129">
        <v>0.59399999999999997</v>
      </c>
      <c r="Z111" s="129">
        <v>0.42599999999999999</v>
      </c>
      <c r="AA111" s="129">
        <v>0.41499999999999998</v>
      </c>
      <c r="AB111" s="129">
        <f t="shared" si="17"/>
        <v>0.9</v>
      </c>
      <c r="AC111" s="31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08"/>
      <c r="AL111" s="48"/>
      <c r="AM111" s="124">
        <v>-0.25</v>
      </c>
      <c r="AN111" s="124">
        <v>-0.32</v>
      </c>
      <c r="AO111" s="124">
        <v>-0.37</v>
      </c>
      <c r="AR111" s="125">
        <f t="shared" si="21"/>
        <v>-0.11355287256600421</v>
      </c>
      <c r="AS111" s="125">
        <f t="shared" si="21"/>
        <v>-0.14403825522216041</v>
      </c>
      <c r="AT111" s="125">
        <f t="shared" si="21"/>
        <v>-0.15470053837925168</v>
      </c>
      <c r="AX111" s="348">
        <f t="shared" si="16"/>
        <v>26</v>
      </c>
      <c r="AY111" s="349">
        <f t="shared" ca="1" si="13"/>
        <v>0</v>
      </c>
      <c r="AZ111" s="350">
        <f t="shared" ca="1" si="14"/>
        <v>8.0185187303563499E-2</v>
      </c>
      <c r="BA111" s="351">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12">
        <f t="shared" si="17"/>
        <v>0</v>
      </c>
      <c r="M112" s="312">
        <f t="shared" si="17"/>
        <v>-2.2771633051398829E-2</v>
      </c>
      <c r="N112" s="312">
        <f t="shared" si="17"/>
        <v>-6.5061808718282363E-2</v>
      </c>
      <c r="O112" s="313">
        <f t="shared" si="17"/>
        <v>-3.2530904359141188E-2</v>
      </c>
      <c r="P112" s="313">
        <f t="shared" si="17"/>
        <v>-1.3012361743656473E-2</v>
      </c>
      <c r="Q112" s="313">
        <f t="shared" si="17"/>
        <v>0</v>
      </c>
      <c r="R112" s="313">
        <f t="shared" si="17"/>
        <v>4.8796356538711779E-3</v>
      </c>
      <c r="S112" s="313">
        <f t="shared" si="17"/>
        <v>0</v>
      </c>
      <c r="T112" s="313">
        <f t="shared" si="17"/>
        <v>0</v>
      </c>
      <c r="U112" s="313">
        <f t="shared" si="17"/>
        <v>0</v>
      </c>
      <c r="V112" s="313">
        <f t="shared" si="17"/>
        <v>0</v>
      </c>
      <c r="W112" s="312">
        <f t="shared" si="17"/>
        <v>0.86099999999999999</v>
      </c>
      <c r="X112" s="314">
        <f t="shared" si="17"/>
        <v>0.61299999999999999</v>
      </c>
      <c r="Y112" s="314">
        <f t="shared" si="17"/>
        <v>0.59399999999999997</v>
      </c>
      <c r="Z112" s="314">
        <f t="shared" si="17"/>
        <v>0.42599999999999999</v>
      </c>
      <c r="AA112" s="314">
        <f t="shared" si="17"/>
        <v>0.41499999999999998</v>
      </c>
      <c r="AB112" s="314">
        <f t="shared" si="17"/>
        <v>0.9</v>
      </c>
      <c r="AC112" s="31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08"/>
      <c r="AL112" s="48"/>
      <c r="AM112" s="124">
        <v>-0.4</v>
      </c>
      <c r="AN112" s="124">
        <v>-0.49</v>
      </c>
      <c r="AO112" s="124">
        <v>-0.52</v>
      </c>
      <c r="AR112" s="125">
        <f t="shared" si="21"/>
        <v>-0.1180339887498949</v>
      </c>
      <c r="AS112" s="125">
        <f t="shared" si="21"/>
        <v>-0.15470053837925146</v>
      </c>
      <c r="AT112" s="125">
        <f t="shared" si="21"/>
        <v>-0.14564392373896018</v>
      </c>
      <c r="AX112" s="348">
        <f t="shared" si="16"/>
        <v>28</v>
      </c>
      <c r="AY112" s="349">
        <f t="shared" ca="1" si="13"/>
        <v>0</v>
      </c>
      <c r="AZ112" s="350">
        <f t="shared" ca="1" si="14"/>
        <v>0.10097051704290827</v>
      </c>
      <c r="BA112" s="351">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12">
        <f t="shared" ref="L113:AB114" si="23">L111</f>
        <v>0</v>
      </c>
      <c r="M113" s="312">
        <f t="shared" si="23"/>
        <v>-2.2771633051398829E-2</v>
      </c>
      <c r="N113" s="312">
        <f t="shared" si="23"/>
        <v>-6.5061808718282363E-2</v>
      </c>
      <c r="O113" s="313">
        <f t="shared" si="23"/>
        <v>-3.2530904359141188E-2</v>
      </c>
      <c r="P113" s="313">
        <f t="shared" si="23"/>
        <v>-1.3012361743656473E-2</v>
      </c>
      <c r="Q113" s="313">
        <f t="shared" si="23"/>
        <v>0</v>
      </c>
      <c r="R113" s="313">
        <f t="shared" si="23"/>
        <v>4.8796356538711779E-3</v>
      </c>
      <c r="S113" s="313">
        <f t="shared" si="23"/>
        <v>0</v>
      </c>
      <c r="T113" s="313">
        <f t="shared" si="23"/>
        <v>0</v>
      </c>
      <c r="U113" s="313">
        <f t="shared" si="23"/>
        <v>0</v>
      </c>
      <c r="V113" s="313">
        <f t="shared" si="23"/>
        <v>0</v>
      </c>
      <c r="W113" s="312">
        <f t="shared" si="23"/>
        <v>0.86099999999999999</v>
      </c>
      <c r="X113" s="314">
        <f t="shared" si="23"/>
        <v>0.61299999999999999</v>
      </c>
      <c r="Y113" s="314">
        <f t="shared" si="23"/>
        <v>0.59399999999999997</v>
      </c>
      <c r="Z113" s="314">
        <f t="shared" si="23"/>
        <v>0.42599999999999999</v>
      </c>
      <c r="AA113" s="314">
        <f t="shared" si="23"/>
        <v>0.41499999999999998</v>
      </c>
      <c r="AB113" s="314">
        <f t="shared" si="23"/>
        <v>0.9</v>
      </c>
      <c r="AC113" s="31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08"/>
      <c r="AL113" s="48"/>
      <c r="AM113" s="124">
        <v>-0.48</v>
      </c>
      <c r="AN113" s="124">
        <v>-0.64</v>
      </c>
      <c r="AO113" s="124">
        <v>-0.71</v>
      </c>
      <c r="AP113" t="s">
        <v>246</v>
      </c>
      <c r="AR113" s="125">
        <f t="shared" si="21"/>
        <v>-3.6422843755939738E-2</v>
      </c>
      <c r="AS113" s="125">
        <f t="shared" si="21"/>
        <v>-9.098032586468241E-2</v>
      </c>
      <c r="AT113" s="125">
        <f t="shared" si="21"/>
        <v>-0.13425528070419568</v>
      </c>
      <c r="AX113" s="348">
        <f t="shared" si="16"/>
        <v>32</v>
      </c>
      <c r="AY113" s="349">
        <f t="shared" ca="1" si="13"/>
        <v>0</v>
      </c>
      <c r="AZ113" s="350">
        <f t="shared" ca="1" si="14"/>
        <v>9.7327179497088467E-2</v>
      </c>
      <c r="BA113" s="351">
        <f t="shared" ca="1" si="22"/>
        <v>415.28171560444076</v>
      </c>
    </row>
    <row r="114" spans="1:53" outlineLevel="3" x14ac:dyDescent="0.25">
      <c r="A114" s="48"/>
      <c r="B114" s="57"/>
      <c r="C114" s="92">
        <f t="shared" si="4"/>
        <v>4</v>
      </c>
      <c r="D114" s="78"/>
      <c r="E114" s="73"/>
      <c r="F114" s="73"/>
      <c r="G114" s="78"/>
      <c r="H114" s="84">
        <v>34</v>
      </c>
      <c r="I114" s="131"/>
      <c r="J114" s="131"/>
      <c r="K114" s="131"/>
      <c r="L114" s="317">
        <f t="shared" si="23"/>
        <v>0</v>
      </c>
      <c r="M114" s="317">
        <f t="shared" si="23"/>
        <v>-2.2771633051398829E-2</v>
      </c>
      <c r="N114" s="317">
        <f t="shared" si="23"/>
        <v>-6.5061808718282363E-2</v>
      </c>
      <c r="O114" s="318">
        <f t="shared" si="23"/>
        <v>-3.2530904359141188E-2</v>
      </c>
      <c r="P114" s="318">
        <f t="shared" si="23"/>
        <v>-1.3012361743656473E-2</v>
      </c>
      <c r="Q114" s="318">
        <f t="shared" si="23"/>
        <v>0</v>
      </c>
      <c r="R114" s="318">
        <f t="shared" si="23"/>
        <v>4.8796356538711779E-3</v>
      </c>
      <c r="S114" s="318">
        <f t="shared" si="23"/>
        <v>0</v>
      </c>
      <c r="T114" s="318">
        <f t="shared" si="23"/>
        <v>0</v>
      </c>
      <c r="U114" s="318">
        <f t="shared" si="23"/>
        <v>0</v>
      </c>
      <c r="V114" s="318">
        <f t="shared" si="23"/>
        <v>0</v>
      </c>
      <c r="W114" s="317">
        <f t="shared" si="23"/>
        <v>0.86099999999999999</v>
      </c>
      <c r="X114" s="319">
        <f t="shared" si="23"/>
        <v>0.61299999999999999</v>
      </c>
      <c r="Y114" s="319">
        <f t="shared" si="23"/>
        <v>0.59399999999999997</v>
      </c>
      <c r="Z114" s="319">
        <f t="shared" si="23"/>
        <v>0.42599999999999999</v>
      </c>
      <c r="AA114" s="319">
        <f t="shared" si="23"/>
        <v>0.41499999999999998</v>
      </c>
      <c r="AB114" s="319">
        <f t="shared" si="23"/>
        <v>0.9</v>
      </c>
      <c r="AC114" s="32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5">
        <f t="shared" si="20"/>
        <v>6.3349326849504228E-2</v>
      </c>
      <c r="AE114" s="185">
        <f t="shared" si="20"/>
        <v>8.9023845437388838E-2</v>
      </c>
      <c r="AF114" s="185">
        <f t="shared" si="20"/>
        <v>0.14603066068180648</v>
      </c>
      <c r="AG114" s="81"/>
      <c r="AH114" s="78"/>
      <c r="AI114" s="60"/>
      <c r="AJ114" s="48"/>
      <c r="AK114" s="30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52">
        <f t="shared" si="16"/>
        <v>34</v>
      </c>
      <c r="AY114" s="353">
        <f t="shared" ca="1" si="13"/>
        <v>0</v>
      </c>
      <c r="AZ114" s="354">
        <f t="shared" ca="1" si="14"/>
        <v>8.9023845437388838E-2</v>
      </c>
      <c r="BA114" s="355">
        <f t="shared" ca="1" si="22"/>
        <v>381.15349171358309</v>
      </c>
    </row>
    <row r="115" spans="1:53" outlineLevel="3" x14ac:dyDescent="0.25">
      <c r="A115" s="48"/>
      <c r="B115" s="57"/>
      <c r="C115" s="92">
        <f>INT($C$87+3)</f>
        <v>4</v>
      </c>
      <c r="D115" s="78"/>
      <c r="E115" s="73"/>
      <c r="F115" s="73"/>
      <c r="G115" s="78"/>
      <c r="H115" s="81" t="s">
        <v>248</v>
      </c>
      <c r="I115" s="102" t="s">
        <v>2512</v>
      </c>
      <c r="J115" s="102"/>
      <c r="K115" s="102"/>
      <c r="L115" s="132" t="s">
        <v>249</v>
      </c>
      <c r="M115" s="132"/>
      <c r="N115" s="132"/>
      <c r="O115" s="132" t="s">
        <v>250</v>
      </c>
      <c r="P115" s="132"/>
      <c r="Q115" s="132"/>
      <c r="R115" s="132"/>
      <c r="S115" s="132"/>
      <c r="T115" s="132"/>
      <c r="U115" s="132"/>
      <c r="V115" s="132"/>
      <c r="W115" s="132" t="s">
        <v>2372</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2393</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2373</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2374</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2375</v>
      </c>
      <c r="J125" s="121">
        <v>0.68</v>
      </c>
      <c r="K125" s="121">
        <v>0.55000000000000004</v>
      </c>
      <c r="L125" s="121">
        <v>0.5</v>
      </c>
      <c r="M125" s="121">
        <v>0.65</v>
      </c>
      <c r="N125" s="121">
        <v>0.65</v>
      </c>
      <c r="O125" s="137">
        <f>J125</f>
        <v>0.68</v>
      </c>
      <c r="P125" s="137">
        <v>0.4</v>
      </c>
      <c r="Q125" s="102" t="s">
        <v>2376</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2377</v>
      </c>
      <c r="J126" s="340">
        <f>(J127/J125)/SUMPRODUCT($J127:$P127,(1/$J125:$P125))</f>
        <v>0.750407617373261</v>
      </c>
      <c r="K126" s="321">
        <f t="shared" ref="K126:P126" si="25">(K127/K125)/SUMPRODUCT($J127:$P127,(1/$J125:$P125))</f>
        <v>0.1131434988500704</v>
      </c>
      <c r="L126" s="321">
        <f t="shared" si="25"/>
        <v>4.1071090082575555E-2</v>
      </c>
      <c r="M126" s="321">
        <f t="shared" si="25"/>
        <v>1.2445784873507741E-2</v>
      </c>
      <c r="N126" s="321">
        <f t="shared" si="25"/>
        <v>3.1593146217365808E-2</v>
      </c>
      <c r="O126" s="321">
        <f t="shared" si="25"/>
        <v>0</v>
      </c>
      <c r="P126" s="32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2378</v>
      </c>
      <c r="J127" s="137">
        <v>0.82</v>
      </c>
      <c r="K127" s="137">
        <v>0.1</v>
      </c>
      <c r="L127" s="137">
        <v>3.3000000000000002E-2</v>
      </c>
      <c r="M127" s="137">
        <v>1.2999999999999999E-2</v>
      </c>
      <c r="N127" s="137">
        <v>3.3000000000000002E-2</v>
      </c>
      <c r="O127" s="137">
        <v>0</v>
      </c>
      <c r="P127" s="137">
        <v>3.3000000000000002E-2</v>
      </c>
      <c r="Q127" s="102" t="s">
        <v>2379</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2380</v>
      </c>
      <c r="J128" s="322">
        <f>1-SUM(K128:O128)</f>
        <v>0.82099999999999995</v>
      </c>
      <c r="K128" s="323">
        <f>K127/(1-($P$127-$N$127))</f>
        <v>0.1</v>
      </c>
      <c r="L128" s="323">
        <f t="shared" ref="L128:O128" si="26">L127/(1-($P$127-$N$127))</f>
        <v>3.3000000000000002E-2</v>
      </c>
      <c r="M128" s="323">
        <f t="shared" si="26"/>
        <v>1.2999999999999999E-2</v>
      </c>
      <c r="N128" s="323">
        <f t="shared" si="26"/>
        <v>3.3000000000000002E-2</v>
      </c>
      <c r="O128" s="323">
        <f t="shared" si="26"/>
        <v>0</v>
      </c>
      <c r="P128" s="81"/>
      <c r="Q128" s="81" t="s">
        <v>2381</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2382</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2383</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2378</v>
      </c>
      <c r="J131" s="137">
        <v>0.85</v>
      </c>
      <c r="K131" s="137">
        <v>0.08</v>
      </c>
      <c r="L131" s="137">
        <v>0.03</v>
      </c>
      <c r="M131" s="137">
        <v>0.01</v>
      </c>
      <c r="N131" s="137">
        <v>2.8000000000000001E-2</v>
      </c>
      <c r="O131" s="137">
        <v>0</v>
      </c>
      <c r="P131" s="137">
        <v>2.8000000000000001E-2</v>
      </c>
      <c r="Q131" s="102" t="s">
        <v>2384</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2380</v>
      </c>
      <c r="J132" s="322">
        <f>1-SUM(K132:O132)</f>
        <v>0.85199999999999998</v>
      </c>
      <c r="K132" s="323">
        <f>K131/(1-($P$127-$N$127))</f>
        <v>0.08</v>
      </c>
      <c r="L132" s="323">
        <f t="shared" ref="L132:O132" si="28">L131/(1-($P$127-$N$127))</f>
        <v>0.03</v>
      </c>
      <c r="M132" s="323">
        <f t="shared" si="28"/>
        <v>0.01</v>
      </c>
      <c r="N132" s="323">
        <f t="shared" si="28"/>
        <v>2.8000000000000001E-2</v>
      </c>
      <c r="O132" s="323">
        <f t="shared" si="28"/>
        <v>0</v>
      </c>
      <c r="P132" s="81"/>
      <c r="Q132" s="81" t="s">
        <v>2381</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2382</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2385</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2386</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2387</v>
      </c>
      <c r="I142" s="139"/>
      <c r="J142" s="139"/>
      <c r="K142" s="32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2388</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2389</v>
      </c>
      <c r="I144" s="139"/>
      <c r="J144" s="139"/>
      <c r="K144" s="32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266</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267</v>
      </c>
      <c r="M162" s="141" t="s">
        <v>268</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269</v>
      </c>
      <c r="M163" s="141" t="s">
        <v>270</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271</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272</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273</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2433</v>
      </c>
    </row>
    <row r="168" spans="1:49" outlineLevel="2" x14ac:dyDescent="0.25">
      <c r="A168" s="48"/>
      <c r="B168" s="57"/>
      <c r="C168" s="92">
        <f>INT($C$154)+2</f>
        <v>3</v>
      </c>
      <c r="D168" s="78"/>
      <c r="E168" s="73"/>
      <c r="F168" s="73"/>
      <c r="G168" s="78"/>
      <c r="H168" s="143"/>
      <c r="I168" s="100" t="s">
        <v>274</v>
      </c>
      <c r="J168" s="112"/>
      <c r="K168" s="112"/>
      <c r="L168" s="81"/>
      <c r="M168" s="81"/>
      <c r="N168" s="81" t="s">
        <v>275</v>
      </c>
      <c r="O168" s="100" t="s">
        <v>276</v>
      </c>
      <c r="P168" s="100"/>
      <c r="Q168" s="101"/>
      <c r="R168" s="110"/>
      <c r="S168" s="144" t="s">
        <v>277</v>
      </c>
      <c r="T168" s="144"/>
      <c r="U168" s="144"/>
      <c r="V168" s="144"/>
      <c r="W168" s="144"/>
      <c r="X168" s="110"/>
      <c r="Y168" s="83" t="s">
        <v>278</v>
      </c>
      <c r="Z168" s="101" t="s">
        <v>264</v>
      </c>
      <c r="AA168" s="101" t="s">
        <v>279</v>
      </c>
      <c r="AB168" s="101" t="s">
        <v>280</v>
      </c>
      <c r="AC168" s="100" t="s">
        <v>265</v>
      </c>
      <c r="AD168" s="100"/>
      <c r="AE168" s="101" t="s">
        <v>116</v>
      </c>
      <c r="AF168" s="100" t="s">
        <v>2766</v>
      </c>
      <c r="AG168" s="100"/>
      <c r="AH168" s="78"/>
      <c r="AI168" s="60"/>
      <c r="AJ168" s="48"/>
      <c r="AK168" s="48"/>
      <c r="AL168" s="48"/>
      <c r="AN168" t="s">
        <v>2434</v>
      </c>
    </row>
    <row r="169" spans="1:49" ht="30" customHeight="1" outlineLevel="2" x14ac:dyDescent="0.25">
      <c r="A169" s="48"/>
      <c r="B169" s="57"/>
      <c r="C169" s="92">
        <f>INT($C$154)+2</f>
        <v>3</v>
      </c>
      <c r="D169" s="78"/>
      <c r="E169" s="73"/>
      <c r="F169" s="73"/>
      <c r="G169" s="78"/>
      <c r="H169" s="114"/>
      <c r="I169" s="145" t="s">
        <v>281</v>
      </c>
      <c r="J169" s="145" t="s">
        <v>282</v>
      </c>
      <c r="K169" s="145" t="s">
        <v>283</v>
      </c>
      <c r="L169" s="146" t="s">
        <v>284</v>
      </c>
      <c r="M169" s="146" t="s">
        <v>285</v>
      </c>
      <c r="N169" s="147" t="s">
        <v>286</v>
      </c>
      <c r="O169" s="145" t="s">
        <v>287</v>
      </c>
      <c r="P169" s="145" t="s">
        <v>288</v>
      </c>
      <c r="Q169" s="146" t="s">
        <v>289</v>
      </c>
      <c r="R169" s="146" t="s">
        <v>290</v>
      </c>
      <c r="S169" s="115">
        <v>10</v>
      </c>
      <c r="T169" s="115">
        <v>30</v>
      </c>
      <c r="U169" s="115">
        <v>50</v>
      </c>
      <c r="V169" s="115">
        <v>70</v>
      </c>
      <c r="W169" s="115">
        <v>90</v>
      </c>
      <c r="X169" s="146"/>
      <c r="Y169" s="114"/>
      <c r="Z169" s="145" t="s">
        <v>291</v>
      </c>
      <c r="AA169" s="145" t="s">
        <v>292</v>
      </c>
      <c r="AB169" s="145" t="s">
        <v>291</v>
      </c>
      <c r="AC169" s="145" t="s">
        <v>291</v>
      </c>
      <c r="AD169" s="145" t="s">
        <v>292</v>
      </c>
      <c r="AE169" s="145" t="s">
        <v>292</v>
      </c>
      <c r="AF169" s="145" t="s">
        <v>291</v>
      </c>
      <c r="AG169" s="145" t="s">
        <v>292</v>
      </c>
      <c r="AH169" s="78"/>
      <c r="AI169" s="60"/>
      <c r="AJ169" s="48"/>
      <c r="AK169" s="48"/>
      <c r="AL169" s="48"/>
      <c r="AN169" t="s">
        <v>309</v>
      </c>
      <c r="AO169" t="s">
        <v>2435</v>
      </c>
      <c r="AP169" t="s">
        <v>2436</v>
      </c>
      <c r="AQ169" t="s">
        <v>1283</v>
      </c>
      <c r="AR169" t="s">
        <v>2432</v>
      </c>
      <c r="AV169" t="s">
        <v>2482</v>
      </c>
    </row>
    <row r="170" spans="1:49" outlineLevel="3" x14ac:dyDescent="0.25">
      <c r="A170" s="48"/>
      <c r="B170" s="57"/>
      <c r="C170" s="92">
        <f>INT($C$154+3)</f>
        <v>4</v>
      </c>
      <c r="D170" s="78"/>
      <c r="E170" s="73">
        <v>0</v>
      </c>
      <c r="F170" s="73"/>
      <c r="G170" s="78"/>
      <c r="H170" s="148" t="s">
        <v>293</v>
      </c>
      <c r="I170" s="149" t="b">
        <v>1</v>
      </c>
      <c r="J170" s="149" t="b">
        <v>1</v>
      </c>
      <c r="K170" s="149" t="b">
        <v>1</v>
      </c>
      <c r="L170" s="150">
        <v>0</v>
      </c>
      <c r="M170" s="150">
        <v>0</v>
      </c>
      <c r="N170" s="150">
        <v>12</v>
      </c>
      <c r="O170" s="151">
        <v>0.2</v>
      </c>
      <c r="P170" s="151">
        <v>0.2</v>
      </c>
      <c r="Q170" s="151">
        <v>0</v>
      </c>
      <c r="R170" s="441">
        <v>4.76</v>
      </c>
      <c r="S170" s="341">
        <f>290/($R170*100)</f>
        <v>0.60924369747899154</v>
      </c>
      <c r="T170" s="341">
        <f>363/($R170*100)</f>
        <v>0.76260504201680668</v>
      </c>
      <c r="U170" s="152">
        <v>1</v>
      </c>
      <c r="V170" s="341">
        <f>585/($R170*100)</f>
        <v>1.2289915966386555</v>
      </c>
      <c r="W170" s="341">
        <f>712/($R170*100)</f>
        <v>1.4957983193277311</v>
      </c>
      <c r="X170" s="154"/>
      <c r="Y170" s="155" t="s">
        <v>294</v>
      </c>
      <c r="Z170" s="150">
        <v>3</v>
      </c>
      <c r="AA170" s="156">
        <v>0.05</v>
      </c>
      <c r="AB170" s="150">
        <v>0.17</v>
      </c>
      <c r="AC170" s="150"/>
      <c r="AD170" s="156">
        <v>0.02</v>
      </c>
      <c r="AE170" s="157">
        <v>4.4999999999999997E-3</v>
      </c>
      <c r="AF170" s="152">
        <f t="shared" ref="AF170:AG177" si="30">SUMIFS($Z170:$AE170,$Z$169:$AE$169,AF$169)</f>
        <v>3.17</v>
      </c>
      <c r="AG170" s="158">
        <f t="shared" si="30"/>
        <v>7.4500000000000011E-2</v>
      </c>
      <c r="AH170" s="78"/>
      <c r="AI170" s="60"/>
      <c r="AJ170" s="48"/>
      <c r="AK170" s="48"/>
      <c r="AL170" s="48"/>
      <c r="AN170" s="357" t="str">
        <f>$H170</f>
        <v>Prime Lamb grid (0)</v>
      </c>
      <c r="AO170" s="358">
        <v>70</v>
      </c>
      <c r="AP170" s="345">
        <f>IFERROR(MIN(COUNT(i_salep_percentile_range_s4)-1,MATCH($AO170,i_salep_percentile_range_s4,1)),1)-1</f>
        <v>3</v>
      </c>
      <c r="AQ170" s="346">
        <f t="shared" ref="AQ170:AQ177" ca="1" si="31">_xlfn.FORECAST.LINEAR($AO$170,OFFSET($S170:$W170,0,$AP$170,1,2),OFFSET(i_salep_percentile_range_s4,0,$AP$170,1,2))</f>
        <v>1.2289915966386555</v>
      </c>
      <c r="AR170" s="359">
        <f t="shared" ref="AR170:AR177" ca="1" si="32">$R170*$AQ170</f>
        <v>5.8500000000000005</v>
      </c>
    </row>
    <row r="171" spans="1:49" outlineLevel="3" x14ac:dyDescent="0.25">
      <c r="A171" s="48"/>
      <c r="B171" s="57"/>
      <c r="C171" s="92">
        <f t="shared" ref="C171:C178" si="33">INT($C$154)+3</f>
        <v>4</v>
      </c>
      <c r="D171" s="78"/>
      <c r="E171" s="73">
        <v>1</v>
      </c>
      <c r="F171" s="73"/>
      <c r="G171" s="78"/>
      <c r="H171" s="81" t="s">
        <v>295</v>
      </c>
      <c r="I171" s="102" t="b">
        <v>1</v>
      </c>
      <c r="J171" s="102" t="b">
        <v>1</v>
      </c>
      <c r="K171" s="102" t="b">
        <v>1</v>
      </c>
      <c r="L171" s="104">
        <v>0</v>
      </c>
      <c r="M171" s="104">
        <v>0</v>
      </c>
      <c r="N171" s="159">
        <v>12</v>
      </c>
      <c r="O171" s="160">
        <v>0.2</v>
      </c>
      <c r="P171" s="160">
        <v>0.2</v>
      </c>
      <c r="Q171" s="160">
        <v>0</v>
      </c>
      <c r="R171" s="442">
        <v>4.59</v>
      </c>
      <c r="S171" s="210">
        <f>256/($R171*100)</f>
        <v>0.55773420479302838</v>
      </c>
      <c r="T171" s="210">
        <f>335/($R171*100)</f>
        <v>0.72984749455337694</v>
      </c>
      <c r="U171" s="101">
        <v>1</v>
      </c>
      <c r="V171" s="210">
        <f>558/($R171*100)</f>
        <v>1.2156862745098038</v>
      </c>
      <c r="W171" s="210">
        <f>700/($R171*100)</f>
        <v>1.5250544662309369</v>
      </c>
      <c r="X171" s="161"/>
      <c r="Y171" s="162" t="s">
        <v>294</v>
      </c>
      <c r="Z171" s="163">
        <v>3</v>
      </c>
      <c r="AA171" s="164">
        <v>0.05</v>
      </c>
      <c r="AB171" s="163">
        <v>0.17</v>
      </c>
      <c r="AC171" s="163"/>
      <c r="AD171" s="164">
        <v>0.02</v>
      </c>
      <c r="AE171" s="165">
        <v>4.4999999999999997E-3</v>
      </c>
      <c r="AF171" s="166">
        <f t="shared" si="30"/>
        <v>3.17</v>
      </c>
      <c r="AG171" s="167">
        <f t="shared" si="30"/>
        <v>7.4500000000000011E-2</v>
      </c>
      <c r="AH171" s="78"/>
      <c r="AI171" s="60"/>
      <c r="AJ171" s="48"/>
      <c r="AK171" s="48"/>
      <c r="AL171" s="48"/>
      <c r="AN171" s="360" t="str">
        <f t="shared" ref="AN171:AN177" si="34">$H171</f>
        <v>Air freight lamb grid (1)</v>
      </c>
      <c r="AO171" s="349"/>
      <c r="AP171" s="349"/>
      <c r="AQ171" s="350">
        <f t="shared" ca="1" si="31"/>
        <v>1.2156862745098038</v>
      </c>
      <c r="AR171" s="361">
        <f t="shared" ca="1" si="32"/>
        <v>5.5799999999999992</v>
      </c>
    </row>
    <row r="172" spans="1:49" outlineLevel="3" x14ac:dyDescent="0.25">
      <c r="A172" s="48"/>
      <c r="B172" s="57"/>
      <c r="C172" s="92">
        <f t="shared" si="33"/>
        <v>4</v>
      </c>
      <c r="D172" s="78"/>
      <c r="E172" s="73">
        <v>2</v>
      </c>
      <c r="F172" s="73"/>
      <c r="G172" s="78"/>
      <c r="H172" s="81" t="s">
        <v>297</v>
      </c>
      <c r="I172" s="102" t="b">
        <v>1</v>
      </c>
      <c r="J172" s="102" t="b">
        <v>1</v>
      </c>
      <c r="K172" s="102" t="b">
        <v>1</v>
      </c>
      <c r="L172" s="104">
        <v>0</v>
      </c>
      <c r="M172" s="104">
        <v>0</v>
      </c>
      <c r="N172" s="104">
        <v>12</v>
      </c>
      <c r="O172" s="160">
        <v>0.2</v>
      </c>
      <c r="P172" s="160">
        <v>0.2</v>
      </c>
      <c r="Q172" s="160">
        <v>0</v>
      </c>
      <c r="R172" s="442">
        <v>4.3600000000000003</v>
      </c>
      <c r="S172" s="210">
        <f>242/($R172*100)</f>
        <v>0.55504587155963292</v>
      </c>
      <c r="T172" s="210">
        <f>317/($R172*100)</f>
        <v>0.72706422018348615</v>
      </c>
      <c r="U172" s="101">
        <v>1</v>
      </c>
      <c r="V172" s="210">
        <f>522/($R172*100)</f>
        <v>1.1972477064220182</v>
      </c>
      <c r="W172" s="210">
        <f>636/($R172*100)</f>
        <v>1.4587155963302751</v>
      </c>
      <c r="X172" s="161"/>
      <c r="Y172" s="162" t="s">
        <v>294</v>
      </c>
      <c r="Z172" s="163">
        <v>3</v>
      </c>
      <c r="AA172" s="164">
        <v>0.05</v>
      </c>
      <c r="AB172" s="163">
        <v>0.17</v>
      </c>
      <c r="AC172" s="163"/>
      <c r="AD172" s="164">
        <v>0.02</v>
      </c>
      <c r="AE172" s="165">
        <v>4.4999999999999997E-3</v>
      </c>
      <c r="AF172" s="166">
        <f t="shared" si="30"/>
        <v>3.17</v>
      </c>
      <c r="AG172" s="167">
        <f t="shared" si="30"/>
        <v>7.4500000000000011E-2</v>
      </c>
      <c r="AH172" s="78"/>
      <c r="AI172" s="60"/>
      <c r="AJ172" s="48"/>
      <c r="AK172" s="48"/>
      <c r="AL172" s="48"/>
      <c r="AN172" s="360" t="str">
        <f t="shared" si="34"/>
        <v>Store lamb grid (2)</v>
      </c>
      <c r="AO172" s="349"/>
      <c r="AP172" s="349"/>
      <c r="AQ172" s="350">
        <f t="shared" ca="1" si="31"/>
        <v>1.1972477064220182</v>
      </c>
      <c r="AR172" s="361">
        <f t="shared" ca="1" si="32"/>
        <v>5.22</v>
      </c>
    </row>
    <row r="173" spans="1:49" outlineLevel="3" x14ac:dyDescent="0.25">
      <c r="A173" s="48"/>
      <c r="B173" s="57"/>
      <c r="C173" s="92">
        <f t="shared" si="33"/>
        <v>4</v>
      </c>
      <c r="D173" s="78"/>
      <c r="E173" s="73">
        <v>3</v>
      </c>
      <c r="F173" s="73"/>
      <c r="G173" s="78"/>
      <c r="H173" s="81" t="s">
        <v>298</v>
      </c>
      <c r="I173" s="102" t="b">
        <v>0</v>
      </c>
      <c r="J173" s="102" t="b">
        <v>1</v>
      </c>
      <c r="K173" s="102" t="b">
        <v>1</v>
      </c>
      <c r="L173" s="104">
        <v>0</v>
      </c>
      <c r="M173" s="104">
        <v>0</v>
      </c>
      <c r="N173" s="104" t="s">
        <v>296</v>
      </c>
      <c r="O173" s="160">
        <v>0.2</v>
      </c>
      <c r="P173" s="160">
        <v>0.2</v>
      </c>
      <c r="Q173" s="160">
        <v>-0.01</v>
      </c>
      <c r="R173" s="442">
        <v>2.81</v>
      </c>
      <c r="S173" s="381">
        <f>S176</f>
        <v>0.41637010676156583</v>
      </c>
      <c r="T173" s="381">
        <f>T176</f>
        <v>0.63345195729537362</v>
      </c>
      <c r="U173" s="101">
        <v>1</v>
      </c>
      <c r="V173" s="381">
        <f>V176</f>
        <v>1.3629893238434163</v>
      </c>
      <c r="W173" s="381">
        <f>W176</f>
        <v>1.7971530249110321</v>
      </c>
      <c r="X173" s="161"/>
      <c r="Y173" s="162" t="s">
        <v>294</v>
      </c>
      <c r="Z173" s="163">
        <v>3</v>
      </c>
      <c r="AA173" s="164">
        <v>0.05</v>
      </c>
      <c r="AB173" s="163">
        <v>0.17</v>
      </c>
      <c r="AC173" s="163">
        <v>0.2</v>
      </c>
      <c r="AD173" s="163"/>
      <c r="AE173" s="165">
        <v>4.4999999999999997E-3</v>
      </c>
      <c r="AF173" s="166">
        <f t="shared" si="30"/>
        <v>3.37</v>
      </c>
      <c r="AG173" s="167">
        <f t="shared" si="30"/>
        <v>5.45E-2</v>
      </c>
      <c r="AH173" s="78"/>
      <c r="AI173" s="60"/>
      <c r="AJ173" s="48"/>
      <c r="AK173" s="48"/>
      <c r="AL173" s="48"/>
      <c r="AN173" s="360" t="str">
        <f t="shared" si="34"/>
        <v>Yearling grid (3)</v>
      </c>
      <c r="AO173" s="349"/>
      <c r="AP173" s="349"/>
      <c r="AQ173" s="350">
        <f t="shared" ca="1" si="31"/>
        <v>1.3629893238434163</v>
      </c>
      <c r="AR173" s="361">
        <f t="shared" ca="1" si="32"/>
        <v>3.83</v>
      </c>
      <c r="AV173" s="380">
        <f ca="1">50*0.46*AR173</f>
        <v>88.09</v>
      </c>
      <c r="AW173" t="s">
        <v>2483</v>
      </c>
    </row>
    <row r="174" spans="1:49" outlineLevel="3" x14ac:dyDescent="0.25">
      <c r="A174" s="48"/>
      <c r="B174" s="57"/>
      <c r="C174" s="92">
        <f t="shared" si="33"/>
        <v>4</v>
      </c>
      <c r="D174" s="78"/>
      <c r="E174" s="73">
        <v>4</v>
      </c>
      <c r="F174" s="73"/>
      <c r="G174" s="78"/>
      <c r="H174" s="81" t="s">
        <v>299</v>
      </c>
      <c r="I174" s="102" t="b">
        <v>0</v>
      </c>
      <c r="J174" s="102" t="b">
        <v>0</v>
      </c>
      <c r="K174" s="102" t="b">
        <v>1</v>
      </c>
      <c r="L174" s="104">
        <v>1</v>
      </c>
      <c r="M174" s="104">
        <v>2</v>
      </c>
      <c r="N174" s="104" t="s">
        <v>296</v>
      </c>
      <c r="O174" s="160">
        <v>0.2</v>
      </c>
      <c r="P174" s="160">
        <v>0.2</v>
      </c>
      <c r="Q174" s="160">
        <v>-0.02</v>
      </c>
      <c r="R174" s="442">
        <f>MROUND(26.5*R$176,5)</f>
        <v>75</v>
      </c>
      <c r="S174" s="444">
        <f>AVERAGE(S$170:S$172,S$176)</f>
        <v>0.53459847014830464</v>
      </c>
      <c r="T174" s="444">
        <f t="shared" ref="T174:T175" si="35">AVERAGE(T$170:T$172,T$176)</f>
        <v>0.71324217851226079</v>
      </c>
      <c r="U174" s="445">
        <v>1</v>
      </c>
      <c r="V174" s="444">
        <f t="shared" ref="V174:W175" si="36">AVERAGE(V$170:V$172,V$176)</f>
        <v>1.2512287253534735</v>
      </c>
      <c r="W174" s="444">
        <f t="shared" si="36"/>
        <v>1.5691803516999938</v>
      </c>
      <c r="X174" s="161"/>
      <c r="Y174" s="162" t="s">
        <v>300</v>
      </c>
      <c r="Z174" s="163">
        <v>5</v>
      </c>
      <c r="AA174" s="164">
        <v>0.05</v>
      </c>
      <c r="AB174" s="163">
        <v>0.17</v>
      </c>
      <c r="AC174" s="163">
        <v>0.2</v>
      </c>
      <c r="AD174" s="163"/>
      <c r="AE174" s="165">
        <v>4.4999999999999997E-3</v>
      </c>
      <c r="AF174" s="166">
        <f t="shared" si="30"/>
        <v>5.37</v>
      </c>
      <c r="AG174" s="167">
        <f t="shared" si="30"/>
        <v>5.45E-2</v>
      </c>
      <c r="AH174" s="78"/>
      <c r="AI174" s="60"/>
      <c r="AJ174" s="48"/>
      <c r="AK174" s="48"/>
      <c r="AL174" s="48"/>
      <c r="AN174" s="360" t="str">
        <f t="shared" si="34"/>
        <v>Export wether grid (4)</v>
      </c>
      <c r="AO174" s="349"/>
      <c r="AP174" s="349"/>
      <c r="AQ174" s="350">
        <f t="shared" ca="1" si="31"/>
        <v>1.2512287253534735</v>
      </c>
      <c r="AR174" s="361">
        <f t="shared" ca="1" si="32"/>
        <v>93.842154401510513</v>
      </c>
    </row>
    <row r="175" spans="1:49" outlineLevel="3" x14ac:dyDescent="0.25">
      <c r="A175" s="48"/>
      <c r="B175" s="57"/>
      <c r="C175" s="92">
        <f t="shared" si="33"/>
        <v>4</v>
      </c>
      <c r="D175" s="78"/>
      <c r="E175" s="73">
        <v>5</v>
      </c>
      <c r="F175" s="73"/>
      <c r="G175" s="78"/>
      <c r="H175" s="81" t="s">
        <v>301</v>
      </c>
      <c r="I175" s="102" t="b">
        <v>0</v>
      </c>
      <c r="J175" s="102" t="b">
        <v>1</v>
      </c>
      <c r="K175" s="102" t="b">
        <v>0</v>
      </c>
      <c r="L175" s="104">
        <v>1</v>
      </c>
      <c r="M175" s="104">
        <v>2</v>
      </c>
      <c r="N175" s="104">
        <v>19</v>
      </c>
      <c r="O175" s="160">
        <v>0.2</v>
      </c>
      <c r="P175" s="160">
        <v>0.2</v>
      </c>
      <c r="Q175" s="160">
        <v>-0.02</v>
      </c>
      <c r="R175" s="442">
        <f>MROUND(1.33*26.5*R$176,5)</f>
        <v>100</v>
      </c>
      <c r="S175" s="444">
        <f>AVERAGE(S$170:S$172,S$176)</f>
        <v>0.53459847014830464</v>
      </c>
      <c r="T175" s="444">
        <f t="shared" si="35"/>
        <v>0.71324217851226079</v>
      </c>
      <c r="U175" s="445">
        <v>1</v>
      </c>
      <c r="V175" s="444">
        <f t="shared" si="36"/>
        <v>1.2512287253534735</v>
      </c>
      <c r="W175" s="444">
        <f t="shared" si="36"/>
        <v>1.5691803516999938</v>
      </c>
      <c r="X175" s="161"/>
      <c r="Y175" s="162" t="s">
        <v>302</v>
      </c>
      <c r="Z175" s="163">
        <v>3</v>
      </c>
      <c r="AA175" s="164">
        <v>0.05</v>
      </c>
      <c r="AB175" s="163">
        <f>0.17+0.79</f>
        <v>0.96000000000000008</v>
      </c>
      <c r="AC175" s="163">
        <v>0.2</v>
      </c>
      <c r="AD175" s="163"/>
      <c r="AE175" s="165">
        <v>4.4999999999999997E-3</v>
      </c>
      <c r="AF175" s="166">
        <f t="shared" si="30"/>
        <v>4.16</v>
      </c>
      <c r="AG175" s="167">
        <f t="shared" si="30"/>
        <v>5.45E-2</v>
      </c>
      <c r="AH175" s="78"/>
      <c r="AI175" s="60"/>
      <c r="AJ175" s="48"/>
      <c r="AK175" s="48"/>
      <c r="AL175" s="48"/>
      <c r="AN175" s="360" t="str">
        <f t="shared" si="34"/>
        <v>Breeder grid (5)</v>
      </c>
      <c r="AO175" s="349"/>
      <c r="AP175" s="349"/>
      <c r="AQ175" s="350">
        <f t="shared" ca="1" si="31"/>
        <v>1.2512287253534735</v>
      </c>
      <c r="AR175" s="361">
        <f t="shared" ca="1" si="32"/>
        <v>125.12287253534735</v>
      </c>
      <c r="AS175" t="s">
        <v>2486</v>
      </c>
      <c r="AV175" s="361">
        <f ca="1">AR175*(1+AVERAGE($J$266:$U$266))*($M$225/$N$225)</f>
        <v>105.34538623137308</v>
      </c>
      <c r="AW175" t="s">
        <v>2485</v>
      </c>
    </row>
    <row r="176" spans="1:49" outlineLevel="3" x14ac:dyDescent="0.25">
      <c r="A176" s="48"/>
      <c r="B176" s="57"/>
      <c r="C176" s="92">
        <f t="shared" si="33"/>
        <v>4</v>
      </c>
      <c r="D176" s="78"/>
      <c r="E176" s="73">
        <v>6</v>
      </c>
      <c r="F176" s="73"/>
      <c r="G176" s="78"/>
      <c r="H176" s="114" t="s">
        <v>303</v>
      </c>
      <c r="I176" s="168" t="b">
        <v>0</v>
      </c>
      <c r="J176" s="168" t="b">
        <v>1</v>
      </c>
      <c r="K176" s="168" t="b">
        <v>1</v>
      </c>
      <c r="L176" s="169">
        <v>0</v>
      </c>
      <c r="M176" s="169">
        <v>0</v>
      </c>
      <c r="N176" s="169" t="s">
        <v>296</v>
      </c>
      <c r="O176" s="160">
        <v>0.2</v>
      </c>
      <c r="P176" s="160">
        <v>0.2</v>
      </c>
      <c r="Q176" s="160">
        <v>-0.02</v>
      </c>
      <c r="R176" s="442">
        <v>2.81</v>
      </c>
      <c r="S176" s="342">
        <f>117/($R176*100)</f>
        <v>0.41637010676156583</v>
      </c>
      <c r="T176" s="342">
        <f>178/($R176*100)</f>
        <v>0.63345195729537362</v>
      </c>
      <c r="U176" s="145">
        <v>1</v>
      </c>
      <c r="V176" s="342">
        <f>383/($R176*100)</f>
        <v>1.3629893238434163</v>
      </c>
      <c r="W176" s="342">
        <f>505/($R176*100)</f>
        <v>1.7971530249110321</v>
      </c>
      <c r="X176" s="171"/>
      <c r="Y176" s="172" t="s">
        <v>302</v>
      </c>
      <c r="Z176" s="173">
        <v>3</v>
      </c>
      <c r="AA176" s="174">
        <v>0.05</v>
      </c>
      <c r="AB176" s="173">
        <f t="shared" ref="AB176:AB177" si="37">0.17+0.79</f>
        <v>0.96000000000000008</v>
      </c>
      <c r="AC176" s="173">
        <v>0.2</v>
      </c>
      <c r="AD176" s="173"/>
      <c r="AE176" s="175">
        <v>4.4999999999999997E-3</v>
      </c>
      <c r="AF176" s="176">
        <f t="shared" si="30"/>
        <v>4.16</v>
      </c>
      <c r="AG176" s="177">
        <f t="shared" si="30"/>
        <v>5.45E-2</v>
      </c>
      <c r="AH176" s="78"/>
      <c r="AI176" s="60"/>
      <c r="AJ176" s="48"/>
      <c r="AK176" s="48"/>
      <c r="AL176" s="48"/>
      <c r="AN176" s="360" t="str">
        <f t="shared" si="34"/>
        <v>Mutton grid (6)</v>
      </c>
      <c r="AO176" s="349"/>
      <c r="AP176" s="349"/>
      <c r="AQ176" s="350">
        <f t="shared" ca="1" si="31"/>
        <v>1.3629893238434163</v>
      </c>
      <c r="AR176" s="361">
        <f t="shared" ca="1" si="32"/>
        <v>3.83</v>
      </c>
      <c r="AV176" s="380">
        <f ca="1">55*0.45*AR176</f>
        <v>94.792500000000004</v>
      </c>
      <c r="AW176" t="s">
        <v>2484</v>
      </c>
    </row>
    <row r="177" spans="1:44" outlineLevel="3" x14ac:dyDescent="0.25">
      <c r="A177" s="48"/>
      <c r="B177" s="57"/>
      <c r="C177" s="92">
        <f t="shared" si="33"/>
        <v>4</v>
      </c>
      <c r="D177" s="78"/>
      <c r="E177" s="73">
        <v>7</v>
      </c>
      <c r="F177" s="73"/>
      <c r="G177" s="78"/>
      <c r="H177" s="178" t="s">
        <v>304</v>
      </c>
      <c r="I177" s="179" t="b">
        <v>1</v>
      </c>
      <c r="J177" s="179" t="b">
        <v>0</v>
      </c>
      <c r="K177" s="179" t="b">
        <v>0</v>
      </c>
      <c r="L177" s="180">
        <v>0</v>
      </c>
      <c r="M177" s="180">
        <v>0</v>
      </c>
      <c r="N177" s="180" t="s">
        <v>296</v>
      </c>
      <c r="O177" s="181">
        <v>0.2</v>
      </c>
      <c r="P177" s="181">
        <v>0.2</v>
      </c>
      <c r="Q177" s="181">
        <v>-0.02</v>
      </c>
      <c r="R177" s="443">
        <v>1.5</v>
      </c>
      <c r="S177" s="446">
        <f>AVERAGE(S$170:S$172,S$176)</f>
        <v>0.53459847014830464</v>
      </c>
      <c r="T177" s="446">
        <f>AVERAGE(T$170:T$172,T$176)</f>
        <v>0.71324217851226079</v>
      </c>
      <c r="U177" s="182">
        <v>1</v>
      </c>
      <c r="V177" s="446">
        <f>AVERAGE(V$170:V$172,V$176)</f>
        <v>1.2512287253534735</v>
      </c>
      <c r="W177" s="446">
        <f>AVERAGE(W$170:W$172,W$176)</f>
        <v>1.5691803516999938</v>
      </c>
      <c r="X177" s="183"/>
      <c r="Y177" s="184" t="s">
        <v>302</v>
      </c>
      <c r="Z177" s="180">
        <v>3</v>
      </c>
      <c r="AA177" s="185">
        <v>0.05</v>
      </c>
      <c r="AB177" s="180">
        <f t="shared" si="37"/>
        <v>0.96000000000000008</v>
      </c>
      <c r="AC177" s="180">
        <v>0.2</v>
      </c>
      <c r="AD177" s="180"/>
      <c r="AE177" s="186">
        <v>4.4999999999999997E-3</v>
      </c>
      <c r="AF177" s="182">
        <f t="shared" si="30"/>
        <v>4.16</v>
      </c>
      <c r="AG177" s="187">
        <f t="shared" si="30"/>
        <v>5.45E-2</v>
      </c>
      <c r="AH177" s="78"/>
      <c r="AI177" s="60"/>
      <c r="AJ177" s="48"/>
      <c r="AK177" s="48"/>
      <c r="AL177" s="48"/>
      <c r="AN177" s="362" t="str">
        <f t="shared" si="34"/>
        <v>Ram grid (7)</v>
      </c>
      <c r="AO177" s="353"/>
      <c r="AP177" s="353"/>
      <c r="AQ177" s="354">
        <f t="shared" ca="1" si="31"/>
        <v>1.2512287253534735</v>
      </c>
      <c r="AR177" s="363">
        <f t="shared" ca="1" si="32"/>
        <v>1.8768430880302103</v>
      </c>
    </row>
    <row r="178" spans="1:44" outlineLevel="3" x14ac:dyDescent="0.25">
      <c r="A178" s="48"/>
      <c r="B178" s="57"/>
      <c r="C178" s="92">
        <f t="shared" si="33"/>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305</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306</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307</v>
      </c>
      <c r="J182" s="115">
        <v>1</v>
      </c>
      <c r="K182" s="115">
        <v>2</v>
      </c>
      <c r="L182" s="115">
        <v>2.5</v>
      </c>
      <c r="M182" s="115">
        <v>3</v>
      </c>
      <c r="N182" s="115">
        <v>4</v>
      </c>
      <c r="O182" s="101">
        <f>N182+1</f>
        <v>5</v>
      </c>
      <c r="P182" s="81"/>
      <c r="Q182" s="114" t="s">
        <v>2767</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308</v>
      </c>
      <c r="J183" s="160">
        <v>-0.04</v>
      </c>
      <c r="K183" s="160">
        <v>-0.02</v>
      </c>
      <c r="L183" s="160">
        <v>0</v>
      </c>
      <c r="M183" s="160">
        <v>0.02</v>
      </c>
      <c r="N183" s="160">
        <v>0.04</v>
      </c>
      <c r="O183" s="188">
        <f>N183</f>
        <v>0.04</v>
      </c>
      <c r="P183" s="81"/>
      <c r="Q183" s="81" t="s">
        <v>2397</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89" t="s">
        <v>309</v>
      </c>
      <c r="I184" s="101" t="s">
        <v>310</v>
      </c>
      <c r="J184" s="84">
        <v>8</v>
      </c>
      <c r="K184" s="84">
        <v>8</v>
      </c>
      <c r="L184" s="84"/>
      <c r="M184" s="100"/>
      <c r="N184" s="100"/>
      <c r="O184" s="81"/>
      <c r="P184" s="110"/>
      <c r="Q184" s="144" t="s">
        <v>311</v>
      </c>
      <c r="R184" s="144"/>
      <c r="S184" s="144"/>
      <c r="T184" s="144"/>
      <c r="U184" s="144"/>
      <c r="V184" s="81"/>
      <c r="W184" s="81"/>
      <c r="X184" s="100" t="s">
        <v>312</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0">
        <v>10</v>
      </c>
      <c r="J185" s="457">
        <v>3.6</v>
      </c>
      <c r="K185" s="458">
        <v>5</v>
      </c>
      <c r="L185" s="458">
        <v>5</v>
      </c>
      <c r="M185" s="458">
        <v>5</v>
      </c>
      <c r="N185" s="459">
        <v>3.6</v>
      </c>
      <c r="O185" s="191">
        <v>0</v>
      </c>
      <c r="P185" s="192"/>
      <c r="Q185" s="448">
        <v>0.85133333333333328</v>
      </c>
      <c r="R185" s="449">
        <v>0.70809675221439938</v>
      </c>
      <c r="S185" s="449">
        <v>0.70809675221439938</v>
      </c>
      <c r="T185" s="449">
        <v>0.70809675221439938</v>
      </c>
      <c r="U185" s="450">
        <v>0.95133819951338194</v>
      </c>
      <c r="V185" s="193">
        <v>0</v>
      </c>
      <c r="W185" s="192"/>
      <c r="X185" s="448">
        <v>0.88462809917355367</v>
      </c>
      <c r="Y185" s="449">
        <v>1</v>
      </c>
      <c r="Z185" s="449">
        <v>1</v>
      </c>
      <c r="AA185" s="449">
        <v>1</v>
      </c>
      <c r="AB185" s="450">
        <v>0.89564738292011015</v>
      </c>
      <c r="AC185" s="193">
        <v>0</v>
      </c>
      <c r="AD185" s="81"/>
      <c r="AE185" s="81"/>
      <c r="AF185" s="81"/>
      <c r="AG185" s="81"/>
      <c r="AH185" s="78"/>
      <c r="AI185" s="60"/>
      <c r="AJ185" s="48"/>
      <c r="AK185" s="48"/>
      <c r="AL185" s="48"/>
    </row>
    <row r="186" spans="1:44" outlineLevel="3" x14ac:dyDescent="0.25">
      <c r="A186" s="48"/>
      <c r="B186" s="57"/>
      <c r="C186" s="92">
        <f t="shared" ref="C186:C192" si="38">INT($C$154)+3</f>
        <v>4</v>
      </c>
      <c r="D186" s="78"/>
      <c r="E186" s="73">
        <f>E185</f>
        <v>0</v>
      </c>
      <c r="F186" s="73">
        <f>F185</f>
        <v>0</v>
      </c>
      <c r="G186" s="78"/>
      <c r="H186" s="194" t="str">
        <f>INDEX($M$162:$M$164,INDEX(i_salep_price_type_s7,$F186+1,1)+1,1)&amp;INDEX($L$162:$L$164,INDEX(ia_s8_s7,$F186+1,1)+1,1)</f>
        <v>$/kg DW, DW - Fat score</v>
      </c>
      <c r="I186" s="190">
        <v>16.100000000000001</v>
      </c>
      <c r="J186" s="460">
        <v>4.4000000000000004</v>
      </c>
      <c r="K186" s="461">
        <v>5.6</v>
      </c>
      <c r="L186" s="461">
        <v>5.6</v>
      </c>
      <c r="M186" s="461">
        <v>5.6</v>
      </c>
      <c r="N186" s="462">
        <v>3.6</v>
      </c>
      <c r="O186" s="191">
        <v>0</v>
      </c>
      <c r="P186" s="192"/>
      <c r="Q186" s="451">
        <v>0.97222222222222232</v>
      </c>
      <c r="R186" s="452">
        <v>0.87857815798992267</v>
      </c>
      <c r="S186" s="452">
        <v>0.87857815798992267</v>
      </c>
      <c r="T186" s="452">
        <v>0.87857815798992267</v>
      </c>
      <c r="U186" s="453">
        <v>1</v>
      </c>
      <c r="V186" s="193">
        <v>0</v>
      </c>
      <c r="W186" s="192"/>
      <c r="X186" s="451">
        <v>0.8040891961755271</v>
      </c>
      <c r="Y186" s="452">
        <v>1</v>
      </c>
      <c r="Z186" s="452">
        <v>1</v>
      </c>
      <c r="AA186" s="452">
        <v>1</v>
      </c>
      <c r="AB186" s="453">
        <v>0.76100470273132148</v>
      </c>
      <c r="AC186" s="193">
        <v>0</v>
      </c>
      <c r="AD186" s="81"/>
      <c r="AE186" s="81"/>
      <c r="AF186" s="81"/>
      <c r="AG186" s="81"/>
      <c r="AH186" s="78"/>
      <c r="AI186" s="60"/>
      <c r="AJ186" s="48"/>
      <c r="AK186" s="48"/>
      <c r="AL186" s="48"/>
    </row>
    <row r="187" spans="1:44" outlineLevel="3" x14ac:dyDescent="0.25">
      <c r="A187" s="48"/>
      <c r="B187" s="57"/>
      <c r="C187" s="92">
        <f t="shared" si="38"/>
        <v>4</v>
      </c>
      <c r="D187" s="78"/>
      <c r="E187" s="73">
        <f t="shared" ref="E187:F192" si="39">E186</f>
        <v>0</v>
      </c>
      <c r="F187" s="73">
        <f t="shared" si="39"/>
        <v>0</v>
      </c>
      <c r="G187" s="78"/>
      <c r="H187" s="102" t="s">
        <v>2768</v>
      </c>
      <c r="I187" s="190">
        <v>18.100000000000001</v>
      </c>
      <c r="J187" s="460">
        <v>4.8</v>
      </c>
      <c r="K187" s="461">
        <v>6.8</v>
      </c>
      <c r="L187" s="461">
        <v>6.8</v>
      </c>
      <c r="M187" s="461">
        <v>6.8</v>
      </c>
      <c r="N187" s="462">
        <v>3.6</v>
      </c>
      <c r="O187" s="191">
        <v>0</v>
      </c>
      <c r="P187" s="192"/>
      <c r="Q187" s="451">
        <v>0.95733333333333326</v>
      </c>
      <c r="R187" s="452">
        <v>1</v>
      </c>
      <c r="S187" s="452">
        <v>1</v>
      </c>
      <c r="T187" s="452">
        <v>1</v>
      </c>
      <c r="U187" s="453">
        <v>0.95133819951338194</v>
      </c>
      <c r="V187" s="193">
        <v>0</v>
      </c>
      <c r="W187" s="192"/>
      <c r="X187" s="451">
        <v>0.69242982478276593</v>
      </c>
      <c r="Y187" s="452">
        <v>1</v>
      </c>
      <c r="Z187" s="452">
        <v>1</v>
      </c>
      <c r="AA187" s="452">
        <v>1</v>
      </c>
      <c r="AB187" s="453">
        <v>0.63046029222499811</v>
      </c>
      <c r="AC187" s="193">
        <v>0</v>
      </c>
      <c r="AD187" s="81"/>
      <c r="AE187" s="81"/>
      <c r="AF187" s="81"/>
      <c r="AG187" s="81"/>
      <c r="AH187" s="78"/>
      <c r="AI187" s="60"/>
      <c r="AJ187" s="48"/>
      <c r="AK187" s="48"/>
      <c r="AL187" s="48"/>
    </row>
    <row r="188" spans="1:44" outlineLevel="3" x14ac:dyDescent="0.25">
      <c r="A188" s="48"/>
      <c r="B188" s="57"/>
      <c r="C188" s="92">
        <f t="shared" si="38"/>
        <v>4</v>
      </c>
      <c r="D188" s="78"/>
      <c r="E188" s="73">
        <f t="shared" si="39"/>
        <v>0</v>
      </c>
      <c r="F188" s="73">
        <f t="shared" si="39"/>
        <v>0</v>
      </c>
      <c r="G188" s="78"/>
      <c r="H188" s="102" t="s">
        <v>313</v>
      </c>
      <c r="I188" s="190">
        <v>28.1</v>
      </c>
      <c r="J188" s="460">
        <v>4.3</v>
      </c>
      <c r="K188" s="461">
        <v>5.3</v>
      </c>
      <c r="L188" s="461">
        <v>5.3</v>
      </c>
      <c r="M188" s="461">
        <v>5.3</v>
      </c>
      <c r="N188" s="462">
        <v>3.6</v>
      </c>
      <c r="O188" s="191">
        <v>0</v>
      </c>
      <c r="P188" s="192"/>
      <c r="Q188" s="451">
        <v>0.92261111111111116</v>
      </c>
      <c r="R188" s="452">
        <v>0.87592003768474347</v>
      </c>
      <c r="S188" s="452">
        <v>0.87592003768474347</v>
      </c>
      <c r="T188" s="452">
        <v>0.87592003768474347</v>
      </c>
      <c r="U188" s="453">
        <v>0.95133819951338194</v>
      </c>
      <c r="V188" s="193">
        <v>0</v>
      </c>
      <c r="W188" s="192"/>
      <c r="X188" s="451">
        <v>0.76440403426850423</v>
      </c>
      <c r="Y188" s="452">
        <v>1</v>
      </c>
      <c r="Z188" s="452">
        <v>1</v>
      </c>
      <c r="AA188" s="452">
        <v>1</v>
      </c>
      <c r="AB188" s="453">
        <v>0.71534869594928063</v>
      </c>
      <c r="AC188" s="193">
        <v>0</v>
      </c>
      <c r="AD188" s="81"/>
      <c r="AE188" s="81"/>
      <c r="AF188" s="81"/>
      <c r="AG188" s="81"/>
      <c r="AH188" s="78"/>
      <c r="AI188" s="60"/>
      <c r="AJ188" s="48"/>
      <c r="AK188" s="48"/>
      <c r="AL188" s="48"/>
    </row>
    <row r="189" spans="1:44" outlineLevel="3" x14ac:dyDescent="0.25">
      <c r="A189" s="48"/>
      <c r="B189" s="57"/>
      <c r="C189" s="92">
        <f t="shared" si="38"/>
        <v>4</v>
      </c>
      <c r="D189" s="78"/>
      <c r="E189" s="73">
        <f t="shared" si="39"/>
        <v>0</v>
      </c>
      <c r="F189" s="73">
        <f t="shared" si="39"/>
        <v>0</v>
      </c>
      <c r="G189" s="78"/>
      <c r="H189" s="81"/>
      <c r="I189" s="190">
        <v>31.1</v>
      </c>
      <c r="J189" s="460">
        <v>4</v>
      </c>
      <c r="K189" s="461">
        <v>5</v>
      </c>
      <c r="L189" s="461">
        <v>5</v>
      </c>
      <c r="M189" s="461">
        <v>5</v>
      </c>
      <c r="N189" s="462">
        <v>3.6</v>
      </c>
      <c r="O189" s="191">
        <v>0</v>
      </c>
      <c r="P189" s="192"/>
      <c r="Q189" s="451">
        <v>0.87644444444444447</v>
      </c>
      <c r="R189" s="452">
        <v>0.75088954500719218</v>
      </c>
      <c r="S189" s="452">
        <v>0.75088954500719218</v>
      </c>
      <c r="T189" s="452">
        <v>0.75088954500719218</v>
      </c>
      <c r="U189" s="453">
        <v>0.94890510948905105</v>
      </c>
      <c r="V189" s="193">
        <v>0</v>
      </c>
      <c r="W189" s="192"/>
      <c r="X189" s="451">
        <v>0.8666666666666667</v>
      </c>
      <c r="Y189" s="452">
        <v>1</v>
      </c>
      <c r="Z189" s="452">
        <v>1</v>
      </c>
      <c r="AA189" s="452">
        <v>1</v>
      </c>
      <c r="AB189" s="453">
        <v>0.84952380952380946</v>
      </c>
      <c r="AC189" s="193">
        <v>0</v>
      </c>
      <c r="AD189" s="81"/>
      <c r="AE189" s="81"/>
      <c r="AF189" s="81"/>
      <c r="AG189" s="81"/>
      <c r="AH189" s="78"/>
      <c r="AI189" s="60"/>
      <c r="AJ189" s="48"/>
      <c r="AK189" s="48"/>
      <c r="AL189" s="48"/>
    </row>
    <row r="190" spans="1:44" outlineLevel="3" x14ac:dyDescent="0.25">
      <c r="A190" s="48"/>
      <c r="B190" s="57"/>
      <c r="C190" s="92">
        <f t="shared" si="38"/>
        <v>4</v>
      </c>
      <c r="D190" s="78"/>
      <c r="E190" s="73">
        <f t="shared" si="39"/>
        <v>0</v>
      </c>
      <c r="F190" s="73">
        <f t="shared" si="39"/>
        <v>0</v>
      </c>
      <c r="G190" s="78"/>
      <c r="H190" s="81"/>
      <c r="I190" s="190">
        <f t="shared" ref="I190:N191" si="40">I189</f>
        <v>31.1</v>
      </c>
      <c r="J190" s="460">
        <f t="shared" si="40"/>
        <v>4</v>
      </c>
      <c r="K190" s="461">
        <f t="shared" si="40"/>
        <v>5</v>
      </c>
      <c r="L190" s="461">
        <f t="shared" si="40"/>
        <v>5</v>
      </c>
      <c r="M190" s="461">
        <f t="shared" si="40"/>
        <v>5</v>
      </c>
      <c r="N190" s="462">
        <f t="shared" si="40"/>
        <v>3.6</v>
      </c>
      <c r="O190" s="191">
        <v>0</v>
      </c>
      <c r="P190" s="192"/>
      <c r="Q190" s="451">
        <f>Q189</f>
        <v>0.87644444444444447</v>
      </c>
      <c r="R190" s="452">
        <f t="shared" ref="R190:R191" si="41">R189</f>
        <v>0.75088954500719218</v>
      </c>
      <c r="S190" s="452">
        <f t="shared" ref="S190:S191" si="42">S189</f>
        <v>0.75088954500719218</v>
      </c>
      <c r="T190" s="452">
        <f t="shared" ref="T190:T191" si="43">T189</f>
        <v>0.75088954500719218</v>
      </c>
      <c r="U190" s="453">
        <f t="shared" ref="U190:U191" si="44">U189</f>
        <v>0.94890510948905105</v>
      </c>
      <c r="V190" s="193">
        <v>0</v>
      </c>
      <c r="W190" s="192"/>
      <c r="X190" s="451">
        <f>X189</f>
        <v>0.8666666666666667</v>
      </c>
      <c r="Y190" s="452">
        <f t="shared" ref="Y190:Y191" si="45">Y189</f>
        <v>1</v>
      </c>
      <c r="Z190" s="452">
        <f t="shared" ref="Z190:Z191" si="46">Z189</f>
        <v>1</v>
      </c>
      <c r="AA190" s="452">
        <f t="shared" ref="AA190:AA191" si="47">AA189</f>
        <v>1</v>
      </c>
      <c r="AB190" s="453">
        <f t="shared" ref="AB190:AB191" si="48">AB189</f>
        <v>0.84952380952380946</v>
      </c>
      <c r="AC190" s="193">
        <v>0</v>
      </c>
      <c r="AD190" s="81"/>
      <c r="AE190" s="81"/>
      <c r="AF190" s="81"/>
      <c r="AG190" s="81"/>
      <c r="AH190" s="78"/>
      <c r="AI190" s="60"/>
      <c r="AJ190" s="48"/>
      <c r="AK190" s="48"/>
      <c r="AL190" s="48"/>
    </row>
    <row r="191" spans="1:44" outlineLevel="3" x14ac:dyDescent="0.25">
      <c r="A191" s="48"/>
      <c r="B191" s="57"/>
      <c r="C191" s="92">
        <f t="shared" si="38"/>
        <v>4</v>
      </c>
      <c r="D191" s="78"/>
      <c r="E191" s="73">
        <f t="shared" si="39"/>
        <v>0</v>
      </c>
      <c r="F191" s="73">
        <f t="shared" si="39"/>
        <v>0</v>
      </c>
      <c r="G191" s="78"/>
      <c r="H191" s="81"/>
      <c r="I191" s="190">
        <f t="shared" si="40"/>
        <v>31.1</v>
      </c>
      <c r="J191" s="463">
        <f t="shared" si="40"/>
        <v>4</v>
      </c>
      <c r="K191" s="464">
        <f t="shared" si="40"/>
        <v>5</v>
      </c>
      <c r="L191" s="464">
        <f t="shared" si="40"/>
        <v>5</v>
      </c>
      <c r="M191" s="464">
        <f t="shared" si="40"/>
        <v>5</v>
      </c>
      <c r="N191" s="465">
        <f t="shared" si="40"/>
        <v>3.6</v>
      </c>
      <c r="O191" s="191">
        <v>0</v>
      </c>
      <c r="P191" s="192"/>
      <c r="Q191" s="454">
        <f t="shared" ref="Q191" si="49">Q190</f>
        <v>0.87644444444444447</v>
      </c>
      <c r="R191" s="455">
        <f t="shared" si="41"/>
        <v>0.75088954500719218</v>
      </c>
      <c r="S191" s="455">
        <f t="shared" si="42"/>
        <v>0.75088954500719218</v>
      </c>
      <c r="T191" s="455">
        <f t="shared" si="43"/>
        <v>0.75088954500719218</v>
      </c>
      <c r="U191" s="456">
        <f t="shared" si="44"/>
        <v>0.94890510948905105</v>
      </c>
      <c r="V191" s="193">
        <v>0</v>
      </c>
      <c r="W191" s="192"/>
      <c r="X191" s="454">
        <f t="shared" ref="X191" si="50">X190</f>
        <v>0.8666666666666667</v>
      </c>
      <c r="Y191" s="455">
        <f t="shared" si="45"/>
        <v>1</v>
      </c>
      <c r="Z191" s="455">
        <f t="shared" si="46"/>
        <v>1</v>
      </c>
      <c r="AA191" s="455">
        <f t="shared" si="47"/>
        <v>1</v>
      </c>
      <c r="AB191" s="456">
        <f t="shared" si="48"/>
        <v>0.84952380952380946</v>
      </c>
      <c r="AC191" s="193">
        <v>0</v>
      </c>
      <c r="AD191" s="81"/>
      <c r="AE191" s="81"/>
      <c r="AF191" s="81"/>
      <c r="AG191" s="81"/>
      <c r="AH191" s="78"/>
      <c r="AI191" s="60"/>
      <c r="AJ191" s="48"/>
      <c r="AK191" s="48"/>
      <c r="AL191" s="48"/>
    </row>
    <row r="192" spans="1:44" outlineLevel="3" x14ac:dyDescent="0.25">
      <c r="A192" s="48"/>
      <c r="B192" s="57"/>
      <c r="C192" s="92">
        <f t="shared" si="38"/>
        <v>4</v>
      </c>
      <c r="D192" s="78"/>
      <c r="E192" s="73">
        <f t="shared" si="39"/>
        <v>0</v>
      </c>
      <c r="F192" s="73">
        <f t="shared" si="39"/>
        <v>0</v>
      </c>
      <c r="G192" s="78"/>
      <c r="H192" s="81"/>
      <c r="I192" s="101">
        <v>1000</v>
      </c>
      <c r="J192" s="195">
        <v>0</v>
      </c>
      <c r="K192" s="195">
        <v>0</v>
      </c>
      <c r="L192" s="195">
        <v>0</v>
      </c>
      <c r="M192" s="195">
        <v>0</v>
      </c>
      <c r="N192" s="195">
        <v>0</v>
      </c>
      <c r="O192" s="101">
        <v>0</v>
      </c>
      <c r="P192" s="81"/>
      <c r="Q192" s="447">
        <v>0</v>
      </c>
      <c r="R192" s="447">
        <v>0</v>
      </c>
      <c r="S192" s="447">
        <v>0</v>
      </c>
      <c r="T192" s="447">
        <v>0</v>
      </c>
      <c r="U192" s="447">
        <v>0</v>
      </c>
      <c r="V192" s="84">
        <v>0</v>
      </c>
      <c r="W192" s="81"/>
      <c r="X192" s="447">
        <v>0</v>
      </c>
      <c r="Y192" s="447">
        <v>0</v>
      </c>
      <c r="Z192" s="447">
        <v>0</v>
      </c>
      <c r="AA192" s="447">
        <v>0</v>
      </c>
      <c r="AB192" s="447">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0">
        <v>10</v>
      </c>
      <c r="J193" s="457">
        <v>1</v>
      </c>
      <c r="K193" s="458">
        <v>2</v>
      </c>
      <c r="L193" s="458">
        <v>2</v>
      </c>
      <c r="M193" s="458">
        <v>2</v>
      </c>
      <c r="N193" s="459">
        <v>1</v>
      </c>
      <c r="O193" s="191">
        <v>0</v>
      </c>
      <c r="P193" s="192"/>
      <c r="Q193" s="448">
        <v>0.85133333333333328</v>
      </c>
      <c r="R193" s="449">
        <v>0.70809675221439938</v>
      </c>
      <c r="S193" s="449">
        <v>0.70809675221439938</v>
      </c>
      <c r="T193" s="449">
        <v>0.70809675221439938</v>
      </c>
      <c r="U193" s="450">
        <v>0.95133819951338194</v>
      </c>
      <c r="V193" s="193">
        <v>0</v>
      </c>
      <c r="W193" s="192"/>
      <c r="X193" s="448">
        <v>0.88462809917355367</v>
      </c>
      <c r="Y193" s="449">
        <v>1</v>
      </c>
      <c r="Z193" s="449">
        <v>1</v>
      </c>
      <c r="AA193" s="449">
        <v>1</v>
      </c>
      <c r="AB193" s="450">
        <v>0.89564738292011015</v>
      </c>
      <c r="AC193" s="193">
        <v>0</v>
      </c>
      <c r="AD193" s="81"/>
      <c r="AE193" s="81"/>
      <c r="AF193" s="81"/>
      <c r="AG193" s="81"/>
      <c r="AH193" s="78"/>
      <c r="AI193" s="60"/>
      <c r="AJ193" s="48"/>
      <c r="AK193" s="48"/>
      <c r="AL193" s="48"/>
    </row>
    <row r="194" spans="1:38" outlineLevel="3" x14ac:dyDescent="0.25">
      <c r="A194" s="48"/>
      <c r="B194" s="57"/>
      <c r="C194" s="92">
        <f t="shared" ref="C194:C200" si="51">INT($C$154)+3</f>
        <v>4</v>
      </c>
      <c r="D194" s="78"/>
      <c r="E194" s="73"/>
      <c r="F194" s="73">
        <f t="shared" ref="F194:F248" si="52">F193</f>
        <v>1</v>
      </c>
      <c r="G194" s="78"/>
      <c r="H194" s="194" t="str">
        <f>INDEX($M$162:$M$164,INDEX(i_salep_price_type_s7,$F194+1,1)+1,1)&amp;INDEX($L$162:$L$164,INDEX(ia_s8_s7,$F194+1,1)+1,1)</f>
        <v>$/kg DW, DW - Fat score</v>
      </c>
      <c r="I194" s="190">
        <v>16.100000000000001</v>
      </c>
      <c r="J194" s="460">
        <v>3</v>
      </c>
      <c r="K194" s="461">
        <v>5.5</v>
      </c>
      <c r="L194" s="461">
        <v>5.5</v>
      </c>
      <c r="M194" s="461">
        <v>5.5</v>
      </c>
      <c r="N194" s="462">
        <v>3</v>
      </c>
      <c r="O194" s="191">
        <v>0</v>
      </c>
      <c r="P194" s="192"/>
      <c r="Q194" s="451">
        <v>0.97222222222222232</v>
      </c>
      <c r="R194" s="452">
        <v>0.87857815798992267</v>
      </c>
      <c r="S194" s="452">
        <v>0.87857815798992267</v>
      </c>
      <c r="T194" s="452">
        <v>0.87857815798992267</v>
      </c>
      <c r="U194" s="453">
        <v>1</v>
      </c>
      <c r="V194" s="193">
        <v>0</v>
      </c>
      <c r="W194" s="192"/>
      <c r="X194" s="451">
        <v>0.8040891961755271</v>
      </c>
      <c r="Y194" s="452">
        <v>1</v>
      </c>
      <c r="Z194" s="452">
        <v>1</v>
      </c>
      <c r="AA194" s="452">
        <v>1</v>
      </c>
      <c r="AB194" s="453">
        <v>0.76100470273132148</v>
      </c>
      <c r="AC194" s="193">
        <v>0</v>
      </c>
      <c r="AD194" s="81"/>
      <c r="AE194" s="81"/>
      <c r="AF194" s="81"/>
      <c r="AG194" s="81"/>
      <c r="AH194" s="78"/>
      <c r="AI194" s="60"/>
      <c r="AJ194" s="48"/>
      <c r="AK194" s="48"/>
      <c r="AL194" s="48"/>
    </row>
    <row r="195" spans="1:38" outlineLevel="3" x14ac:dyDescent="0.25">
      <c r="A195" s="48"/>
      <c r="B195" s="57"/>
      <c r="C195" s="92">
        <f t="shared" si="51"/>
        <v>4</v>
      </c>
      <c r="D195" s="78"/>
      <c r="E195" s="73"/>
      <c r="F195" s="73">
        <f t="shared" si="52"/>
        <v>1</v>
      </c>
      <c r="G195" s="78"/>
      <c r="H195" s="102" t="s">
        <v>2769</v>
      </c>
      <c r="I195" s="190">
        <v>18.100000000000001</v>
      </c>
      <c r="J195" s="460">
        <v>5</v>
      </c>
      <c r="K195" s="461">
        <v>6</v>
      </c>
      <c r="L195" s="461">
        <v>6</v>
      </c>
      <c r="M195" s="461">
        <v>6</v>
      </c>
      <c r="N195" s="462">
        <v>5</v>
      </c>
      <c r="O195" s="191">
        <v>0</v>
      </c>
      <c r="P195" s="192"/>
      <c r="Q195" s="451">
        <v>0.95733333333333326</v>
      </c>
      <c r="R195" s="452">
        <v>1</v>
      </c>
      <c r="S195" s="452">
        <v>1</v>
      </c>
      <c r="T195" s="452">
        <v>1</v>
      </c>
      <c r="U195" s="453">
        <v>0.95133819951338194</v>
      </c>
      <c r="V195" s="193">
        <v>0</v>
      </c>
      <c r="W195" s="192"/>
      <c r="X195" s="451">
        <v>0.69242982478276593</v>
      </c>
      <c r="Y195" s="452">
        <v>1</v>
      </c>
      <c r="Z195" s="452">
        <v>1</v>
      </c>
      <c r="AA195" s="452">
        <v>1</v>
      </c>
      <c r="AB195" s="453">
        <v>0.63046029222499811</v>
      </c>
      <c r="AC195" s="193">
        <v>0</v>
      </c>
      <c r="AD195" s="81"/>
      <c r="AE195" s="81"/>
      <c r="AF195" s="81"/>
      <c r="AG195" s="81"/>
      <c r="AH195" s="78"/>
      <c r="AI195" s="60"/>
      <c r="AJ195" s="48"/>
      <c r="AK195" s="48"/>
      <c r="AL195" s="48"/>
    </row>
    <row r="196" spans="1:38" outlineLevel="3" x14ac:dyDescent="0.25">
      <c r="A196" s="48"/>
      <c r="B196" s="57"/>
      <c r="C196" s="92">
        <f t="shared" si="51"/>
        <v>4</v>
      </c>
      <c r="D196" s="78"/>
      <c r="E196" s="73"/>
      <c r="F196" s="73">
        <f t="shared" si="52"/>
        <v>1</v>
      </c>
      <c r="G196" s="78"/>
      <c r="H196" s="81"/>
      <c r="I196" s="190">
        <v>28.1</v>
      </c>
      <c r="J196" s="460">
        <v>5.2</v>
      </c>
      <c r="K196" s="461">
        <v>6.8</v>
      </c>
      <c r="L196" s="461">
        <v>6.8</v>
      </c>
      <c r="M196" s="461">
        <v>6.8</v>
      </c>
      <c r="N196" s="462">
        <v>5.2</v>
      </c>
      <c r="O196" s="191">
        <v>0</v>
      </c>
      <c r="P196" s="192"/>
      <c r="Q196" s="451">
        <v>0.92261111111111116</v>
      </c>
      <c r="R196" s="452">
        <v>0.87592003768474347</v>
      </c>
      <c r="S196" s="452">
        <v>0.87592003768474347</v>
      </c>
      <c r="T196" s="452">
        <v>0.87592003768474347</v>
      </c>
      <c r="U196" s="453">
        <v>0.95133819951338194</v>
      </c>
      <c r="V196" s="193">
        <v>0</v>
      </c>
      <c r="W196" s="192"/>
      <c r="X196" s="451">
        <v>0.76440403426850423</v>
      </c>
      <c r="Y196" s="452">
        <v>1</v>
      </c>
      <c r="Z196" s="452">
        <v>1</v>
      </c>
      <c r="AA196" s="452">
        <v>1</v>
      </c>
      <c r="AB196" s="453">
        <v>0.71534869594928063</v>
      </c>
      <c r="AC196" s="193">
        <v>0</v>
      </c>
      <c r="AD196" s="81"/>
      <c r="AE196" s="81"/>
      <c r="AF196" s="81"/>
      <c r="AG196" s="81"/>
      <c r="AH196" s="78"/>
      <c r="AI196" s="60"/>
      <c r="AJ196" s="48"/>
      <c r="AK196" s="48"/>
      <c r="AL196" s="48"/>
    </row>
    <row r="197" spans="1:38" outlineLevel="3" x14ac:dyDescent="0.25">
      <c r="A197" s="48"/>
      <c r="B197" s="57"/>
      <c r="C197" s="92">
        <f t="shared" si="51"/>
        <v>4</v>
      </c>
      <c r="D197" s="78"/>
      <c r="E197" s="73"/>
      <c r="F197" s="73">
        <f t="shared" si="52"/>
        <v>1</v>
      </c>
      <c r="G197" s="78"/>
      <c r="H197" s="81"/>
      <c r="I197" s="190">
        <v>31.1</v>
      </c>
      <c r="J197" s="460">
        <v>5</v>
      </c>
      <c r="K197" s="461">
        <v>6.6</v>
      </c>
      <c r="L197" s="461">
        <v>6.6</v>
      </c>
      <c r="M197" s="461">
        <v>6.6</v>
      </c>
      <c r="N197" s="462">
        <v>5</v>
      </c>
      <c r="O197" s="191">
        <v>0</v>
      </c>
      <c r="P197" s="192"/>
      <c r="Q197" s="451">
        <v>0.87644444444444447</v>
      </c>
      <c r="R197" s="452">
        <v>0.75088954500719218</v>
      </c>
      <c r="S197" s="452">
        <v>0.75088954500719218</v>
      </c>
      <c r="T197" s="452">
        <v>0.75088954500719218</v>
      </c>
      <c r="U197" s="453">
        <v>0.94890510948905105</v>
      </c>
      <c r="V197" s="193">
        <v>0</v>
      </c>
      <c r="W197" s="192"/>
      <c r="X197" s="451">
        <v>0.8666666666666667</v>
      </c>
      <c r="Y197" s="452">
        <v>1</v>
      </c>
      <c r="Z197" s="452">
        <v>1</v>
      </c>
      <c r="AA197" s="452">
        <v>1</v>
      </c>
      <c r="AB197" s="453">
        <v>0.84952380952380946</v>
      </c>
      <c r="AC197" s="193">
        <v>0</v>
      </c>
      <c r="AD197" s="81"/>
      <c r="AE197" s="81"/>
      <c r="AF197" s="81"/>
      <c r="AG197" s="81"/>
      <c r="AH197" s="78"/>
      <c r="AI197" s="60"/>
      <c r="AJ197" s="48"/>
      <c r="AK197" s="48"/>
      <c r="AL197" s="48"/>
    </row>
    <row r="198" spans="1:38" outlineLevel="3" x14ac:dyDescent="0.25">
      <c r="A198" s="48"/>
      <c r="B198" s="57"/>
      <c r="C198" s="92">
        <f t="shared" si="51"/>
        <v>4</v>
      </c>
      <c r="D198" s="78"/>
      <c r="E198" s="73"/>
      <c r="F198" s="73">
        <f t="shared" si="52"/>
        <v>1</v>
      </c>
      <c r="G198" s="78"/>
      <c r="H198" s="81"/>
      <c r="I198" s="190">
        <f t="shared" ref="I198" si="53">I197</f>
        <v>31.1</v>
      </c>
      <c r="J198" s="460">
        <v>5</v>
      </c>
      <c r="K198" s="461">
        <v>6</v>
      </c>
      <c r="L198" s="461">
        <v>6</v>
      </c>
      <c r="M198" s="461">
        <v>6</v>
      </c>
      <c r="N198" s="462">
        <v>5</v>
      </c>
      <c r="O198" s="191">
        <v>0</v>
      </c>
      <c r="P198" s="192"/>
      <c r="Q198" s="451">
        <v>0.87644444444444447</v>
      </c>
      <c r="R198" s="452">
        <v>0.75088954500719218</v>
      </c>
      <c r="S198" s="452">
        <v>0.75088954500719218</v>
      </c>
      <c r="T198" s="452">
        <v>0.75088954500719218</v>
      </c>
      <c r="U198" s="453">
        <v>0.94890510948905105</v>
      </c>
      <c r="V198" s="193">
        <v>0</v>
      </c>
      <c r="W198" s="192"/>
      <c r="X198" s="451">
        <v>0.8666666666666667</v>
      </c>
      <c r="Y198" s="452">
        <v>1</v>
      </c>
      <c r="Z198" s="452">
        <v>1</v>
      </c>
      <c r="AA198" s="452">
        <v>1</v>
      </c>
      <c r="AB198" s="453">
        <v>0.84952380952380946</v>
      </c>
      <c r="AC198" s="193">
        <v>0</v>
      </c>
      <c r="AD198" s="81"/>
      <c r="AE198" s="81"/>
      <c r="AF198" s="81"/>
      <c r="AG198" s="81"/>
      <c r="AH198" s="78"/>
      <c r="AI198" s="60"/>
      <c r="AJ198" s="48"/>
      <c r="AK198" s="48"/>
      <c r="AL198" s="48"/>
    </row>
    <row r="199" spans="1:38" outlineLevel="3" x14ac:dyDescent="0.25">
      <c r="A199" s="48"/>
      <c r="B199" s="57"/>
      <c r="C199" s="92">
        <f t="shared" si="51"/>
        <v>4</v>
      </c>
      <c r="D199" s="78"/>
      <c r="E199" s="73"/>
      <c r="F199" s="73">
        <f t="shared" si="52"/>
        <v>1</v>
      </c>
      <c r="G199" s="78"/>
      <c r="H199" s="81"/>
      <c r="I199" s="190">
        <f t="shared" ref="I199" si="54">I198</f>
        <v>31.1</v>
      </c>
      <c r="J199" s="463">
        <v>4.8</v>
      </c>
      <c r="K199" s="464">
        <v>5.8</v>
      </c>
      <c r="L199" s="464">
        <v>5.8</v>
      </c>
      <c r="M199" s="464">
        <v>5.8</v>
      </c>
      <c r="N199" s="465">
        <v>4.8</v>
      </c>
      <c r="O199" s="191">
        <v>0</v>
      </c>
      <c r="P199" s="192"/>
      <c r="Q199" s="454">
        <v>0.87644444444444447</v>
      </c>
      <c r="R199" s="455">
        <v>0.75088954500719218</v>
      </c>
      <c r="S199" s="455">
        <v>0.75088954500719218</v>
      </c>
      <c r="T199" s="455">
        <v>0.75088954500719218</v>
      </c>
      <c r="U199" s="456">
        <v>0.94890510948905105</v>
      </c>
      <c r="V199" s="193">
        <v>0</v>
      </c>
      <c r="W199" s="192"/>
      <c r="X199" s="454">
        <v>0.8666666666666667</v>
      </c>
      <c r="Y199" s="455">
        <v>1</v>
      </c>
      <c r="Z199" s="455">
        <v>1</v>
      </c>
      <c r="AA199" s="455">
        <v>1</v>
      </c>
      <c r="AB199" s="456">
        <v>0.84952380952380946</v>
      </c>
      <c r="AC199" s="193">
        <v>0</v>
      </c>
      <c r="AD199" s="81"/>
      <c r="AE199" s="81"/>
      <c r="AF199" s="81"/>
      <c r="AG199" s="81"/>
      <c r="AH199" s="78"/>
      <c r="AI199" s="60"/>
      <c r="AJ199" s="48"/>
      <c r="AK199" s="48"/>
      <c r="AL199" s="48"/>
    </row>
    <row r="200" spans="1:38" outlineLevel="3" x14ac:dyDescent="0.25">
      <c r="A200" s="48"/>
      <c r="B200" s="57"/>
      <c r="C200" s="92">
        <f t="shared" si="51"/>
        <v>4</v>
      </c>
      <c r="D200" s="78"/>
      <c r="E200" s="73"/>
      <c r="F200" s="73">
        <f t="shared" si="52"/>
        <v>1</v>
      </c>
      <c r="G200" s="78"/>
      <c r="H200" s="81"/>
      <c r="I200" s="101">
        <v>1000</v>
      </c>
      <c r="J200" s="195">
        <v>0</v>
      </c>
      <c r="K200" s="195">
        <v>0</v>
      </c>
      <c r="L200" s="195">
        <v>0</v>
      </c>
      <c r="M200" s="195">
        <v>0</v>
      </c>
      <c r="N200" s="195">
        <v>0</v>
      </c>
      <c r="O200" s="101">
        <v>0</v>
      </c>
      <c r="P200" s="81"/>
      <c r="Q200" s="447">
        <v>0</v>
      </c>
      <c r="R200" s="447">
        <v>0</v>
      </c>
      <c r="S200" s="447">
        <v>0</v>
      </c>
      <c r="T200" s="447">
        <v>0</v>
      </c>
      <c r="U200" s="447">
        <v>0</v>
      </c>
      <c r="V200" s="84">
        <v>0</v>
      </c>
      <c r="W200" s="81"/>
      <c r="X200" s="447">
        <v>0</v>
      </c>
      <c r="Y200" s="447">
        <v>0</v>
      </c>
      <c r="Z200" s="447">
        <v>0</v>
      </c>
      <c r="AA200" s="447">
        <v>0</v>
      </c>
      <c r="AB200" s="447">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0">
        <v>10</v>
      </c>
      <c r="J201" s="457">
        <v>1</v>
      </c>
      <c r="K201" s="458">
        <v>2</v>
      </c>
      <c r="L201" s="458">
        <v>2</v>
      </c>
      <c r="M201" s="458">
        <v>2</v>
      </c>
      <c r="N201" s="459">
        <v>1</v>
      </c>
      <c r="O201" s="191">
        <v>0</v>
      </c>
      <c r="P201" s="192"/>
      <c r="Q201" s="448">
        <v>0.85133333333333328</v>
      </c>
      <c r="R201" s="449">
        <v>0.70809675221439938</v>
      </c>
      <c r="S201" s="449">
        <v>0.70809675221439938</v>
      </c>
      <c r="T201" s="449">
        <v>0.70809675221439938</v>
      </c>
      <c r="U201" s="450">
        <v>0.95133819951338194</v>
      </c>
      <c r="V201" s="193">
        <v>0</v>
      </c>
      <c r="W201" s="192"/>
      <c r="X201" s="448">
        <v>0.88462809917355367</v>
      </c>
      <c r="Y201" s="449">
        <v>1</v>
      </c>
      <c r="Z201" s="449">
        <v>1</v>
      </c>
      <c r="AA201" s="449">
        <v>1</v>
      </c>
      <c r="AB201" s="450">
        <v>0.89564738292011015</v>
      </c>
      <c r="AC201" s="193">
        <v>0</v>
      </c>
      <c r="AD201" s="81"/>
      <c r="AE201" s="81"/>
      <c r="AF201" s="81"/>
      <c r="AG201" s="81"/>
      <c r="AH201" s="78"/>
      <c r="AI201" s="60"/>
      <c r="AJ201" s="48"/>
      <c r="AK201" s="48"/>
      <c r="AL201" s="48"/>
    </row>
    <row r="202" spans="1:38" outlineLevel="3" x14ac:dyDescent="0.25">
      <c r="A202" s="48"/>
      <c r="B202" s="57"/>
      <c r="C202" s="92">
        <f t="shared" ref="C202:C208" si="55">INT($C$154)+3</f>
        <v>4</v>
      </c>
      <c r="D202" s="78"/>
      <c r="E202" s="73"/>
      <c r="F202" s="73">
        <f>F201</f>
        <v>2</v>
      </c>
      <c r="G202" s="78"/>
      <c r="H202" s="194" t="str">
        <f>INDEX($M$162:$M$164,INDEX(i_salep_price_type_s7,$F202+1,1)+1,1)&amp;INDEX($L$162:$L$164,INDEX(ia_s8_s7,$F202+1,1)+1,1)</f>
        <v>$/kg DW, DW - Fat score</v>
      </c>
      <c r="I202" s="190">
        <v>16.100000000000001</v>
      </c>
      <c r="J202" s="460">
        <v>3</v>
      </c>
      <c r="K202" s="461">
        <v>5</v>
      </c>
      <c r="L202" s="461">
        <v>5</v>
      </c>
      <c r="M202" s="461">
        <v>5</v>
      </c>
      <c r="N202" s="462">
        <v>3</v>
      </c>
      <c r="O202" s="191">
        <v>0</v>
      </c>
      <c r="P202" s="192"/>
      <c r="Q202" s="451">
        <v>0.97222222222222232</v>
      </c>
      <c r="R202" s="452">
        <v>0.87857815798992267</v>
      </c>
      <c r="S202" s="452">
        <v>0.87857815798992267</v>
      </c>
      <c r="T202" s="452">
        <v>0.87857815798992267</v>
      </c>
      <c r="U202" s="453">
        <v>1</v>
      </c>
      <c r="V202" s="193">
        <v>0</v>
      </c>
      <c r="W202" s="192"/>
      <c r="X202" s="451">
        <v>0.8040891961755271</v>
      </c>
      <c r="Y202" s="452">
        <v>1</v>
      </c>
      <c r="Z202" s="452">
        <v>1</v>
      </c>
      <c r="AA202" s="452">
        <v>1</v>
      </c>
      <c r="AB202" s="453">
        <v>0.76100470273132148</v>
      </c>
      <c r="AC202" s="193">
        <v>0</v>
      </c>
      <c r="AD202" s="81"/>
      <c r="AE202" s="81"/>
      <c r="AF202" s="81"/>
      <c r="AG202" s="81"/>
      <c r="AH202" s="78"/>
      <c r="AI202" s="60"/>
      <c r="AJ202" s="48"/>
      <c r="AK202" s="48"/>
      <c r="AL202" s="48"/>
    </row>
    <row r="203" spans="1:38" outlineLevel="3" x14ac:dyDescent="0.25">
      <c r="A203" s="48"/>
      <c r="B203" s="57"/>
      <c r="C203" s="92">
        <f t="shared" si="55"/>
        <v>4</v>
      </c>
      <c r="D203" s="78"/>
      <c r="E203" s="73"/>
      <c r="F203" s="73">
        <f t="shared" si="52"/>
        <v>2</v>
      </c>
      <c r="G203" s="78"/>
      <c r="H203" s="102" t="s">
        <v>2769</v>
      </c>
      <c r="I203" s="190">
        <v>18.100000000000001</v>
      </c>
      <c r="J203" s="460">
        <v>4.5</v>
      </c>
      <c r="K203" s="461">
        <v>5.6</v>
      </c>
      <c r="L203" s="461">
        <v>5.6</v>
      </c>
      <c r="M203" s="461">
        <v>5.6</v>
      </c>
      <c r="N203" s="462">
        <v>4.5</v>
      </c>
      <c r="O203" s="191">
        <v>0</v>
      </c>
      <c r="P203" s="192"/>
      <c r="Q203" s="451">
        <v>0.95733333333333326</v>
      </c>
      <c r="R203" s="452">
        <v>1</v>
      </c>
      <c r="S203" s="452">
        <v>1</v>
      </c>
      <c r="T203" s="452">
        <v>1</v>
      </c>
      <c r="U203" s="453">
        <v>0.95133819951338194</v>
      </c>
      <c r="V203" s="193">
        <v>0</v>
      </c>
      <c r="W203" s="192"/>
      <c r="X203" s="451">
        <v>0.69242982478276593</v>
      </c>
      <c r="Y203" s="452">
        <v>1</v>
      </c>
      <c r="Z203" s="452">
        <v>1</v>
      </c>
      <c r="AA203" s="452">
        <v>1</v>
      </c>
      <c r="AB203" s="453">
        <v>0.63046029222499811</v>
      </c>
      <c r="AC203" s="193">
        <v>0</v>
      </c>
      <c r="AD203" s="81"/>
      <c r="AE203" s="81"/>
      <c r="AF203" s="81"/>
      <c r="AG203" s="81"/>
      <c r="AH203" s="78"/>
      <c r="AI203" s="60"/>
      <c r="AJ203" s="48"/>
      <c r="AK203" s="48"/>
      <c r="AL203" s="48"/>
    </row>
    <row r="204" spans="1:38" outlineLevel="3" x14ac:dyDescent="0.25">
      <c r="A204" s="48"/>
      <c r="B204" s="57"/>
      <c r="C204" s="92">
        <f t="shared" si="55"/>
        <v>4</v>
      </c>
      <c r="D204" s="78"/>
      <c r="E204" s="73"/>
      <c r="F204" s="73">
        <f t="shared" si="52"/>
        <v>2</v>
      </c>
      <c r="G204" s="78"/>
      <c r="H204" s="81"/>
      <c r="I204" s="190">
        <v>28.1</v>
      </c>
      <c r="J204" s="460">
        <v>5</v>
      </c>
      <c r="K204" s="461">
        <v>6.4</v>
      </c>
      <c r="L204" s="461">
        <v>6.4</v>
      </c>
      <c r="M204" s="461">
        <v>6.4</v>
      </c>
      <c r="N204" s="462">
        <v>5</v>
      </c>
      <c r="O204" s="191">
        <v>0</v>
      </c>
      <c r="P204" s="192"/>
      <c r="Q204" s="451">
        <v>0.92261111111111116</v>
      </c>
      <c r="R204" s="452">
        <v>0.87592003768474347</v>
      </c>
      <c r="S204" s="452">
        <v>0.87592003768474347</v>
      </c>
      <c r="T204" s="452">
        <v>0.87592003768474347</v>
      </c>
      <c r="U204" s="453">
        <v>0.95133819951338194</v>
      </c>
      <c r="V204" s="193">
        <v>0</v>
      </c>
      <c r="W204" s="192"/>
      <c r="X204" s="451">
        <v>0.76440403426850423</v>
      </c>
      <c r="Y204" s="452">
        <v>1</v>
      </c>
      <c r="Z204" s="452">
        <v>1</v>
      </c>
      <c r="AA204" s="452">
        <v>1</v>
      </c>
      <c r="AB204" s="453">
        <v>0.71534869594928063</v>
      </c>
      <c r="AC204" s="193">
        <v>0</v>
      </c>
      <c r="AD204" s="81"/>
      <c r="AE204" s="81"/>
      <c r="AF204" s="81"/>
      <c r="AG204" s="81"/>
      <c r="AH204" s="78"/>
      <c r="AI204" s="60"/>
      <c r="AJ204" s="48"/>
      <c r="AK204" s="48"/>
      <c r="AL204" s="48"/>
    </row>
    <row r="205" spans="1:38" outlineLevel="3" x14ac:dyDescent="0.25">
      <c r="A205" s="48"/>
      <c r="B205" s="57"/>
      <c r="C205" s="92">
        <f t="shared" si="55"/>
        <v>4</v>
      </c>
      <c r="D205" s="78"/>
      <c r="E205" s="73"/>
      <c r="F205" s="73">
        <f t="shared" si="52"/>
        <v>2</v>
      </c>
      <c r="G205" s="78"/>
      <c r="H205" s="81"/>
      <c r="I205" s="190">
        <v>31.1</v>
      </c>
      <c r="J205" s="460">
        <v>4.5999999999999996</v>
      </c>
      <c r="K205" s="461">
        <v>6.2</v>
      </c>
      <c r="L205" s="461">
        <v>6.2</v>
      </c>
      <c r="M205" s="461">
        <v>6.2</v>
      </c>
      <c r="N205" s="462">
        <v>4.5999999999999996</v>
      </c>
      <c r="O205" s="191">
        <v>0</v>
      </c>
      <c r="P205" s="192"/>
      <c r="Q205" s="451">
        <v>0.87644444444444447</v>
      </c>
      <c r="R205" s="452">
        <v>0.75088954500719218</v>
      </c>
      <c r="S205" s="452">
        <v>0.75088954500719218</v>
      </c>
      <c r="T205" s="452">
        <v>0.75088954500719218</v>
      </c>
      <c r="U205" s="453">
        <v>0.94890510948905105</v>
      </c>
      <c r="V205" s="193">
        <v>0</v>
      </c>
      <c r="W205" s="192"/>
      <c r="X205" s="451">
        <v>0.8666666666666667</v>
      </c>
      <c r="Y205" s="452">
        <v>1</v>
      </c>
      <c r="Z205" s="452">
        <v>1</v>
      </c>
      <c r="AA205" s="452">
        <v>1</v>
      </c>
      <c r="AB205" s="453">
        <v>0.84952380952380946</v>
      </c>
      <c r="AC205" s="193">
        <v>0</v>
      </c>
      <c r="AD205" s="81"/>
      <c r="AE205" s="81"/>
      <c r="AF205" s="81"/>
      <c r="AG205" s="81"/>
      <c r="AH205" s="78"/>
      <c r="AI205" s="60"/>
      <c r="AJ205" s="48"/>
      <c r="AK205" s="48"/>
      <c r="AL205" s="48"/>
    </row>
    <row r="206" spans="1:38" outlineLevel="3" x14ac:dyDescent="0.25">
      <c r="A206" s="48"/>
      <c r="B206" s="57"/>
      <c r="C206" s="92">
        <f t="shared" si="55"/>
        <v>4</v>
      </c>
      <c r="D206" s="78"/>
      <c r="E206" s="73"/>
      <c r="F206" s="73">
        <f t="shared" si="52"/>
        <v>2</v>
      </c>
      <c r="G206" s="78"/>
      <c r="H206" s="81"/>
      <c r="I206" s="190">
        <f t="shared" ref="I206" si="56">I205</f>
        <v>31.1</v>
      </c>
      <c r="J206" s="460">
        <v>4</v>
      </c>
      <c r="K206" s="461">
        <v>5.8</v>
      </c>
      <c r="L206" s="461">
        <v>5.8</v>
      </c>
      <c r="M206" s="461">
        <v>5.8</v>
      </c>
      <c r="N206" s="462">
        <v>4</v>
      </c>
      <c r="O206" s="191">
        <v>0</v>
      </c>
      <c r="P206" s="192"/>
      <c r="Q206" s="451">
        <v>0.87644444444444447</v>
      </c>
      <c r="R206" s="452">
        <v>0.75088954500719218</v>
      </c>
      <c r="S206" s="452">
        <v>0.75088954500719218</v>
      </c>
      <c r="T206" s="452">
        <v>0.75088954500719218</v>
      </c>
      <c r="U206" s="453">
        <v>0.94890510948905105</v>
      </c>
      <c r="V206" s="193">
        <v>0</v>
      </c>
      <c r="W206" s="192"/>
      <c r="X206" s="451">
        <v>0.8666666666666667</v>
      </c>
      <c r="Y206" s="452">
        <v>1</v>
      </c>
      <c r="Z206" s="452">
        <v>1</v>
      </c>
      <c r="AA206" s="452">
        <v>1</v>
      </c>
      <c r="AB206" s="453">
        <v>0.84952380952380946</v>
      </c>
      <c r="AC206" s="193">
        <v>0</v>
      </c>
      <c r="AD206" s="81"/>
      <c r="AE206" s="81"/>
      <c r="AF206" s="81"/>
      <c r="AG206" s="81"/>
      <c r="AH206" s="78"/>
      <c r="AI206" s="60"/>
      <c r="AJ206" s="48"/>
      <c r="AK206" s="48"/>
      <c r="AL206" s="48"/>
    </row>
    <row r="207" spans="1:38" outlineLevel="3" x14ac:dyDescent="0.25">
      <c r="A207" s="48"/>
      <c r="B207" s="57"/>
      <c r="C207" s="92">
        <f t="shared" si="55"/>
        <v>4</v>
      </c>
      <c r="D207" s="78"/>
      <c r="E207" s="73"/>
      <c r="F207" s="73">
        <f t="shared" si="52"/>
        <v>2</v>
      </c>
      <c r="G207" s="78"/>
      <c r="H207" s="81"/>
      <c r="I207" s="190">
        <f t="shared" ref="I207" si="57">I206</f>
        <v>31.1</v>
      </c>
      <c r="J207" s="463">
        <v>4</v>
      </c>
      <c r="K207" s="464">
        <v>5.4</v>
      </c>
      <c r="L207" s="464">
        <v>5.4</v>
      </c>
      <c r="M207" s="464">
        <v>5.4</v>
      </c>
      <c r="N207" s="465">
        <v>4</v>
      </c>
      <c r="O207" s="191">
        <v>0</v>
      </c>
      <c r="P207" s="192"/>
      <c r="Q207" s="454">
        <v>0.87644444444444447</v>
      </c>
      <c r="R207" s="455">
        <v>0.75088954500719218</v>
      </c>
      <c r="S207" s="455">
        <v>0.75088954500719218</v>
      </c>
      <c r="T207" s="455">
        <v>0.75088954500719218</v>
      </c>
      <c r="U207" s="456">
        <v>0.94890510948905105</v>
      </c>
      <c r="V207" s="193">
        <v>0</v>
      </c>
      <c r="W207" s="192"/>
      <c r="X207" s="454">
        <v>0.8666666666666667</v>
      </c>
      <c r="Y207" s="455">
        <v>1</v>
      </c>
      <c r="Z207" s="455">
        <v>1</v>
      </c>
      <c r="AA207" s="455">
        <v>1</v>
      </c>
      <c r="AB207" s="456">
        <v>0.84952380952380946</v>
      </c>
      <c r="AC207" s="193">
        <v>0</v>
      </c>
      <c r="AD207" s="81"/>
      <c r="AE207" s="81"/>
      <c r="AF207" s="81"/>
      <c r="AG207" s="81"/>
      <c r="AH207" s="78"/>
      <c r="AI207" s="60"/>
      <c r="AJ207" s="48"/>
      <c r="AK207" s="48"/>
      <c r="AL207" s="48"/>
    </row>
    <row r="208" spans="1:38" outlineLevel="3" x14ac:dyDescent="0.25">
      <c r="A208" s="48"/>
      <c r="B208" s="57"/>
      <c r="C208" s="92">
        <f t="shared" si="55"/>
        <v>4</v>
      </c>
      <c r="D208" s="78"/>
      <c r="E208" s="73"/>
      <c r="F208" s="73">
        <f t="shared" si="52"/>
        <v>2</v>
      </c>
      <c r="G208" s="78"/>
      <c r="H208" s="81"/>
      <c r="I208" s="101">
        <v>1000</v>
      </c>
      <c r="J208" s="195">
        <v>0</v>
      </c>
      <c r="K208" s="195">
        <v>0</v>
      </c>
      <c r="L208" s="195">
        <v>0</v>
      </c>
      <c r="M208" s="195">
        <v>0</v>
      </c>
      <c r="N208" s="195">
        <v>0</v>
      </c>
      <c r="O208" s="101">
        <v>0</v>
      </c>
      <c r="P208" s="81"/>
      <c r="Q208" s="447">
        <v>0</v>
      </c>
      <c r="R208" s="447">
        <v>0</v>
      </c>
      <c r="S208" s="447">
        <v>0</v>
      </c>
      <c r="T208" s="447">
        <v>0</v>
      </c>
      <c r="U208" s="447">
        <v>0</v>
      </c>
      <c r="V208" s="84">
        <v>0</v>
      </c>
      <c r="W208" s="81"/>
      <c r="X208" s="447">
        <v>0</v>
      </c>
      <c r="Y208" s="447">
        <v>0</v>
      </c>
      <c r="Z208" s="447">
        <v>0</v>
      </c>
      <c r="AA208" s="447">
        <v>0</v>
      </c>
      <c r="AB208" s="447">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0">
        <f t="shared" ref="I209:N215" si="58">I233</f>
        <v>10.1</v>
      </c>
      <c r="J209" s="457">
        <f t="shared" si="58"/>
        <v>3</v>
      </c>
      <c r="K209" s="458">
        <f t="shared" si="58"/>
        <v>3</v>
      </c>
      <c r="L209" s="458">
        <f t="shared" si="58"/>
        <v>3</v>
      </c>
      <c r="M209" s="458">
        <f t="shared" si="58"/>
        <v>3</v>
      </c>
      <c r="N209" s="459">
        <f t="shared" si="58"/>
        <v>2</v>
      </c>
      <c r="O209" s="191">
        <v>0</v>
      </c>
      <c r="P209" s="192"/>
      <c r="Q209" s="448">
        <v>0.58834840541455213</v>
      </c>
      <c r="R209" s="449">
        <v>0.57692307692307687</v>
      </c>
      <c r="S209" s="449">
        <v>0.57692307692307687</v>
      </c>
      <c r="T209" s="449">
        <v>0.57692307692307687</v>
      </c>
      <c r="U209" s="450">
        <v>0.53708615552957462</v>
      </c>
      <c r="V209" s="193">
        <v>0</v>
      </c>
      <c r="W209" s="192"/>
      <c r="X209" s="448">
        <v>0.98058067569092011</v>
      </c>
      <c r="Y209" s="449">
        <v>1</v>
      </c>
      <c r="Z209" s="449">
        <v>1</v>
      </c>
      <c r="AA209" s="449">
        <v>1</v>
      </c>
      <c r="AB209" s="450">
        <v>0.71611487403943286</v>
      </c>
      <c r="AC209" s="193">
        <v>0</v>
      </c>
      <c r="AD209" s="81"/>
      <c r="AE209" s="81"/>
      <c r="AF209" s="81"/>
      <c r="AG209" s="81"/>
      <c r="AH209" s="78"/>
      <c r="AI209" s="60"/>
      <c r="AJ209" s="48"/>
      <c r="AK209" s="48"/>
      <c r="AL209" s="48"/>
    </row>
    <row r="210" spans="1:38" outlineLevel="3" x14ac:dyDescent="0.25">
      <c r="A210" s="48"/>
      <c r="B210" s="57"/>
      <c r="C210" s="92">
        <f t="shared" ref="C210:C216" si="59">INT($C$154)+3</f>
        <v>4</v>
      </c>
      <c r="D210" s="78"/>
      <c r="E210" s="73"/>
      <c r="F210" s="73">
        <f>F209</f>
        <v>3</v>
      </c>
      <c r="G210" s="78"/>
      <c r="H210" s="194" t="str">
        <f>INDEX($M$162:$M$164,INDEX(i_salep_price_type_s7,$F210+1,1)+1,1)&amp;INDEX($L$162:$L$164,INDEX(ia_s8_s7,$F210+1,1)+1,1)</f>
        <v>$/kg DW, DW - Fat score</v>
      </c>
      <c r="I210" s="190">
        <f t="shared" si="58"/>
        <v>14.1</v>
      </c>
      <c r="J210" s="460">
        <f t="shared" si="58"/>
        <v>4.4000000000000004</v>
      </c>
      <c r="K210" s="461">
        <f t="shared" si="58"/>
        <v>4.4000000000000004</v>
      </c>
      <c r="L210" s="461">
        <f t="shared" si="58"/>
        <v>4.4000000000000004</v>
      </c>
      <c r="M210" s="461">
        <f t="shared" si="58"/>
        <v>4.4000000000000004</v>
      </c>
      <c r="N210" s="462">
        <f t="shared" si="58"/>
        <v>2</v>
      </c>
      <c r="O210" s="191">
        <v>0</v>
      </c>
      <c r="P210" s="192"/>
      <c r="Q210" s="451">
        <v>0.8629109946080098</v>
      </c>
      <c r="R210" s="452">
        <v>0.84615384615384615</v>
      </c>
      <c r="S210" s="452">
        <v>0.84615384615384615</v>
      </c>
      <c r="T210" s="452">
        <v>0.84615384615384615</v>
      </c>
      <c r="U210" s="453">
        <v>0.6504436355879909</v>
      </c>
      <c r="V210" s="193">
        <v>0</v>
      </c>
      <c r="W210" s="192"/>
      <c r="X210" s="451">
        <v>0.98058067569092011</v>
      </c>
      <c r="Y210" s="452">
        <v>1</v>
      </c>
      <c r="Z210" s="452">
        <v>1</v>
      </c>
      <c r="AA210" s="452">
        <v>1</v>
      </c>
      <c r="AB210" s="453">
        <v>0.59131239598908258</v>
      </c>
      <c r="AC210" s="193">
        <v>0</v>
      </c>
      <c r="AD210" s="81"/>
      <c r="AE210" s="81"/>
      <c r="AF210" s="81"/>
      <c r="AG210" s="81"/>
      <c r="AH210" s="78"/>
      <c r="AI210" s="60"/>
      <c r="AJ210" s="48"/>
      <c r="AK210" s="48"/>
      <c r="AL210" s="48"/>
    </row>
    <row r="211" spans="1:38" outlineLevel="3" x14ac:dyDescent="0.25">
      <c r="A211" s="48"/>
      <c r="B211" s="57"/>
      <c r="C211" s="92">
        <f t="shared" si="59"/>
        <v>4</v>
      </c>
      <c r="D211" s="78"/>
      <c r="E211" s="73"/>
      <c r="F211" s="73">
        <f t="shared" si="52"/>
        <v>3</v>
      </c>
      <c r="G211" s="78"/>
      <c r="H211" s="197" t="s">
        <v>314</v>
      </c>
      <c r="I211" s="190">
        <f t="shared" si="58"/>
        <v>18.100000000000001</v>
      </c>
      <c r="J211" s="460">
        <f t="shared" si="58"/>
        <v>5</v>
      </c>
      <c r="K211" s="461">
        <f t="shared" si="58"/>
        <v>5.2</v>
      </c>
      <c r="L211" s="461">
        <f t="shared" si="58"/>
        <v>5.2</v>
      </c>
      <c r="M211" s="461">
        <f t="shared" si="58"/>
        <v>5.2</v>
      </c>
      <c r="N211" s="462">
        <f t="shared" si="58"/>
        <v>4</v>
      </c>
      <c r="O211" s="191">
        <v>0</v>
      </c>
      <c r="P211" s="192"/>
      <c r="Q211" s="451">
        <v>1</v>
      </c>
      <c r="R211" s="452">
        <v>1</v>
      </c>
      <c r="S211" s="452">
        <v>1</v>
      </c>
      <c r="T211" s="452">
        <v>1</v>
      </c>
      <c r="U211" s="453">
        <v>1</v>
      </c>
      <c r="V211" s="193">
        <v>0</v>
      </c>
      <c r="W211" s="192"/>
      <c r="X211" s="451">
        <v>0.96153846153846145</v>
      </c>
      <c r="Y211" s="452">
        <v>1</v>
      </c>
      <c r="Z211" s="452">
        <v>1</v>
      </c>
      <c r="AA211" s="452">
        <v>1</v>
      </c>
      <c r="AB211" s="453">
        <v>0.76923076923076916</v>
      </c>
      <c r="AC211" s="193">
        <v>0</v>
      </c>
      <c r="AD211" s="81"/>
      <c r="AE211" s="81"/>
      <c r="AF211" s="81"/>
      <c r="AG211" s="81"/>
      <c r="AH211" s="78"/>
      <c r="AI211" s="60"/>
      <c r="AJ211" s="48"/>
      <c r="AK211" s="48"/>
      <c r="AL211" s="48"/>
    </row>
    <row r="212" spans="1:38" outlineLevel="3" x14ac:dyDescent="0.25">
      <c r="A212" s="48"/>
      <c r="B212" s="57"/>
      <c r="C212" s="92">
        <f t="shared" si="59"/>
        <v>4</v>
      </c>
      <c r="D212" s="78"/>
      <c r="E212" s="73"/>
      <c r="F212" s="73">
        <f t="shared" si="52"/>
        <v>3</v>
      </c>
      <c r="G212" s="78"/>
      <c r="H212" s="81"/>
      <c r="I212" s="190">
        <f t="shared" si="58"/>
        <v>35.1</v>
      </c>
      <c r="J212" s="460">
        <f t="shared" si="58"/>
        <v>4.5</v>
      </c>
      <c r="K212" s="461">
        <f t="shared" si="58"/>
        <v>4.9000000000000004</v>
      </c>
      <c r="L212" s="461">
        <f t="shared" si="58"/>
        <v>4.9000000000000004</v>
      </c>
      <c r="M212" s="461">
        <f t="shared" si="58"/>
        <v>4.9000000000000004</v>
      </c>
      <c r="N212" s="462">
        <f t="shared" si="58"/>
        <v>4</v>
      </c>
      <c r="O212" s="191">
        <v>0</v>
      </c>
      <c r="P212" s="192"/>
      <c r="Q212" s="451">
        <v>0.92091092027238064</v>
      </c>
      <c r="R212" s="452">
        <v>0.9423076923076924</v>
      </c>
      <c r="S212" s="452">
        <v>0.9423076923076924</v>
      </c>
      <c r="T212" s="452">
        <v>0.9423076923076924</v>
      </c>
      <c r="U212" s="453">
        <v>0.97072534339415095</v>
      </c>
      <c r="V212" s="193">
        <v>0</v>
      </c>
      <c r="W212" s="192"/>
      <c r="X212" s="451">
        <v>0.93970502068610262</v>
      </c>
      <c r="Y212" s="452">
        <v>1</v>
      </c>
      <c r="Z212" s="452">
        <v>1</v>
      </c>
      <c r="AA212" s="452">
        <v>1</v>
      </c>
      <c r="AB212" s="453">
        <v>0.79242885175032729</v>
      </c>
      <c r="AC212" s="193">
        <v>0</v>
      </c>
      <c r="AD212" s="81"/>
      <c r="AE212" s="81"/>
      <c r="AF212" s="81"/>
      <c r="AG212" s="81"/>
      <c r="AH212" s="78"/>
      <c r="AI212" s="60"/>
      <c r="AJ212" s="48"/>
      <c r="AK212" s="48"/>
      <c r="AL212" s="48"/>
    </row>
    <row r="213" spans="1:38" outlineLevel="3" x14ac:dyDescent="0.25">
      <c r="A213" s="48"/>
      <c r="B213" s="57"/>
      <c r="C213" s="92">
        <f t="shared" si="59"/>
        <v>4</v>
      </c>
      <c r="D213" s="78"/>
      <c r="E213" s="73"/>
      <c r="F213" s="73">
        <f t="shared" si="52"/>
        <v>3</v>
      </c>
      <c r="G213" s="78"/>
      <c r="H213" s="81"/>
      <c r="I213" s="190">
        <f t="shared" si="58"/>
        <v>40.1</v>
      </c>
      <c r="J213" s="460">
        <f t="shared" si="58"/>
        <v>4.4000000000000004</v>
      </c>
      <c r="K213" s="461">
        <f t="shared" si="58"/>
        <v>4.5999999999999996</v>
      </c>
      <c r="L213" s="461">
        <f t="shared" si="58"/>
        <v>4.5999999999999996</v>
      </c>
      <c r="M213" s="461">
        <f t="shared" si="58"/>
        <v>4.5999999999999996</v>
      </c>
      <c r="N213" s="462">
        <f t="shared" si="58"/>
        <v>4</v>
      </c>
      <c r="O213" s="191">
        <v>0</v>
      </c>
      <c r="P213" s="192"/>
      <c r="Q213" s="451">
        <v>0.88230467439628724</v>
      </c>
      <c r="R213" s="452">
        <v>0.88461538461538447</v>
      </c>
      <c r="S213" s="452">
        <v>0.88461538461538447</v>
      </c>
      <c r="T213" s="452">
        <v>0.88461538461538447</v>
      </c>
      <c r="U213" s="453">
        <v>0.94053994312596023</v>
      </c>
      <c r="V213" s="193">
        <v>0</v>
      </c>
      <c r="W213" s="192"/>
      <c r="X213" s="451">
        <v>0.9590268199959644</v>
      </c>
      <c r="Y213" s="452">
        <v>1</v>
      </c>
      <c r="Z213" s="452">
        <v>1</v>
      </c>
      <c r="AA213" s="452">
        <v>1</v>
      </c>
      <c r="AB213" s="453">
        <v>0.81786082010953065</v>
      </c>
      <c r="AC213" s="193">
        <v>0</v>
      </c>
      <c r="AD213" s="81"/>
      <c r="AE213" s="81"/>
      <c r="AF213" s="81"/>
      <c r="AG213" s="81"/>
      <c r="AH213" s="78"/>
      <c r="AI213" s="60"/>
      <c r="AJ213" s="48"/>
      <c r="AK213" s="48"/>
      <c r="AL213" s="48"/>
    </row>
    <row r="214" spans="1:38" outlineLevel="3" x14ac:dyDescent="0.25">
      <c r="A214" s="48"/>
      <c r="B214" s="57"/>
      <c r="C214" s="92">
        <f t="shared" si="59"/>
        <v>4</v>
      </c>
      <c r="D214" s="78"/>
      <c r="E214" s="73"/>
      <c r="F214" s="73">
        <f t="shared" si="52"/>
        <v>3</v>
      </c>
      <c r="G214" s="78"/>
      <c r="H214" s="81"/>
      <c r="I214" s="190">
        <f t="shared" si="58"/>
        <v>45.1</v>
      </c>
      <c r="J214" s="460">
        <f t="shared" si="58"/>
        <v>4</v>
      </c>
      <c r="K214" s="461">
        <f t="shared" si="58"/>
        <v>4</v>
      </c>
      <c r="L214" s="461">
        <f t="shared" si="58"/>
        <v>4</v>
      </c>
      <c r="M214" s="461">
        <f t="shared" si="58"/>
        <v>4</v>
      </c>
      <c r="N214" s="462">
        <f t="shared" si="58"/>
        <v>4</v>
      </c>
      <c r="O214" s="191">
        <v>0</v>
      </c>
      <c r="P214" s="192"/>
      <c r="Q214" s="451">
        <v>0.78446454055273618</v>
      </c>
      <c r="R214" s="452">
        <v>0.76923076923076916</v>
      </c>
      <c r="S214" s="452">
        <v>0.76923076923076916</v>
      </c>
      <c r="T214" s="452">
        <v>0.76923076923076916</v>
      </c>
      <c r="U214" s="453">
        <v>0.8770580193070292</v>
      </c>
      <c r="V214" s="193">
        <v>0</v>
      </c>
      <c r="W214" s="192"/>
      <c r="X214" s="451">
        <v>0.98058067569092011</v>
      </c>
      <c r="Y214" s="452">
        <v>1</v>
      </c>
      <c r="Z214" s="452">
        <v>1</v>
      </c>
      <c r="AA214" s="452">
        <v>1</v>
      </c>
      <c r="AB214" s="453">
        <v>0.8770580193070292</v>
      </c>
      <c r="AC214" s="193">
        <v>0</v>
      </c>
      <c r="AD214" s="81"/>
      <c r="AE214" s="81"/>
      <c r="AF214" s="81"/>
      <c r="AG214" s="81"/>
      <c r="AH214" s="78"/>
      <c r="AI214" s="60"/>
      <c r="AJ214" s="48"/>
      <c r="AK214" s="48"/>
      <c r="AL214" s="48"/>
    </row>
    <row r="215" spans="1:38" outlineLevel="3" x14ac:dyDescent="0.25">
      <c r="A215" s="48"/>
      <c r="B215" s="57"/>
      <c r="C215" s="92">
        <f t="shared" si="59"/>
        <v>4</v>
      </c>
      <c r="D215" s="78"/>
      <c r="E215" s="73"/>
      <c r="F215" s="73">
        <f t="shared" si="52"/>
        <v>3</v>
      </c>
      <c r="G215" s="78"/>
      <c r="H215" s="81"/>
      <c r="I215" s="190">
        <f t="shared" si="58"/>
        <v>45.1</v>
      </c>
      <c r="J215" s="463">
        <f t="shared" si="58"/>
        <v>4</v>
      </c>
      <c r="K215" s="464">
        <f t="shared" si="58"/>
        <v>4</v>
      </c>
      <c r="L215" s="464">
        <f t="shared" si="58"/>
        <v>4</v>
      </c>
      <c r="M215" s="464">
        <f t="shared" si="58"/>
        <v>4</v>
      </c>
      <c r="N215" s="465">
        <f t="shared" si="58"/>
        <v>4</v>
      </c>
      <c r="O215" s="191">
        <v>0</v>
      </c>
      <c r="P215" s="192"/>
      <c r="Q215" s="454">
        <v>0.78446454055273618</v>
      </c>
      <c r="R215" s="455">
        <v>0.76923076923076916</v>
      </c>
      <c r="S215" s="455">
        <v>0.76923076923076916</v>
      </c>
      <c r="T215" s="455">
        <v>0.76923076923076916</v>
      </c>
      <c r="U215" s="456">
        <v>0.8770580193070292</v>
      </c>
      <c r="V215" s="193">
        <v>0</v>
      </c>
      <c r="W215" s="192"/>
      <c r="X215" s="454">
        <v>0.98058067569092011</v>
      </c>
      <c r="Y215" s="455">
        <v>1</v>
      </c>
      <c r="Z215" s="455">
        <v>1</v>
      </c>
      <c r="AA215" s="455">
        <v>1</v>
      </c>
      <c r="AB215" s="456">
        <v>0.8770580193070292</v>
      </c>
      <c r="AC215" s="193">
        <v>0</v>
      </c>
      <c r="AD215" s="81"/>
      <c r="AE215" s="81"/>
      <c r="AF215" s="81"/>
      <c r="AG215" s="81"/>
      <c r="AH215" s="78"/>
      <c r="AI215" s="60"/>
      <c r="AJ215" s="48"/>
      <c r="AK215" s="48"/>
      <c r="AL215" s="48"/>
    </row>
    <row r="216" spans="1:38" outlineLevel="3" x14ac:dyDescent="0.25">
      <c r="A216" s="48"/>
      <c r="B216" s="57"/>
      <c r="C216" s="92">
        <f t="shared" si="59"/>
        <v>4</v>
      </c>
      <c r="D216" s="78"/>
      <c r="E216" s="73"/>
      <c r="F216" s="73">
        <f t="shared" si="52"/>
        <v>3</v>
      </c>
      <c r="G216" s="78"/>
      <c r="H216" s="81"/>
      <c r="I216" s="101">
        <v>1000</v>
      </c>
      <c r="J216" s="195">
        <v>0</v>
      </c>
      <c r="K216" s="195">
        <v>0</v>
      </c>
      <c r="L216" s="195">
        <v>0</v>
      </c>
      <c r="M216" s="195">
        <v>0</v>
      </c>
      <c r="N216" s="195">
        <v>0</v>
      </c>
      <c r="O216" s="101">
        <v>0</v>
      </c>
      <c r="P216" s="81"/>
      <c r="Q216" s="447">
        <v>0</v>
      </c>
      <c r="R216" s="447">
        <v>0</v>
      </c>
      <c r="S216" s="447">
        <v>0</v>
      </c>
      <c r="T216" s="447">
        <v>0</v>
      </c>
      <c r="U216" s="447">
        <v>0</v>
      </c>
      <c r="V216" s="84">
        <v>0</v>
      </c>
      <c r="W216" s="81"/>
      <c r="X216" s="447">
        <v>0</v>
      </c>
      <c r="Y216" s="447">
        <v>0</v>
      </c>
      <c r="Z216" s="447">
        <v>0</v>
      </c>
      <c r="AA216" s="447">
        <v>0</v>
      </c>
      <c r="AB216" s="447">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0">
        <v>25</v>
      </c>
      <c r="J217" s="472">
        <v>26.194567913996277</v>
      </c>
      <c r="K217" s="473">
        <v>26.194567913996277</v>
      </c>
      <c r="L217" s="473">
        <v>26.194567913996277</v>
      </c>
      <c r="M217" s="473">
        <v>26.194567913996277</v>
      </c>
      <c r="N217" s="480">
        <v>17.463045275997519</v>
      </c>
      <c r="O217" s="191">
        <v>0</v>
      </c>
      <c r="P217" s="192"/>
      <c r="Q217" s="448">
        <v>0.233606542047718</v>
      </c>
      <c r="R217" s="449">
        <v>0.22907006084697065</v>
      </c>
      <c r="S217" s="449">
        <v>0.22907006084697065</v>
      </c>
      <c r="T217" s="449">
        <v>0.21828806594996897</v>
      </c>
      <c r="U217" s="450">
        <v>0.17823145950547564</v>
      </c>
      <c r="V217" s="193">
        <v>0</v>
      </c>
      <c r="W217" s="192"/>
      <c r="X217" s="448">
        <v>0.93442616819087199</v>
      </c>
      <c r="Y217" s="449">
        <v>0.95293145312339811</v>
      </c>
      <c r="Z217" s="449">
        <v>0.95293145312339811</v>
      </c>
      <c r="AA217" s="449">
        <v>1</v>
      </c>
      <c r="AB217" s="450">
        <v>0.81649658092772603</v>
      </c>
      <c r="AC217" s="193">
        <v>0</v>
      </c>
      <c r="AD217" s="81"/>
      <c r="AE217" s="81"/>
      <c r="AF217" s="81"/>
      <c r="AG217" s="81"/>
      <c r="AH217" s="78"/>
      <c r="AI217" s="60"/>
      <c r="AJ217" s="48"/>
      <c r="AK217" s="48"/>
      <c r="AL217" s="48"/>
    </row>
    <row r="218" spans="1:38" outlineLevel="3" x14ac:dyDescent="0.25">
      <c r="A218" s="48"/>
      <c r="B218" s="57"/>
      <c r="C218" s="92">
        <f t="shared" ref="C218:C224" si="60">INT($C$154)+3</f>
        <v>4</v>
      </c>
      <c r="D218" s="78"/>
      <c r="E218" s="73"/>
      <c r="F218" s="73">
        <f>F217</f>
        <v>4</v>
      </c>
      <c r="G218" s="78"/>
      <c r="H218" s="194" t="str">
        <f>INDEX($M$162:$M$164,INDEX(i_salep_price_type_s7,$F218+1,1)+1,1)&amp;INDEX($L$162:$L$164,INDEX(ia_s8_s7,$F218+1,1)+1,1)</f>
        <v>$/hd, LW - Condition score</v>
      </c>
      <c r="I218" s="190">
        <v>35</v>
      </c>
      <c r="J218" s="474">
        <v>53.786179450072368</v>
      </c>
      <c r="K218" s="475">
        <v>53.786179450072368</v>
      </c>
      <c r="L218" s="475">
        <v>53.786179450072368</v>
      </c>
      <c r="M218" s="461">
        <v>84</v>
      </c>
      <c r="N218" s="462">
        <v>84</v>
      </c>
      <c r="O218" s="191">
        <v>0</v>
      </c>
      <c r="P218" s="192"/>
      <c r="Q218" s="451">
        <v>0.59944418700437274</v>
      </c>
      <c r="R218" s="452">
        <v>0.58780338593174208</v>
      </c>
      <c r="S218" s="452">
        <v>0.58780338593174208</v>
      </c>
      <c r="T218" s="452">
        <v>0.7</v>
      </c>
      <c r="U218" s="453">
        <v>0.7</v>
      </c>
      <c r="V218" s="193">
        <v>0</v>
      </c>
      <c r="W218" s="192"/>
      <c r="X218" s="451">
        <v>0.74772292700649168</v>
      </c>
      <c r="Y218" s="452">
        <v>0.7625307591133631</v>
      </c>
      <c r="Z218" s="452">
        <v>0.7625307591133631</v>
      </c>
      <c r="AA218" s="452">
        <v>1</v>
      </c>
      <c r="AB218" s="453">
        <v>1</v>
      </c>
      <c r="AC218" s="193">
        <v>0</v>
      </c>
      <c r="AD218" s="81"/>
      <c r="AE218" s="81"/>
      <c r="AF218" s="81"/>
      <c r="AG218" s="81"/>
      <c r="AH218" s="78"/>
      <c r="AI218" s="60"/>
      <c r="AJ218" s="48"/>
      <c r="AK218" s="48"/>
      <c r="AL218" s="48"/>
    </row>
    <row r="219" spans="1:38" outlineLevel="3" x14ac:dyDescent="0.25">
      <c r="A219" s="48"/>
      <c r="B219" s="57"/>
      <c r="C219" s="92">
        <f t="shared" si="60"/>
        <v>4</v>
      </c>
      <c r="D219" s="78"/>
      <c r="E219" s="73"/>
      <c r="F219" s="73">
        <f t="shared" si="52"/>
        <v>4</v>
      </c>
      <c r="G219" s="78"/>
      <c r="H219" s="102" t="s">
        <v>315</v>
      </c>
      <c r="I219" s="190">
        <v>40</v>
      </c>
      <c r="J219" s="476">
        <v>69.852181103990077</v>
      </c>
      <c r="K219" s="477">
        <v>72.64626834814969</v>
      </c>
      <c r="L219" s="477">
        <v>72.64626834814969</v>
      </c>
      <c r="M219" s="461">
        <v>92</v>
      </c>
      <c r="N219" s="462">
        <v>92</v>
      </c>
      <c r="O219" s="191">
        <v>0</v>
      </c>
      <c r="P219" s="192"/>
      <c r="Q219" s="451">
        <v>0.7149203529842405</v>
      </c>
      <c r="R219" s="452">
        <v>0.71492035298424061</v>
      </c>
      <c r="S219" s="452">
        <v>0.71492035298424061</v>
      </c>
      <c r="T219" s="452">
        <v>0.76666666666666661</v>
      </c>
      <c r="U219" s="453">
        <v>0.76666666666666661</v>
      </c>
      <c r="V219" s="193">
        <v>0</v>
      </c>
      <c r="W219" s="192"/>
      <c r="X219" s="451">
        <v>0.81421868431929911</v>
      </c>
      <c r="Y219" s="452">
        <v>0.84678743169207127</v>
      </c>
      <c r="Z219" s="452">
        <v>0.84678743169207127</v>
      </c>
      <c r="AA219" s="452">
        <v>1</v>
      </c>
      <c r="AB219" s="453">
        <v>1</v>
      </c>
      <c r="AC219" s="193">
        <v>0</v>
      </c>
      <c r="AD219" s="81"/>
      <c r="AE219" s="81"/>
      <c r="AF219" s="81"/>
      <c r="AG219" s="81"/>
      <c r="AH219" s="78"/>
      <c r="AI219" s="60"/>
      <c r="AJ219" s="48"/>
      <c r="AK219" s="48"/>
      <c r="AL219" s="48"/>
    </row>
    <row r="220" spans="1:38" outlineLevel="3" x14ac:dyDescent="0.25">
      <c r="A220" s="48"/>
      <c r="B220" s="57"/>
      <c r="C220" s="92">
        <f t="shared" si="60"/>
        <v>4</v>
      </c>
      <c r="D220" s="78"/>
      <c r="E220" s="73"/>
      <c r="F220" s="73">
        <f t="shared" si="52"/>
        <v>4</v>
      </c>
      <c r="G220" s="78"/>
      <c r="H220" s="102" t="s">
        <v>2770</v>
      </c>
      <c r="I220" s="190">
        <v>45</v>
      </c>
      <c r="J220" s="476">
        <v>78.583703741988842</v>
      </c>
      <c r="K220" s="477">
        <v>81.727051891668395</v>
      </c>
      <c r="L220" s="477">
        <v>81.727051891668395</v>
      </c>
      <c r="M220" s="461">
        <v>99.000000000000014</v>
      </c>
      <c r="N220" s="462">
        <v>99.000000000000014</v>
      </c>
      <c r="O220" s="191">
        <v>0</v>
      </c>
      <c r="P220" s="192"/>
      <c r="Q220" s="451">
        <v>0.78660663612761372</v>
      </c>
      <c r="R220" s="452">
        <v>0.78660663612761372</v>
      </c>
      <c r="S220" s="452">
        <v>0.78660663612761372</v>
      </c>
      <c r="T220" s="452">
        <v>0.82500000000000018</v>
      </c>
      <c r="U220" s="453">
        <v>0.82500000000000018</v>
      </c>
      <c r="V220" s="193">
        <v>0</v>
      </c>
      <c r="W220" s="192"/>
      <c r="X220" s="451">
        <v>0.83251801824828009</v>
      </c>
      <c r="Y220" s="452">
        <v>0.86581873897821138</v>
      </c>
      <c r="Z220" s="452">
        <v>0.86581873897821138</v>
      </c>
      <c r="AA220" s="452">
        <v>1</v>
      </c>
      <c r="AB220" s="453">
        <v>1</v>
      </c>
      <c r="AC220" s="193">
        <v>0</v>
      </c>
      <c r="AD220" s="81"/>
      <c r="AE220" s="81"/>
      <c r="AF220" s="81"/>
      <c r="AG220" s="81"/>
      <c r="AH220" s="78"/>
      <c r="AI220" s="60"/>
      <c r="AJ220" s="48"/>
      <c r="AK220" s="48"/>
      <c r="AL220" s="48"/>
    </row>
    <row r="221" spans="1:38" outlineLevel="3" x14ac:dyDescent="0.25">
      <c r="A221" s="48"/>
      <c r="B221" s="57"/>
      <c r="C221" s="92">
        <f t="shared" si="60"/>
        <v>4</v>
      </c>
      <c r="D221" s="78"/>
      <c r="E221" s="73"/>
      <c r="F221" s="73">
        <f t="shared" si="52"/>
        <v>4</v>
      </c>
      <c r="G221" s="78"/>
      <c r="H221" s="81"/>
      <c r="I221" s="190">
        <v>50</v>
      </c>
      <c r="J221" s="476">
        <v>87.315226379987593</v>
      </c>
      <c r="K221" s="477">
        <v>90.807835435187116</v>
      </c>
      <c r="L221" s="477">
        <v>90.807835435187116</v>
      </c>
      <c r="M221" s="461">
        <v>105</v>
      </c>
      <c r="N221" s="462">
        <v>105</v>
      </c>
      <c r="O221" s="191">
        <v>0</v>
      </c>
      <c r="P221" s="192"/>
      <c r="Q221" s="451">
        <v>0.8539125638299665</v>
      </c>
      <c r="R221" s="452">
        <v>0.85391256382996661</v>
      </c>
      <c r="S221" s="452">
        <v>0.85391256382996661</v>
      </c>
      <c r="T221" s="452">
        <v>0.875</v>
      </c>
      <c r="U221" s="453">
        <v>0.875</v>
      </c>
      <c r="V221" s="193">
        <v>0</v>
      </c>
      <c r="W221" s="192"/>
      <c r="X221" s="451">
        <v>0.85210935793747578</v>
      </c>
      <c r="Y221" s="452">
        <v>0.886193732254975</v>
      </c>
      <c r="Z221" s="452">
        <v>0.886193732254975</v>
      </c>
      <c r="AA221" s="452">
        <v>1</v>
      </c>
      <c r="AB221" s="453">
        <v>1</v>
      </c>
      <c r="AC221" s="193">
        <v>0</v>
      </c>
      <c r="AD221" s="81"/>
      <c r="AE221" s="81"/>
      <c r="AF221" s="81"/>
      <c r="AG221" s="81"/>
      <c r="AH221" s="78"/>
      <c r="AI221" s="60"/>
      <c r="AJ221" s="48"/>
      <c r="AK221" s="48"/>
      <c r="AL221" s="48"/>
    </row>
    <row r="222" spans="1:38" outlineLevel="3" x14ac:dyDescent="0.25">
      <c r="A222" s="48"/>
      <c r="B222" s="57"/>
      <c r="C222" s="92">
        <f t="shared" si="60"/>
        <v>4</v>
      </c>
      <c r="D222" s="78"/>
      <c r="E222" s="73"/>
      <c r="F222" s="73">
        <f t="shared" si="52"/>
        <v>4</v>
      </c>
      <c r="G222" s="78"/>
      <c r="H222" s="81"/>
      <c r="I222" s="190">
        <v>55</v>
      </c>
      <c r="J222" s="476">
        <v>96.046749017986357</v>
      </c>
      <c r="K222" s="477">
        <v>99.888618978705821</v>
      </c>
      <c r="L222" s="477">
        <v>99.888618978705821</v>
      </c>
      <c r="M222" s="461">
        <v>110</v>
      </c>
      <c r="N222" s="462">
        <v>110</v>
      </c>
      <c r="O222" s="191">
        <v>0</v>
      </c>
      <c r="P222" s="192"/>
      <c r="Q222" s="451">
        <v>0.91666666666666663</v>
      </c>
      <c r="R222" s="452">
        <v>0.91666666666666674</v>
      </c>
      <c r="S222" s="452">
        <v>0.91666666666666674</v>
      </c>
      <c r="T222" s="452">
        <v>0.91666666666666663</v>
      </c>
      <c r="U222" s="453">
        <v>0.91666666666666663</v>
      </c>
      <c r="V222" s="193">
        <v>0</v>
      </c>
      <c r="W222" s="192"/>
      <c r="X222" s="451">
        <v>0.87315226379987598</v>
      </c>
      <c r="Y222" s="452">
        <v>0.90807835435187101</v>
      </c>
      <c r="Z222" s="452">
        <v>0.90807835435187101</v>
      </c>
      <c r="AA222" s="452">
        <v>1</v>
      </c>
      <c r="AB222" s="453">
        <v>1</v>
      </c>
      <c r="AC222" s="193">
        <v>0</v>
      </c>
      <c r="AD222" s="81"/>
      <c r="AE222" s="81"/>
      <c r="AF222" s="81"/>
      <c r="AG222" s="81"/>
      <c r="AH222" s="78"/>
      <c r="AI222" s="60"/>
      <c r="AJ222" s="48"/>
      <c r="AK222" s="48"/>
      <c r="AL222" s="48"/>
    </row>
    <row r="223" spans="1:38" outlineLevel="3" x14ac:dyDescent="0.25">
      <c r="A223" s="48"/>
      <c r="B223" s="57"/>
      <c r="C223" s="92">
        <f t="shared" si="60"/>
        <v>4</v>
      </c>
      <c r="D223" s="78"/>
      <c r="E223" s="73"/>
      <c r="F223" s="73">
        <f t="shared" si="52"/>
        <v>4</v>
      </c>
      <c r="G223" s="78"/>
      <c r="H223" s="81"/>
      <c r="I223" s="190">
        <v>60</v>
      </c>
      <c r="J223" s="478">
        <v>104.77827165598511</v>
      </c>
      <c r="K223" s="479">
        <v>108.96940252222453</v>
      </c>
      <c r="L223" s="479">
        <v>108.96940252222453</v>
      </c>
      <c r="M223" s="464">
        <v>120</v>
      </c>
      <c r="N223" s="465">
        <v>120</v>
      </c>
      <c r="O223" s="191">
        <v>0</v>
      </c>
      <c r="P223" s="192"/>
      <c r="Q223" s="454">
        <v>1</v>
      </c>
      <c r="R223" s="455">
        <v>1</v>
      </c>
      <c r="S223" s="455">
        <v>1</v>
      </c>
      <c r="T223" s="455">
        <v>1</v>
      </c>
      <c r="U223" s="456">
        <v>1</v>
      </c>
      <c r="V223" s="193">
        <v>0</v>
      </c>
      <c r="W223" s="192"/>
      <c r="X223" s="454">
        <v>0.87315226379987587</v>
      </c>
      <c r="Y223" s="455">
        <v>0.90807835435187101</v>
      </c>
      <c r="Z223" s="455">
        <v>0.90807835435187101</v>
      </c>
      <c r="AA223" s="455">
        <v>1</v>
      </c>
      <c r="AB223" s="456">
        <v>1</v>
      </c>
      <c r="AC223" s="193">
        <v>0</v>
      </c>
      <c r="AD223" s="81"/>
      <c r="AE223" s="81"/>
      <c r="AF223" s="81"/>
      <c r="AG223" s="81"/>
      <c r="AH223" s="78"/>
      <c r="AI223" s="60"/>
      <c r="AJ223" s="48"/>
      <c r="AK223" s="48"/>
      <c r="AL223" s="48"/>
    </row>
    <row r="224" spans="1:38" outlineLevel="3" x14ac:dyDescent="0.25">
      <c r="A224" s="48"/>
      <c r="B224" s="57"/>
      <c r="C224" s="92">
        <f t="shared" si="60"/>
        <v>4</v>
      </c>
      <c r="D224" s="78"/>
      <c r="E224" s="73"/>
      <c r="F224" s="73">
        <f t="shared" si="52"/>
        <v>4</v>
      </c>
      <c r="G224" s="78"/>
      <c r="H224" s="81"/>
      <c r="I224" s="101">
        <v>1000</v>
      </c>
      <c r="J224" s="195">
        <v>0</v>
      </c>
      <c r="K224" s="195">
        <v>0</v>
      </c>
      <c r="L224" s="195">
        <v>0</v>
      </c>
      <c r="M224" s="195">
        <v>0</v>
      </c>
      <c r="N224" s="195">
        <v>0</v>
      </c>
      <c r="O224" s="101">
        <v>0</v>
      </c>
      <c r="P224" s="81"/>
      <c r="Q224" s="447">
        <v>0</v>
      </c>
      <c r="R224" s="447">
        <v>0</v>
      </c>
      <c r="S224" s="447">
        <v>0</v>
      </c>
      <c r="T224" s="447">
        <v>0</v>
      </c>
      <c r="U224" s="447">
        <v>0</v>
      </c>
      <c r="V224" s="84">
        <v>0</v>
      </c>
      <c r="W224" s="81"/>
      <c r="X224" s="447">
        <v>0</v>
      </c>
      <c r="Y224" s="447">
        <v>0</v>
      </c>
      <c r="Z224" s="447">
        <v>0</v>
      </c>
      <c r="AA224" s="447">
        <v>0</v>
      </c>
      <c r="AB224" s="447">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0">
        <f>I233/0.43</f>
        <v>23.488372093023255</v>
      </c>
      <c r="J225" s="472">
        <v>23.516900971676659</v>
      </c>
      <c r="K225" s="473">
        <v>23.516900971676659</v>
      </c>
      <c r="L225" s="458">
        <v>130</v>
      </c>
      <c r="M225" s="458">
        <v>145</v>
      </c>
      <c r="N225" s="459">
        <v>155</v>
      </c>
      <c r="O225" s="191">
        <v>0</v>
      </c>
      <c r="P225" s="192"/>
      <c r="Q225" s="448">
        <v>0.59357019921433796</v>
      </c>
      <c r="R225" s="449">
        <v>0.58204346701558951</v>
      </c>
      <c r="S225" s="449">
        <v>1</v>
      </c>
      <c r="T225" s="449">
        <v>1</v>
      </c>
      <c r="U225" s="450">
        <v>1</v>
      </c>
      <c r="V225" s="193">
        <v>0</v>
      </c>
      <c r="W225" s="192"/>
      <c r="X225" s="448">
        <v>0.25560909552665378</v>
      </c>
      <c r="Y225" s="449">
        <v>0.26067115318844203</v>
      </c>
      <c r="Z225" s="449">
        <v>0.83870967741935487</v>
      </c>
      <c r="AA225" s="449">
        <v>0.93548387096774188</v>
      </c>
      <c r="AB225" s="450">
        <v>1</v>
      </c>
      <c r="AC225" s="193">
        <v>0</v>
      </c>
      <c r="AD225" s="81"/>
      <c r="AE225" s="81"/>
      <c r="AF225" s="81"/>
      <c r="AG225" s="81"/>
      <c r="AH225" s="78"/>
      <c r="AI225" s="60"/>
      <c r="AJ225" s="48"/>
      <c r="AK225" s="48"/>
      <c r="AL225" s="48"/>
    </row>
    <row r="226" spans="1:38" outlineLevel="3" x14ac:dyDescent="0.25">
      <c r="A226" s="48"/>
      <c r="B226" s="57"/>
      <c r="C226" s="92">
        <f t="shared" ref="C226:C232" si="61">INT($C$154)+3</f>
        <v>4</v>
      </c>
      <c r="D226" s="78"/>
      <c r="E226" s="73"/>
      <c r="F226" s="73">
        <f>F225</f>
        <v>5</v>
      </c>
      <c r="G226" s="78"/>
      <c r="H226" s="194" t="str">
        <f>INDEX($M$162:$M$164,INDEX(i_salep_price_type_s7,$F226+1,1)+1,1)&amp;INDEX($L$162:$L$164,INDEX(ia_s8_s7,$F226+1,1)+1,1)</f>
        <v>$/hd, LW - Condition score</v>
      </c>
      <c r="I226" s="190">
        <f>I234/0.43</f>
        <v>32.790697674418603</v>
      </c>
      <c r="J226" s="474">
        <v>48.151436841017158</v>
      </c>
      <c r="K226" s="475">
        <v>48.151436841017158</v>
      </c>
      <c r="L226" s="461">
        <v>130</v>
      </c>
      <c r="M226" s="461">
        <v>145</v>
      </c>
      <c r="N226" s="462">
        <v>155</v>
      </c>
      <c r="O226" s="191">
        <v>0</v>
      </c>
      <c r="P226" s="192"/>
      <c r="Q226" s="451">
        <v>0.84934995663578461</v>
      </c>
      <c r="R226" s="452">
        <v>0.83285615437597138</v>
      </c>
      <c r="S226" s="452">
        <v>1</v>
      </c>
      <c r="T226" s="452">
        <v>1</v>
      </c>
      <c r="U226" s="453">
        <v>1</v>
      </c>
      <c r="V226" s="193">
        <v>0</v>
      </c>
      <c r="W226" s="192"/>
      <c r="X226" s="451">
        <v>0.3657555155037025</v>
      </c>
      <c r="Y226" s="452">
        <v>0.37299890215151349</v>
      </c>
      <c r="Z226" s="452">
        <v>0.83870967741935487</v>
      </c>
      <c r="AA226" s="452">
        <v>0.93548387096774188</v>
      </c>
      <c r="AB226" s="453">
        <v>1</v>
      </c>
      <c r="AC226" s="193">
        <v>0</v>
      </c>
      <c r="AD226" s="81"/>
      <c r="AE226" s="81"/>
      <c r="AF226" s="81"/>
      <c r="AG226" s="81"/>
      <c r="AH226" s="78"/>
      <c r="AI226" s="60"/>
      <c r="AJ226" s="48"/>
      <c r="AK226" s="48"/>
      <c r="AL226" s="48"/>
    </row>
    <row r="227" spans="1:38" outlineLevel="3" x14ac:dyDescent="0.25">
      <c r="A227" s="48"/>
      <c r="B227" s="57"/>
      <c r="C227" s="92">
        <f t="shared" si="61"/>
        <v>4</v>
      </c>
      <c r="D227" s="78"/>
      <c r="E227" s="73"/>
      <c r="F227" s="73">
        <f t="shared" si="52"/>
        <v>5</v>
      </c>
      <c r="G227" s="78"/>
      <c r="H227" s="102" t="s">
        <v>316</v>
      </c>
      <c r="I227" s="190">
        <v>40</v>
      </c>
      <c r="J227" s="476">
        <v>66.747639721590517</v>
      </c>
      <c r="K227" s="477">
        <v>69.417545310454145</v>
      </c>
      <c r="L227" s="461">
        <v>130</v>
      </c>
      <c r="M227" s="461">
        <v>145</v>
      </c>
      <c r="N227" s="462">
        <v>155</v>
      </c>
      <c r="O227" s="191">
        <v>0</v>
      </c>
      <c r="P227" s="192"/>
      <c r="Q227" s="451">
        <v>1</v>
      </c>
      <c r="R227" s="452">
        <v>1</v>
      </c>
      <c r="S227" s="452">
        <v>1</v>
      </c>
      <c r="T227" s="452">
        <v>1</v>
      </c>
      <c r="U227" s="453">
        <v>1</v>
      </c>
      <c r="V227" s="193">
        <v>0</v>
      </c>
      <c r="W227" s="192"/>
      <c r="X227" s="451">
        <v>0.43062993368768077</v>
      </c>
      <c r="Y227" s="452">
        <v>0.44785513103518804</v>
      </c>
      <c r="Z227" s="452">
        <v>0.83870967741935487</v>
      </c>
      <c r="AA227" s="452">
        <v>0.93548387096774188</v>
      </c>
      <c r="AB227" s="453">
        <v>1</v>
      </c>
      <c r="AC227" s="193">
        <v>0</v>
      </c>
      <c r="AD227" s="81"/>
      <c r="AE227" s="81"/>
      <c r="AF227" s="81"/>
      <c r="AG227" s="81"/>
      <c r="AH227" s="78"/>
      <c r="AI227" s="60"/>
      <c r="AJ227" s="48"/>
      <c r="AK227" s="48"/>
      <c r="AL227" s="48"/>
    </row>
    <row r="228" spans="1:38" outlineLevel="3" x14ac:dyDescent="0.25">
      <c r="A228" s="48"/>
      <c r="B228" s="57"/>
      <c r="C228" s="92">
        <f t="shared" si="61"/>
        <v>4</v>
      </c>
      <c r="D228" s="78"/>
      <c r="E228" s="73"/>
      <c r="F228" s="73">
        <f t="shared" si="52"/>
        <v>5</v>
      </c>
      <c r="G228" s="78"/>
      <c r="H228" s="102" t="s">
        <v>2771</v>
      </c>
      <c r="I228" s="190">
        <f t="shared" ref="I228:I231" si="62">I227</f>
        <v>40</v>
      </c>
      <c r="J228" s="476">
        <v>66.747639721590517</v>
      </c>
      <c r="K228" s="477">
        <v>69.417545310454145</v>
      </c>
      <c r="L228" s="461">
        <v>130</v>
      </c>
      <c r="M228" s="461">
        <v>145</v>
      </c>
      <c r="N228" s="462">
        <v>155</v>
      </c>
      <c r="O228" s="191">
        <v>0</v>
      </c>
      <c r="P228" s="192"/>
      <c r="Q228" s="451">
        <v>1</v>
      </c>
      <c r="R228" s="452">
        <v>1</v>
      </c>
      <c r="S228" s="452">
        <v>1</v>
      </c>
      <c r="T228" s="452">
        <v>1</v>
      </c>
      <c r="U228" s="453">
        <v>1</v>
      </c>
      <c r="V228" s="193">
        <v>0</v>
      </c>
      <c r="W228" s="192"/>
      <c r="X228" s="451">
        <v>0.43062993368768077</v>
      </c>
      <c r="Y228" s="452">
        <v>0.44785513103518804</v>
      </c>
      <c r="Z228" s="452">
        <v>0.83870967741935487</v>
      </c>
      <c r="AA228" s="452">
        <v>0.93548387096774188</v>
      </c>
      <c r="AB228" s="453">
        <v>1</v>
      </c>
      <c r="AC228" s="193">
        <v>0</v>
      </c>
      <c r="AD228" s="81"/>
      <c r="AE228" s="81"/>
      <c r="AF228" s="81"/>
      <c r="AG228" s="81"/>
      <c r="AH228" s="78"/>
      <c r="AI228" s="60"/>
      <c r="AJ228" s="48"/>
      <c r="AK228" s="48"/>
      <c r="AL228" s="48"/>
    </row>
    <row r="229" spans="1:38" outlineLevel="3" x14ac:dyDescent="0.25">
      <c r="A229" s="48"/>
      <c r="B229" s="57"/>
      <c r="C229" s="92">
        <f t="shared" si="61"/>
        <v>4</v>
      </c>
      <c r="D229" s="78"/>
      <c r="E229" s="73"/>
      <c r="F229" s="73">
        <f t="shared" si="52"/>
        <v>5</v>
      </c>
      <c r="G229" s="78"/>
      <c r="H229" s="81"/>
      <c r="I229" s="190">
        <f t="shared" si="62"/>
        <v>40</v>
      </c>
      <c r="J229" s="476">
        <v>66.747639721590517</v>
      </c>
      <c r="K229" s="477">
        <v>69.417545310454145</v>
      </c>
      <c r="L229" s="461">
        <v>130</v>
      </c>
      <c r="M229" s="461">
        <v>145</v>
      </c>
      <c r="N229" s="462">
        <v>155</v>
      </c>
      <c r="O229" s="191">
        <v>0</v>
      </c>
      <c r="P229" s="192"/>
      <c r="Q229" s="451">
        <v>1</v>
      </c>
      <c r="R229" s="452">
        <v>1</v>
      </c>
      <c r="S229" s="452">
        <v>1</v>
      </c>
      <c r="T229" s="452">
        <v>1</v>
      </c>
      <c r="U229" s="453">
        <v>1</v>
      </c>
      <c r="V229" s="193">
        <v>0</v>
      </c>
      <c r="W229" s="192"/>
      <c r="X229" s="451">
        <v>0.43062993368768077</v>
      </c>
      <c r="Y229" s="452">
        <v>0.44785513103518804</v>
      </c>
      <c r="Z229" s="452">
        <v>0.83870967741935487</v>
      </c>
      <c r="AA229" s="452">
        <v>0.93548387096774188</v>
      </c>
      <c r="AB229" s="453">
        <v>1</v>
      </c>
      <c r="AC229" s="193">
        <v>0</v>
      </c>
      <c r="AD229" s="81"/>
      <c r="AE229" s="81"/>
      <c r="AF229" s="81"/>
      <c r="AG229" s="81"/>
      <c r="AH229" s="78"/>
      <c r="AI229" s="60"/>
      <c r="AJ229" s="48"/>
      <c r="AK229" s="48"/>
      <c r="AL229" s="48"/>
    </row>
    <row r="230" spans="1:38" outlineLevel="3" x14ac:dyDescent="0.25">
      <c r="A230" s="48"/>
      <c r="B230" s="57"/>
      <c r="C230" s="92">
        <f t="shared" si="61"/>
        <v>4</v>
      </c>
      <c r="D230" s="78"/>
      <c r="E230" s="73"/>
      <c r="F230" s="73">
        <f t="shared" si="52"/>
        <v>5</v>
      </c>
      <c r="G230" s="78"/>
      <c r="H230" s="81"/>
      <c r="I230" s="190">
        <f t="shared" si="62"/>
        <v>40</v>
      </c>
      <c r="J230" s="476">
        <v>66.747639721590517</v>
      </c>
      <c r="K230" s="477">
        <v>69.417545310454145</v>
      </c>
      <c r="L230" s="461">
        <v>130</v>
      </c>
      <c r="M230" s="461">
        <v>145</v>
      </c>
      <c r="N230" s="462">
        <v>155</v>
      </c>
      <c r="O230" s="191">
        <v>0</v>
      </c>
      <c r="P230" s="192"/>
      <c r="Q230" s="451">
        <v>1</v>
      </c>
      <c r="R230" s="452">
        <v>1</v>
      </c>
      <c r="S230" s="452">
        <v>1</v>
      </c>
      <c r="T230" s="452">
        <v>1</v>
      </c>
      <c r="U230" s="453">
        <v>1</v>
      </c>
      <c r="V230" s="193">
        <v>0</v>
      </c>
      <c r="W230" s="192"/>
      <c r="X230" s="451">
        <v>0.43062993368768077</v>
      </c>
      <c r="Y230" s="452">
        <v>0.44785513103518804</v>
      </c>
      <c r="Z230" s="452">
        <v>0.83870967741935487</v>
      </c>
      <c r="AA230" s="452">
        <v>0.93548387096774188</v>
      </c>
      <c r="AB230" s="453">
        <v>1</v>
      </c>
      <c r="AC230" s="193">
        <v>0</v>
      </c>
      <c r="AD230" s="81"/>
      <c r="AE230" s="81"/>
      <c r="AF230" s="81"/>
      <c r="AG230" s="81"/>
      <c r="AH230" s="78"/>
      <c r="AI230" s="60"/>
      <c r="AJ230" s="48"/>
      <c r="AK230" s="48"/>
      <c r="AL230" s="48"/>
    </row>
    <row r="231" spans="1:38" outlineLevel="3" x14ac:dyDescent="0.25">
      <c r="A231" s="48"/>
      <c r="B231" s="57"/>
      <c r="C231" s="92">
        <f t="shared" si="61"/>
        <v>4</v>
      </c>
      <c r="D231" s="78"/>
      <c r="E231" s="73"/>
      <c r="F231" s="73">
        <f t="shared" si="52"/>
        <v>5</v>
      </c>
      <c r="G231" s="78"/>
      <c r="H231" s="81"/>
      <c r="I231" s="190">
        <f t="shared" si="62"/>
        <v>40</v>
      </c>
      <c r="J231" s="478">
        <v>66.747639721590517</v>
      </c>
      <c r="K231" s="479">
        <v>69.417545310454145</v>
      </c>
      <c r="L231" s="464">
        <v>130</v>
      </c>
      <c r="M231" s="464">
        <v>145</v>
      </c>
      <c r="N231" s="465">
        <v>155</v>
      </c>
      <c r="O231" s="191">
        <v>0</v>
      </c>
      <c r="P231" s="192"/>
      <c r="Q231" s="454">
        <v>1</v>
      </c>
      <c r="R231" s="455">
        <v>1</v>
      </c>
      <c r="S231" s="455">
        <v>1</v>
      </c>
      <c r="T231" s="455">
        <v>1</v>
      </c>
      <c r="U231" s="456">
        <v>1</v>
      </c>
      <c r="V231" s="193">
        <v>0</v>
      </c>
      <c r="W231" s="192"/>
      <c r="X231" s="454">
        <v>0.43062993368768077</v>
      </c>
      <c r="Y231" s="455">
        <v>0.44785513103518804</v>
      </c>
      <c r="Z231" s="455">
        <v>0.83870967741935487</v>
      </c>
      <c r="AA231" s="455">
        <v>0.93548387096774188</v>
      </c>
      <c r="AB231" s="456">
        <v>1</v>
      </c>
      <c r="AC231" s="193">
        <v>0</v>
      </c>
      <c r="AD231" s="81"/>
      <c r="AE231" s="81"/>
      <c r="AF231" s="81"/>
      <c r="AG231" s="81"/>
      <c r="AH231" s="78"/>
      <c r="AI231" s="60"/>
      <c r="AJ231" s="48"/>
      <c r="AK231" s="48"/>
      <c r="AL231" s="48"/>
    </row>
    <row r="232" spans="1:38" outlineLevel="3" x14ac:dyDescent="0.25">
      <c r="A232" s="48"/>
      <c r="B232" s="57"/>
      <c r="C232" s="92">
        <f t="shared" si="61"/>
        <v>4</v>
      </c>
      <c r="D232" s="78"/>
      <c r="E232" s="73"/>
      <c r="F232" s="73">
        <f t="shared" si="52"/>
        <v>5</v>
      </c>
      <c r="G232" s="78"/>
      <c r="H232" s="81"/>
      <c r="I232" s="101">
        <v>1000</v>
      </c>
      <c r="J232" s="195">
        <v>0</v>
      </c>
      <c r="K232" s="195">
        <v>0</v>
      </c>
      <c r="L232" s="195">
        <v>0</v>
      </c>
      <c r="M232" s="195">
        <v>0</v>
      </c>
      <c r="N232" s="195">
        <v>0</v>
      </c>
      <c r="O232" s="101">
        <v>0</v>
      </c>
      <c r="P232" s="81"/>
      <c r="Q232" s="447">
        <v>0</v>
      </c>
      <c r="R232" s="447">
        <v>0</v>
      </c>
      <c r="S232" s="447">
        <v>0</v>
      </c>
      <c r="T232" s="447">
        <v>0</v>
      </c>
      <c r="U232" s="447">
        <v>0</v>
      </c>
      <c r="V232" s="84">
        <v>0</v>
      </c>
      <c r="W232" s="81"/>
      <c r="X232" s="447">
        <v>0</v>
      </c>
      <c r="Y232" s="447">
        <v>0</v>
      </c>
      <c r="Z232" s="447">
        <v>0</v>
      </c>
      <c r="AA232" s="447">
        <v>0</v>
      </c>
      <c r="AB232" s="447">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0">
        <v>10.1</v>
      </c>
      <c r="J233" s="457">
        <v>3</v>
      </c>
      <c r="K233" s="458">
        <v>3</v>
      </c>
      <c r="L233" s="458">
        <v>3</v>
      </c>
      <c r="M233" s="458">
        <v>3</v>
      </c>
      <c r="N233" s="459">
        <v>2</v>
      </c>
      <c r="O233" s="191">
        <v>0</v>
      </c>
      <c r="P233" s="192"/>
      <c r="Q233" s="448">
        <v>0.58834840541455213</v>
      </c>
      <c r="R233" s="449">
        <v>0.57692307692307687</v>
      </c>
      <c r="S233" s="449">
        <v>0.57692307692307687</v>
      </c>
      <c r="T233" s="449">
        <v>0.57692307692307687</v>
      </c>
      <c r="U233" s="450">
        <v>0.53708615552957462</v>
      </c>
      <c r="V233" s="193">
        <v>0</v>
      </c>
      <c r="W233" s="192"/>
      <c r="X233" s="448">
        <v>0.98058067569092011</v>
      </c>
      <c r="Y233" s="449">
        <v>1</v>
      </c>
      <c r="Z233" s="449">
        <v>1</v>
      </c>
      <c r="AA233" s="449">
        <v>1</v>
      </c>
      <c r="AB233" s="450">
        <v>0.71611487403943286</v>
      </c>
      <c r="AC233" s="193">
        <v>0</v>
      </c>
      <c r="AD233" s="81"/>
      <c r="AE233" s="81"/>
      <c r="AF233" s="81"/>
      <c r="AG233" s="81"/>
      <c r="AH233" s="78"/>
      <c r="AI233" s="60"/>
      <c r="AJ233" s="48"/>
      <c r="AK233" s="48"/>
      <c r="AL233" s="48"/>
    </row>
    <row r="234" spans="1:38" outlineLevel="3" x14ac:dyDescent="0.25">
      <c r="A234" s="48"/>
      <c r="B234" s="57"/>
      <c r="C234" s="92">
        <f t="shared" ref="C234:C240" si="63">INT($C$154)+3</f>
        <v>4</v>
      </c>
      <c r="D234" s="78"/>
      <c r="E234" s="73"/>
      <c r="F234" s="73">
        <f>F233</f>
        <v>6</v>
      </c>
      <c r="G234" s="78"/>
      <c r="H234" s="194" t="str">
        <f>INDEX($M$162:$M$164,INDEX(i_salep_price_type_s7,$F234+1,1)+1,1)&amp;INDEX($L$162:$L$164,INDEX(ia_s8_s7,$F234+1,1)+1,1)</f>
        <v>$/kg DW, DW - Fat score</v>
      </c>
      <c r="I234" s="190">
        <v>14.1</v>
      </c>
      <c r="J234" s="460">
        <v>4.4000000000000004</v>
      </c>
      <c r="K234" s="461">
        <v>4.4000000000000004</v>
      </c>
      <c r="L234" s="461">
        <v>4.4000000000000004</v>
      </c>
      <c r="M234" s="461">
        <v>4.4000000000000004</v>
      </c>
      <c r="N234" s="462">
        <v>2</v>
      </c>
      <c r="O234" s="191">
        <v>0</v>
      </c>
      <c r="P234" s="192"/>
      <c r="Q234" s="451">
        <v>0.8629109946080098</v>
      </c>
      <c r="R234" s="452">
        <v>0.84615384615384615</v>
      </c>
      <c r="S234" s="452">
        <v>0.84615384615384615</v>
      </c>
      <c r="T234" s="452">
        <v>0.84615384615384615</v>
      </c>
      <c r="U234" s="453">
        <v>0.6504436355879909</v>
      </c>
      <c r="V234" s="193">
        <v>0</v>
      </c>
      <c r="W234" s="192"/>
      <c r="X234" s="451">
        <v>0.98058067569092011</v>
      </c>
      <c r="Y234" s="452">
        <v>1</v>
      </c>
      <c r="Z234" s="452">
        <v>1</v>
      </c>
      <c r="AA234" s="452">
        <v>1</v>
      </c>
      <c r="AB234" s="453">
        <v>0.59131239598908258</v>
      </c>
      <c r="AC234" s="193">
        <v>0</v>
      </c>
      <c r="AD234" s="81"/>
      <c r="AE234" s="81"/>
      <c r="AF234" s="81"/>
      <c r="AG234" s="81"/>
      <c r="AH234" s="78"/>
      <c r="AI234" s="60"/>
      <c r="AJ234" s="48"/>
      <c r="AK234" s="48"/>
      <c r="AL234" s="48"/>
    </row>
    <row r="235" spans="1:38" outlineLevel="3" x14ac:dyDescent="0.25">
      <c r="A235" s="48"/>
      <c r="B235" s="57"/>
      <c r="C235" s="92">
        <f t="shared" si="63"/>
        <v>4</v>
      </c>
      <c r="D235" s="78"/>
      <c r="E235" s="73"/>
      <c r="F235" s="73">
        <f t="shared" si="52"/>
        <v>6</v>
      </c>
      <c r="G235" s="78"/>
      <c r="H235" s="102" t="s">
        <v>317</v>
      </c>
      <c r="I235" s="190">
        <v>18.100000000000001</v>
      </c>
      <c r="J235" s="460">
        <v>5</v>
      </c>
      <c r="K235" s="461">
        <v>5.2</v>
      </c>
      <c r="L235" s="461">
        <v>5.2</v>
      </c>
      <c r="M235" s="461">
        <v>5.2</v>
      </c>
      <c r="N235" s="462">
        <v>4</v>
      </c>
      <c r="O235" s="191">
        <v>0</v>
      </c>
      <c r="P235" s="192"/>
      <c r="Q235" s="451">
        <v>1</v>
      </c>
      <c r="R235" s="452">
        <v>1</v>
      </c>
      <c r="S235" s="452">
        <v>1</v>
      </c>
      <c r="T235" s="452">
        <v>1</v>
      </c>
      <c r="U235" s="453">
        <v>1</v>
      </c>
      <c r="V235" s="193">
        <v>0</v>
      </c>
      <c r="W235" s="192"/>
      <c r="X235" s="451">
        <v>0.96153846153846145</v>
      </c>
      <c r="Y235" s="452">
        <v>1</v>
      </c>
      <c r="Z235" s="452">
        <v>1</v>
      </c>
      <c r="AA235" s="452">
        <v>1</v>
      </c>
      <c r="AB235" s="453">
        <v>0.76923076923076916</v>
      </c>
      <c r="AC235" s="193">
        <v>0</v>
      </c>
      <c r="AD235" s="81"/>
      <c r="AE235" s="81"/>
      <c r="AF235" s="81"/>
      <c r="AG235" s="81"/>
      <c r="AH235" s="78"/>
      <c r="AI235" s="60"/>
      <c r="AJ235" s="48"/>
      <c r="AK235" s="48"/>
      <c r="AL235" s="48"/>
    </row>
    <row r="236" spans="1:38" outlineLevel="3" x14ac:dyDescent="0.25">
      <c r="A236" s="48"/>
      <c r="B236" s="57"/>
      <c r="C236" s="92">
        <f t="shared" si="63"/>
        <v>4</v>
      </c>
      <c r="D236" s="78"/>
      <c r="E236" s="73"/>
      <c r="F236" s="73">
        <f t="shared" si="52"/>
        <v>6</v>
      </c>
      <c r="G236" s="78"/>
      <c r="H236" s="81"/>
      <c r="I236" s="190">
        <v>35.1</v>
      </c>
      <c r="J236" s="460">
        <v>4.5</v>
      </c>
      <c r="K236" s="461">
        <v>4.9000000000000004</v>
      </c>
      <c r="L236" s="461">
        <v>4.9000000000000004</v>
      </c>
      <c r="M236" s="461">
        <v>4.9000000000000004</v>
      </c>
      <c r="N236" s="462">
        <v>4</v>
      </c>
      <c r="O236" s="191">
        <v>0</v>
      </c>
      <c r="P236" s="192"/>
      <c r="Q236" s="451">
        <v>0.92091092027238064</v>
      </c>
      <c r="R236" s="452">
        <v>0.9423076923076924</v>
      </c>
      <c r="S236" s="452">
        <v>0.9423076923076924</v>
      </c>
      <c r="T236" s="452">
        <v>0.9423076923076924</v>
      </c>
      <c r="U236" s="453">
        <v>0.97072534339415095</v>
      </c>
      <c r="V236" s="193">
        <v>0</v>
      </c>
      <c r="W236" s="192"/>
      <c r="X236" s="451">
        <v>0.93970502068610262</v>
      </c>
      <c r="Y236" s="452">
        <v>1</v>
      </c>
      <c r="Z236" s="452">
        <v>1</v>
      </c>
      <c r="AA236" s="452">
        <v>1</v>
      </c>
      <c r="AB236" s="453">
        <v>0.79242885175032729</v>
      </c>
      <c r="AC236" s="193">
        <v>0</v>
      </c>
      <c r="AD236" s="81"/>
      <c r="AE236" s="81"/>
      <c r="AF236" s="81"/>
      <c r="AG236" s="81"/>
      <c r="AH236" s="78"/>
      <c r="AI236" s="60"/>
      <c r="AJ236" s="48"/>
      <c r="AK236" s="48"/>
      <c r="AL236" s="48"/>
    </row>
    <row r="237" spans="1:38" outlineLevel="3" x14ac:dyDescent="0.25">
      <c r="A237" s="48"/>
      <c r="B237" s="57"/>
      <c r="C237" s="92">
        <f t="shared" si="63"/>
        <v>4</v>
      </c>
      <c r="D237" s="78"/>
      <c r="E237" s="73"/>
      <c r="F237" s="73">
        <f t="shared" si="52"/>
        <v>6</v>
      </c>
      <c r="G237" s="78"/>
      <c r="H237" s="81"/>
      <c r="I237" s="190">
        <v>40.1</v>
      </c>
      <c r="J237" s="460">
        <v>4.4000000000000004</v>
      </c>
      <c r="K237" s="461">
        <v>4.5999999999999996</v>
      </c>
      <c r="L237" s="461">
        <v>4.5999999999999996</v>
      </c>
      <c r="M237" s="461">
        <v>4.5999999999999996</v>
      </c>
      <c r="N237" s="462">
        <v>4</v>
      </c>
      <c r="O237" s="191">
        <v>0</v>
      </c>
      <c r="P237" s="192"/>
      <c r="Q237" s="451">
        <v>0.88230467439628724</v>
      </c>
      <c r="R237" s="452">
        <v>0.88461538461538447</v>
      </c>
      <c r="S237" s="452">
        <v>0.88461538461538447</v>
      </c>
      <c r="T237" s="452">
        <v>0.88461538461538447</v>
      </c>
      <c r="U237" s="453">
        <v>0.94053994312596023</v>
      </c>
      <c r="V237" s="193">
        <v>0</v>
      </c>
      <c r="W237" s="192"/>
      <c r="X237" s="451">
        <v>0.9590268199959644</v>
      </c>
      <c r="Y237" s="452">
        <v>1</v>
      </c>
      <c r="Z237" s="452">
        <v>1</v>
      </c>
      <c r="AA237" s="452">
        <v>1</v>
      </c>
      <c r="AB237" s="453">
        <v>0.81786082010953065</v>
      </c>
      <c r="AC237" s="193">
        <v>0</v>
      </c>
      <c r="AD237" s="81"/>
      <c r="AE237" s="81"/>
      <c r="AF237" s="81"/>
      <c r="AG237" s="81"/>
      <c r="AH237" s="78"/>
      <c r="AI237" s="60"/>
      <c r="AJ237" s="48"/>
      <c r="AK237" s="48"/>
      <c r="AL237" s="48"/>
    </row>
    <row r="238" spans="1:38" outlineLevel="3" x14ac:dyDescent="0.25">
      <c r="A238" s="48"/>
      <c r="B238" s="57"/>
      <c r="C238" s="92">
        <f t="shared" si="63"/>
        <v>4</v>
      </c>
      <c r="D238" s="78"/>
      <c r="E238" s="73"/>
      <c r="F238" s="73">
        <f t="shared" si="52"/>
        <v>6</v>
      </c>
      <c r="G238" s="78"/>
      <c r="H238" s="81"/>
      <c r="I238" s="190">
        <v>45.1</v>
      </c>
      <c r="J238" s="460">
        <v>4</v>
      </c>
      <c r="K238" s="461">
        <v>4</v>
      </c>
      <c r="L238" s="461">
        <v>4</v>
      </c>
      <c r="M238" s="461">
        <v>4</v>
      </c>
      <c r="N238" s="462">
        <v>4</v>
      </c>
      <c r="O238" s="191">
        <v>0</v>
      </c>
      <c r="P238" s="192"/>
      <c r="Q238" s="451">
        <v>0.78446454055273618</v>
      </c>
      <c r="R238" s="452">
        <v>0.76923076923076916</v>
      </c>
      <c r="S238" s="452">
        <v>0.76923076923076916</v>
      </c>
      <c r="T238" s="452">
        <v>0.76923076923076916</v>
      </c>
      <c r="U238" s="453">
        <v>0.8770580193070292</v>
      </c>
      <c r="V238" s="193">
        <v>0</v>
      </c>
      <c r="W238" s="192"/>
      <c r="X238" s="451">
        <v>0.98058067569092011</v>
      </c>
      <c r="Y238" s="452">
        <v>1</v>
      </c>
      <c r="Z238" s="452">
        <v>1</v>
      </c>
      <c r="AA238" s="452">
        <v>1</v>
      </c>
      <c r="AB238" s="453">
        <v>0.8770580193070292</v>
      </c>
      <c r="AC238" s="193">
        <v>0</v>
      </c>
      <c r="AD238" s="81"/>
      <c r="AE238" s="81"/>
      <c r="AF238" s="81"/>
      <c r="AG238" s="81"/>
      <c r="AH238" s="78"/>
      <c r="AI238" s="60"/>
      <c r="AJ238" s="48"/>
      <c r="AK238" s="48"/>
      <c r="AL238" s="48"/>
    </row>
    <row r="239" spans="1:38" outlineLevel="3" x14ac:dyDescent="0.25">
      <c r="A239" s="48"/>
      <c r="B239" s="57"/>
      <c r="C239" s="92">
        <f t="shared" si="63"/>
        <v>4</v>
      </c>
      <c r="D239" s="78"/>
      <c r="E239" s="73"/>
      <c r="F239" s="73">
        <f t="shared" si="52"/>
        <v>6</v>
      </c>
      <c r="G239" s="78"/>
      <c r="H239" s="81"/>
      <c r="I239" s="190">
        <f t="shared" ref="I239:N239" si="64">I238</f>
        <v>45.1</v>
      </c>
      <c r="J239" s="469">
        <f t="shared" si="64"/>
        <v>4</v>
      </c>
      <c r="K239" s="470">
        <f t="shared" si="64"/>
        <v>4</v>
      </c>
      <c r="L239" s="470">
        <f t="shared" si="64"/>
        <v>4</v>
      </c>
      <c r="M239" s="470">
        <f t="shared" si="64"/>
        <v>4</v>
      </c>
      <c r="N239" s="471">
        <f t="shared" si="64"/>
        <v>4</v>
      </c>
      <c r="O239" s="191">
        <v>0</v>
      </c>
      <c r="P239" s="192"/>
      <c r="Q239" s="454">
        <v>0.78446454055273618</v>
      </c>
      <c r="R239" s="455">
        <v>0.76923076923076916</v>
      </c>
      <c r="S239" s="455">
        <v>0.76923076923076916</v>
      </c>
      <c r="T239" s="455">
        <v>0.76923076923076916</v>
      </c>
      <c r="U239" s="456">
        <v>0.8770580193070292</v>
      </c>
      <c r="V239" s="193">
        <v>0</v>
      </c>
      <c r="W239" s="192"/>
      <c r="X239" s="454">
        <v>0.98058067569092011</v>
      </c>
      <c r="Y239" s="455">
        <v>1</v>
      </c>
      <c r="Z239" s="455">
        <v>1</v>
      </c>
      <c r="AA239" s="455">
        <v>1</v>
      </c>
      <c r="AB239" s="456">
        <v>0.8770580193070292</v>
      </c>
      <c r="AC239" s="193">
        <v>0</v>
      </c>
      <c r="AD239" s="81"/>
      <c r="AE239" s="81"/>
      <c r="AF239" s="81"/>
      <c r="AG239" s="81"/>
      <c r="AH239" s="78"/>
      <c r="AI239" s="60"/>
      <c r="AJ239" s="48"/>
      <c r="AK239" s="48"/>
      <c r="AL239" s="48"/>
    </row>
    <row r="240" spans="1:38" outlineLevel="3" x14ac:dyDescent="0.25">
      <c r="A240" s="48"/>
      <c r="B240" s="57"/>
      <c r="C240" s="92">
        <f t="shared" si="63"/>
        <v>4</v>
      </c>
      <c r="D240" s="78"/>
      <c r="E240" s="73"/>
      <c r="F240" s="73">
        <f t="shared" si="52"/>
        <v>6</v>
      </c>
      <c r="G240" s="78"/>
      <c r="H240" s="81"/>
      <c r="I240" s="101">
        <v>1000</v>
      </c>
      <c r="J240" s="195">
        <v>0</v>
      </c>
      <c r="K240" s="195">
        <v>0</v>
      </c>
      <c r="L240" s="195">
        <v>0</v>
      </c>
      <c r="M240" s="195">
        <v>0</v>
      </c>
      <c r="N240" s="195">
        <v>0</v>
      </c>
      <c r="O240" s="101">
        <v>0</v>
      </c>
      <c r="P240" s="81"/>
      <c r="Q240" s="447">
        <v>0</v>
      </c>
      <c r="R240" s="447">
        <v>0</v>
      </c>
      <c r="S240" s="447">
        <v>0</v>
      </c>
      <c r="T240" s="447">
        <v>0</v>
      </c>
      <c r="U240" s="447">
        <v>0</v>
      </c>
      <c r="V240" s="84">
        <v>0</v>
      </c>
      <c r="W240" s="81"/>
      <c r="X240" s="447">
        <v>0</v>
      </c>
      <c r="Y240" s="447">
        <v>0</v>
      </c>
      <c r="Z240" s="447">
        <v>0</v>
      </c>
      <c r="AA240" s="447">
        <v>0</v>
      </c>
      <c r="AB240" s="447">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0">
        <v>10</v>
      </c>
      <c r="J241" s="457">
        <v>1</v>
      </c>
      <c r="K241" s="458">
        <v>1</v>
      </c>
      <c r="L241" s="458">
        <v>1</v>
      </c>
      <c r="M241" s="458">
        <v>1</v>
      </c>
      <c r="N241" s="459">
        <v>1</v>
      </c>
      <c r="O241" s="191">
        <v>0</v>
      </c>
      <c r="P241" s="192"/>
      <c r="Q241" s="448">
        <v>0.5</v>
      </c>
      <c r="R241" s="449">
        <v>0.5</v>
      </c>
      <c r="S241" s="449">
        <v>0.70710678118654757</v>
      </c>
      <c r="T241" s="449">
        <v>0.70710678118654757</v>
      </c>
      <c r="U241" s="450">
        <v>0.70710678118654757</v>
      </c>
      <c r="V241" s="193">
        <v>0</v>
      </c>
      <c r="W241" s="192"/>
      <c r="X241" s="448">
        <v>1</v>
      </c>
      <c r="Y241" s="449">
        <v>1</v>
      </c>
      <c r="Z241" s="449">
        <v>0.70710678118654757</v>
      </c>
      <c r="AA241" s="449">
        <v>0.70710678118654757</v>
      </c>
      <c r="AB241" s="450">
        <v>0.70710678118654757</v>
      </c>
      <c r="AC241" s="193">
        <v>0</v>
      </c>
      <c r="AD241" s="81"/>
      <c r="AE241" s="81"/>
      <c r="AF241" s="81"/>
      <c r="AG241" s="81"/>
      <c r="AH241" s="78"/>
      <c r="AI241" s="60"/>
      <c r="AJ241" s="48"/>
      <c r="AK241" s="48"/>
      <c r="AL241" s="48"/>
    </row>
    <row r="242" spans="1:38" outlineLevel="3" x14ac:dyDescent="0.25">
      <c r="A242" s="48"/>
      <c r="B242" s="57"/>
      <c r="C242" s="92">
        <f t="shared" ref="C242:C248" si="65">INT($C$154)+3</f>
        <v>4</v>
      </c>
      <c r="D242" s="78"/>
      <c r="E242" s="73"/>
      <c r="F242" s="73">
        <f>F241</f>
        <v>7</v>
      </c>
      <c r="G242" s="78"/>
      <c r="H242" s="194" t="str">
        <f>INDEX($M$162:$M$164,INDEX(i_salep_price_type_s7,$F242+1,1)+1,1)&amp;INDEX($L$162:$L$164,INDEX(ia_s8_s7,$F242+1,1)+1,1)</f>
        <v>$/kg DW, DW - Fat score</v>
      </c>
      <c r="I242" s="190">
        <v>16.100000000000001</v>
      </c>
      <c r="J242" s="460">
        <v>2</v>
      </c>
      <c r="K242" s="461">
        <v>2</v>
      </c>
      <c r="L242" s="461">
        <v>1</v>
      </c>
      <c r="M242" s="461">
        <v>1</v>
      </c>
      <c r="N242" s="462">
        <v>1</v>
      </c>
      <c r="O242" s="191">
        <v>0</v>
      </c>
      <c r="P242" s="192"/>
      <c r="Q242" s="451">
        <v>1</v>
      </c>
      <c r="R242" s="452">
        <v>1</v>
      </c>
      <c r="S242" s="452">
        <v>1</v>
      </c>
      <c r="T242" s="452">
        <v>1</v>
      </c>
      <c r="U242" s="453">
        <v>1</v>
      </c>
      <c r="V242" s="193">
        <v>0</v>
      </c>
      <c r="W242" s="192"/>
      <c r="X242" s="451">
        <v>1</v>
      </c>
      <c r="Y242" s="452">
        <v>1</v>
      </c>
      <c r="Z242" s="452">
        <v>0.5</v>
      </c>
      <c r="AA242" s="452">
        <v>0.5</v>
      </c>
      <c r="AB242" s="453">
        <v>0.5</v>
      </c>
      <c r="AC242" s="193">
        <v>0</v>
      </c>
      <c r="AD242" s="81"/>
      <c r="AE242" s="81"/>
      <c r="AF242" s="81"/>
      <c r="AG242" s="81"/>
      <c r="AH242" s="78"/>
      <c r="AI242" s="60"/>
      <c r="AJ242" s="48"/>
      <c r="AK242" s="48"/>
      <c r="AL242" s="48"/>
    </row>
    <row r="243" spans="1:38" outlineLevel="3" x14ac:dyDescent="0.25">
      <c r="A243" s="48"/>
      <c r="B243" s="57"/>
      <c r="C243" s="92">
        <f t="shared" si="65"/>
        <v>4</v>
      </c>
      <c r="D243" s="78"/>
      <c r="E243" s="73"/>
      <c r="F243" s="73">
        <f t="shared" si="52"/>
        <v>7</v>
      </c>
      <c r="G243" s="78"/>
      <c r="H243" s="102" t="s">
        <v>318</v>
      </c>
      <c r="I243" s="190">
        <v>30</v>
      </c>
      <c r="J243" s="460">
        <v>1</v>
      </c>
      <c r="K243" s="461">
        <v>1</v>
      </c>
      <c r="L243" s="461">
        <v>1</v>
      </c>
      <c r="M243" s="461">
        <v>1</v>
      </c>
      <c r="N243" s="462">
        <v>1</v>
      </c>
      <c r="O243" s="191">
        <v>0</v>
      </c>
      <c r="P243" s="192"/>
      <c r="Q243" s="451">
        <v>0.5</v>
      </c>
      <c r="R243" s="452">
        <v>0.5</v>
      </c>
      <c r="S243" s="452">
        <v>0.70710678118654757</v>
      </c>
      <c r="T243" s="452">
        <v>0.70710678118654757</v>
      </c>
      <c r="U243" s="453">
        <v>0.70710678118654757</v>
      </c>
      <c r="V243" s="193">
        <v>0</v>
      </c>
      <c r="W243" s="192"/>
      <c r="X243" s="451">
        <v>1</v>
      </c>
      <c r="Y243" s="452">
        <v>1</v>
      </c>
      <c r="Z243" s="452">
        <v>0.70710678118654757</v>
      </c>
      <c r="AA243" s="452">
        <v>0.70710678118654757</v>
      </c>
      <c r="AB243" s="453">
        <v>0.70710678118654757</v>
      </c>
      <c r="AC243" s="193">
        <v>0</v>
      </c>
      <c r="AD243" s="81"/>
      <c r="AE243" s="81"/>
      <c r="AF243" s="81"/>
      <c r="AG243" s="81"/>
      <c r="AH243" s="78"/>
      <c r="AI243" s="60"/>
      <c r="AJ243" s="48"/>
      <c r="AK243" s="48"/>
      <c r="AL243" s="48"/>
    </row>
    <row r="244" spans="1:38" outlineLevel="3" x14ac:dyDescent="0.25">
      <c r="A244" s="48"/>
      <c r="B244" s="57"/>
      <c r="C244" s="92">
        <f t="shared" si="65"/>
        <v>4</v>
      </c>
      <c r="D244" s="78"/>
      <c r="E244" s="73"/>
      <c r="F244" s="73">
        <f t="shared" si="52"/>
        <v>7</v>
      </c>
      <c r="G244" s="78"/>
      <c r="H244" s="81"/>
      <c r="I244" s="190">
        <f t="shared" ref="I244:N247" si="66">I243</f>
        <v>30</v>
      </c>
      <c r="J244" s="466">
        <f t="shared" si="66"/>
        <v>1</v>
      </c>
      <c r="K244" s="467">
        <f t="shared" si="66"/>
        <v>1</v>
      </c>
      <c r="L244" s="467">
        <f t="shared" si="66"/>
        <v>1</v>
      </c>
      <c r="M244" s="467">
        <f t="shared" si="66"/>
        <v>1</v>
      </c>
      <c r="N244" s="468">
        <f t="shared" si="66"/>
        <v>1</v>
      </c>
      <c r="O244" s="191">
        <v>0</v>
      </c>
      <c r="P244" s="192"/>
      <c r="Q244" s="451">
        <v>0.5</v>
      </c>
      <c r="R244" s="452">
        <v>0.5</v>
      </c>
      <c r="S244" s="452">
        <v>0.70710678118654757</v>
      </c>
      <c r="T244" s="452">
        <v>0.70710678118654757</v>
      </c>
      <c r="U244" s="453">
        <v>0.70710678118654757</v>
      </c>
      <c r="V244" s="193">
        <v>0</v>
      </c>
      <c r="W244" s="192"/>
      <c r="X244" s="451">
        <v>1</v>
      </c>
      <c r="Y244" s="452">
        <v>1</v>
      </c>
      <c r="Z244" s="452">
        <v>0.70710678118654757</v>
      </c>
      <c r="AA244" s="452">
        <v>0.70710678118654757</v>
      </c>
      <c r="AB244" s="453">
        <v>0.70710678118654757</v>
      </c>
      <c r="AC244" s="193">
        <v>0</v>
      </c>
      <c r="AD244" s="81"/>
      <c r="AE244" s="81"/>
      <c r="AF244" s="81"/>
      <c r="AG244" s="81"/>
      <c r="AH244" s="78"/>
      <c r="AI244" s="60"/>
      <c r="AJ244" s="48"/>
      <c r="AK244" s="48"/>
      <c r="AL244" s="48"/>
    </row>
    <row r="245" spans="1:38" outlineLevel="3" x14ac:dyDescent="0.25">
      <c r="A245" s="48"/>
      <c r="B245" s="57"/>
      <c r="C245" s="92">
        <f t="shared" si="65"/>
        <v>4</v>
      </c>
      <c r="D245" s="78"/>
      <c r="E245" s="73"/>
      <c r="F245" s="73">
        <f t="shared" si="52"/>
        <v>7</v>
      </c>
      <c r="G245" s="78"/>
      <c r="H245" s="81"/>
      <c r="I245" s="190">
        <f t="shared" si="66"/>
        <v>30</v>
      </c>
      <c r="J245" s="466">
        <f t="shared" si="66"/>
        <v>1</v>
      </c>
      <c r="K245" s="467">
        <f t="shared" si="66"/>
        <v>1</v>
      </c>
      <c r="L245" s="467">
        <f t="shared" si="66"/>
        <v>1</v>
      </c>
      <c r="M245" s="467">
        <f t="shared" si="66"/>
        <v>1</v>
      </c>
      <c r="N245" s="468">
        <f t="shared" si="66"/>
        <v>1</v>
      </c>
      <c r="O245" s="191">
        <v>0</v>
      </c>
      <c r="P245" s="192"/>
      <c r="Q245" s="451">
        <v>0.5</v>
      </c>
      <c r="R245" s="452">
        <v>0.5</v>
      </c>
      <c r="S245" s="452">
        <v>0.70710678118654757</v>
      </c>
      <c r="T245" s="452">
        <v>0.70710678118654757</v>
      </c>
      <c r="U245" s="453">
        <v>0.70710678118654757</v>
      </c>
      <c r="V245" s="193">
        <v>0</v>
      </c>
      <c r="W245" s="192"/>
      <c r="X245" s="451">
        <v>1</v>
      </c>
      <c r="Y245" s="452">
        <v>1</v>
      </c>
      <c r="Z245" s="452">
        <v>0.70710678118654757</v>
      </c>
      <c r="AA245" s="452">
        <v>0.70710678118654757</v>
      </c>
      <c r="AB245" s="453">
        <v>0.70710678118654757</v>
      </c>
      <c r="AC245" s="193">
        <v>0</v>
      </c>
      <c r="AD245" s="81"/>
      <c r="AE245" s="81"/>
      <c r="AF245" s="81"/>
      <c r="AG245" s="81"/>
      <c r="AH245" s="78"/>
      <c r="AI245" s="60"/>
      <c r="AJ245" s="48"/>
      <c r="AK245" s="48"/>
      <c r="AL245" s="48"/>
    </row>
    <row r="246" spans="1:38" outlineLevel="3" x14ac:dyDescent="0.25">
      <c r="A246" s="48"/>
      <c r="B246" s="57"/>
      <c r="C246" s="92">
        <f t="shared" si="65"/>
        <v>4</v>
      </c>
      <c r="D246" s="78"/>
      <c r="E246" s="73"/>
      <c r="F246" s="73">
        <f t="shared" si="52"/>
        <v>7</v>
      </c>
      <c r="G246" s="78"/>
      <c r="H246" s="81"/>
      <c r="I246" s="190">
        <f t="shared" si="66"/>
        <v>30</v>
      </c>
      <c r="J246" s="466">
        <f t="shared" si="66"/>
        <v>1</v>
      </c>
      <c r="K246" s="467">
        <f t="shared" si="66"/>
        <v>1</v>
      </c>
      <c r="L246" s="467">
        <f t="shared" si="66"/>
        <v>1</v>
      </c>
      <c r="M246" s="467">
        <f t="shared" si="66"/>
        <v>1</v>
      </c>
      <c r="N246" s="468">
        <f t="shared" si="66"/>
        <v>1</v>
      </c>
      <c r="O246" s="191">
        <v>0</v>
      </c>
      <c r="P246" s="192"/>
      <c r="Q246" s="451">
        <v>0.5</v>
      </c>
      <c r="R246" s="452">
        <v>0.5</v>
      </c>
      <c r="S246" s="452">
        <v>0.70710678118654757</v>
      </c>
      <c r="T246" s="452">
        <v>0.70710678118654757</v>
      </c>
      <c r="U246" s="453">
        <v>0.70710678118654757</v>
      </c>
      <c r="V246" s="193">
        <v>0</v>
      </c>
      <c r="W246" s="192"/>
      <c r="X246" s="451">
        <v>1</v>
      </c>
      <c r="Y246" s="452">
        <v>1</v>
      </c>
      <c r="Z246" s="452">
        <v>0.70710678118654757</v>
      </c>
      <c r="AA246" s="452">
        <v>0.70710678118654757</v>
      </c>
      <c r="AB246" s="453">
        <v>0.70710678118654757</v>
      </c>
      <c r="AC246" s="193">
        <v>0</v>
      </c>
      <c r="AD246" s="81"/>
      <c r="AE246" s="81"/>
      <c r="AF246" s="81"/>
      <c r="AG246" s="81"/>
      <c r="AH246" s="78"/>
      <c r="AI246" s="60"/>
      <c r="AJ246" s="48"/>
      <c r="AK246" s="48"/>
      <c r="AL246" s="48"/>
    </row>
    <row r="247" spans="1:38" outlineLevel="3" x14ac:dyDescent="0.25">
      <c r="A247" s="48"/>
      <c r="B247" s="57"/>
      <c r="C247" s="92">
        <f t="shared" si="65"/>
        <v>4</v>
      </c>
      <c r="D247" s="78"/>
      <c r="E247" s="73"/>
      <c r="F247" s="73">
        <f t="shared" si="52"/>
        <v>7</v>
      </c>
      <c r="G247" s="78"/>
      <c r="H247" s="81"/>
      <c r="I247" s="190">
        <f t="shared" si="66"/>
        <v>30</v>
      </c>
      <c r="J247" s="469">
        <f t="shared" si="66"/>
        <v>1</v>
      </c>
      <c r="K247" s="470">
        <f t="shared" si="66"/>
        <v>1</v>
      </c>
      <c r="L247" s="470">
        <f t="shared" si="66"/>
        <v>1</v>
      </c>
      <c r="M247" s="470">
        <f t="shared" si="66"/>
        <v>1</v>
      </c>
      <c r="N247" s="471">
        <f t="shared" si="66"/>
        <v>1</v>
      </c>
      <c r="O247" s="191">
        <v>0</v>
      </c>
      <c r="P247" s="192"/>
      <c r="Q247" s="454">
        <v>0.5</v>
      </c>
      <c r="R247" s="455">
        <v>0.5</v>
      </c>
      <c r="S247" s="455">
        <v>0.70710678118654757</v>
      </c>
      <c r="T247" s="455">
        <v>0.70710678118654757</v>
      </c>
      <c r="U247" s="456">
        <v>0.70710678118654757</v>
      </c>
      <c r="V247" s="193">
        <v>0</v>
      </c>
      <c r="W247" s="192"/>
      <c r="X247" s="454">
        <v>1</v>
      </c>
      <c r="Y247" s="455">
        <v>1</v>
      </c>
      <c r="Z247" s="455">
        <v>0.70710678118654757</v>
      </c>
      <c r="AA247" s="455">
        <v>0.70710678118654757</v>
      </c>
      <c r="AB247" s="456">
        <v>0.70710678118654757</v>
      </c>
      <c r="AC247" s="193">
        <v>0</v>
      </c>
      <c r="AD247" s="81"/>
      <c r="AE247" s="81"/>
      <c r="AF247" s="81"/>
      <c r="AG247" s="81"/>
      <c r="AH247" s="78"/>
      <c r="AI247" s="60"/>
      <c r="AJ247" s="48"/>
      <c r="AK247" s="48"/>
      <c r="AL247" s="48"/>
    </row>
    <row r="248" spans="1:38" outlineLevel="3" x14ac:dyDescent="0.25">
      <c r="A248" s="48"/>
      <c r="B248" s="57"/>
      <c r="C248" s="92">
        <f t="shared" si="65"/>
        <v>4</v>
      </c>
      <c r="D248" s="78"/>
      <c r="E248" s="73"/>
      <c r="F248" s="73">
        <f t="shared" si="52"/>
        <v>7</v>
      </c>
      <c r="G248" s="78"/>
      <c r="H248" s="81"/>
      <c r="I248" s="101">
        <v>1000</v>
      </c>
      <c r="J248" s="195">
        <v>0</v>
      </c>
      <c r="K248" s="195">
        <v>0</v>
      </c>
      <c r="L248" s="195">
        <v>0</v>
      </c>
      <c r="M248" s="195">
        <v>0</v>
      </c>
      <c r="N248" s="195">
        <v>0</v>
      </c>
      <c r="O248" s="101">
        <v>0</v>
      </c>
      <c r="P248" s="81"/>
      <c r="Q248" s="196">
        <v>0</v>
      </c>
      <c r="R248" s="196">
        <v>0</v>
      </c>
      <c r="S248" s="196">
        <v>0</v>
      </c>
      <c r="T248" s="196">
        <v>0</v>
      </c>
      <c r="U248" s="196">
        <v>0</v>
      </c>
      <c r="V248" s="84">
        <v>0</v>
      </c>
      <c r="W248" s="81"/>
      <c r="X248" s="196">
        <v>0</v>
      </c>
      <c r="Y248" s="196">
        <v>0</v>
      </c>
      <c r="Z248" s="196">
        <v>0</v>
      </c>
      <c r="AA248" s="196">
        <v>0</v>
      </c>
      <c r="AB248" s="196">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319</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320</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321</v>
      </c>
      <c r="K254" s="145" t="s">
        <v>322</v>
      </c>
      <c r="L254" s="145" t="s">
        <v>323</v>
      </c>
      <c r="M254" s="145" t="s">
        <v>324</v>
      </c>
      <c r="N254" s="145" t="s">
        <v>325</v>
      </c>
      <c r="O254" s="145" t="s">
        <v>326</v>
      </c>
      <c r="P254" s="145" t="s">
        <v>327</v>
      </c>
      <c r="Q254" s="145" t="s">
        <v>328</v>
      </c>
      <c r="R254" s="145" t="s">
        <v>329</v>
      </c>
      <c r="S254" s="145" t="s">
        <v>330</v>
      </c>
      <c r="T254" s="145" t="s">
        <v>331</v>
      </c>
      <c r="U254" s="145" t="s">
        <v>332</v>
      </c>
      <c r="V254" s="81"/>
      <c r="W254" s="81" t="s">
        <v>407</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199" t="s">
        <v>333</v>
      </c>
      <c r="I255" s="200" t="s">
        <v>334</v>
      </c>
      <c r="J255" s="201">
        <v>0.15</v>
      </c>
      <c r="K255" s="201">
        <v>0.17</v>
      </c>
      <c r="L255" s="201">
        <v>0.19</v>
      </c>
      <c r="M255" s="201">
        <v>0.21</v>
      </c>
      <c r="N255" s="201">
        <v>0.23</v>
      </c>
      <c r="O255" s="201">
        <v>0.25</v>
      </c>
      <c r="P255" s="201">
        <v>0.27</v>
      </c>
      <c r="Q255" s="201">
        <v>0.28999999999999998</v>
      </c>
      <c r="R255" s="201">
        <v>0</v>
      </c>
      <c r="S255" s="201">
        <v>0</v>
      </c>
      <c r="T255" s="201">
        <v>0.05</v>
      </c>
      <c r="U255" s="20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02"/>
      <c r="I256" s="203" t="s">
        <v>335</v>
      </c>
      <c r="J256" s="204">
        <v>-0.1</v>
      </c>
      <c r="K256" s="204">
        <v>-0.1</v>
      </c>
      <c r="L256" s="204">
        <v>-0.1</v>
      </c>
      <c r="M256" s="204">
        <v>0</v>
      </c>
      <c r="N256" s="204">
        <v>0</v>
      </c>
      <c r="O256" s="204">
        <v>0</v>
      </c>
      <c r="P256" s="204">
        <v>-0.05</v>
      </c>
      <c r="Q256" s="204">
        <v>-0.05</v>
      </c>
      <c r="R256" s="204">
        <v>-0.05</v>
      </c>
      <c r="S256" s="204">
        <v>-0.05</v>
      </c>
      <c r="T256" s="204">
        <v>-7.0000000000000007E-2</v>
      </c>
      <c r="U256" s="204">
        <v>-0.08</v>
      </c>
      <c r="V256" s="81"/>
      <c r="W256" s="102" t="s">
        <v>336</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199" t="s">
        <v>337</v>
      </c>
      <c r="I257" s="200" t="s">
        <v>334</v>
      </c>
      <c r="J257" s="201">
        <v>0.15</v>
      </c>
      <c r="K257" s="201">
        <v>0.17</v>
      </c>
      <c r="L257" s="201">
        <v>0.19</v>
      </c>
      <c r="M257" s="201">
        <v>0.21</v>
      </c>
      <c r="N257" s="201">
        <v>0.23</v>
      </c>
      <c r="O257" s="201">
        <v>0.25</v>
      </c>
      <c r="P257" s="201">
        <v>0.27</v>
      </c>
      <c r="Q257" s="201">
        <v>0.28999999999999998</v>
      </c>
      <c r="R257" s="201">
        <v>0</v>
      </c>
      <c r="S257" s="201">
        <v>0</v>
      </c>
      <c r="T257" s="201">
        <v>0.05</v>
      </c>
      <c r="U257" s="20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02"/>
      <c r="I258" s="203" t="s">
        <v>335</v>
      </c>
      <c r="J258" s="204">
        <v>-0.1</v>
      </c>
      <c r="K258" s="204">
        <v>-0.1</v>
      </c>
      <c r="L258" s="204">
        <v>-0.1</v>
      </c>
      <c r="M258" s="204">
        <v>0</v>
      </c>
      <c r="N258" s="204">
        <v>0</v>
      </c>
      <c r="O258" s="204">
        <v>0</v>
      </c>
      <c r="P258" s="204">
        <v>-0.05</v>
      </c>
      <c r="Q258" s="204">
        <v>-0.05</v>
      </c>
      <c r="R258" s="204">
        <v>-0.05</v>
      </c>
      <c r="S258" s="204">
        <v>-0.05</v>
      </c>
      <c r="T258" s="204">
        <v>-7.0000000000000007E-2</v>
      </c>
      <c r="U258" s="204">
        <v>-0.08</v>
      </c>
      <c r="V258" s="81"/>
      <c r="W258" s="102" t="s">
        <v>336</v>
      </c>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199" t="s">
        <v>338</v>
      </c>
      <c r="I259" s="200" t="s">
        <v>334</v>
      </c>
      <c r="J259" s="201">
        <v>0.15</v>
      </c>
      <c r="K259" s="201">
        <v>0.17</v>
      </c>
      <c r="L259" s="201">
        <v>0.19</v>
      </c>
      <c r="M259" s="201">
        <v>0.21</v>
      </c>
      <c r="N259" s="201">
        <v>0.23</v>
      </c>
      <c r="O259" s="201">
        <v>0.25</v>
      </c>
      <c r="P259" s="201">
        <v>0.27</v>
      </c>
      <c r="Q259" s="201">
        <v>0.28999999999999998</v>
      </c>
      <c r="R259" s="201">
        <v>0</v>
      </c>
      <c r="S259" s="201">
        <v>0</v>
      </c>
      <c r="T259" s="201">
        <v>0.05</v>
      </c>
      <c r="U259" s="20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02"/>
      <c r="I260" s="203" t="s">
        <v>335</v>
      </c>
      <c r="J260" s="204">
        <v>-0.1</v>
      </c>
      <c r="K260" s="204">
        <v>-0.1</v>
      </c>
      <c r="L260" s="204">
        <v>-0.1</v>
      </c>
      <c r="M260" s="204">
        <v>0</v>
      </c>
      <c r="N260" s="204">
        <v>0</v>
      </c>
      <c r="O260" s="204">
        <v>0</v>
      </c>
      <c r="P260" s="204">
        <v>-0.05</v>
      </c>
      <c r="Q260" s="204">
        <v>-0.05</v>
      </c>
      <c r="R260" s="204">
        <v>-0.05</v>
      </c>
      <c r="S260" s="204">
        <v>-0.05</v>
      </c>
      <c r="T260" s="204">
        <v>-7.0000000000000007E-2</v>
      </c>
      <c r="U260" s="204">
        <v>-0.08</v>
      </c>
      <c r="V260" s="81"/>
      <c r="W260" s="102" t="s">
        <v>336</v>
      </c>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199" t="s">
        <v>339</v>
      </c>
      <c r="I261" s="200" t="s">
        <v>334</v>
      </c>
      <c r="J261" s="201">
        <v>0.15</v>
      </c>
      <c r="K261" s="201">
        <v>0.17</v>
      </c>
      <c r="L261" s="201">
        <v>0.19</v>
      </c>
      <c r="M261" s="201">
        <v>0.21</v>
      </c>
      <c r="N261" s="201">
        <v>0.23</v>
      </c>
      <c r="O261" s="201">
        <v>0.25</v>
      </c>
      <c r="P261" s="201">
        <v>0.27</v>
      </c>
      <c r="Q261" s="201">
        <v>0.28999999999999998</v>
      </c>
      <c r="R261" s="201">
        <v>0</v>
      </c>
      <c r="S261" s="201">
        <v>0</v>
      </c>
      <c r="T261" s="201">
        <v>0.05</v>
      </c>
      <c r="U261" s="20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02"/>
      <c r="I262" s="203" t="s">
        <v>335</v>
      </c>
      <c r="J262" s="204">
        <v>0</v>
      </c>
      <c r="K262" s="204">
        <v>0</v>
      </c>
      <c r="L262" s="204">
        <v>0</v>
      </c>
      <c r="M262" s="204">
        <v>0</v>
      </c>
      <c r="N262" s="204">
        <v>0</v>
      </c>
      <c r="O262" s="204">
        <v>0</v>
      </c>
      <c r="P262" s="204">
        <v>0</v>
      </c>
      <c r="Q262" s="204">
        <v>0</v>
      </c>
      <c r="R262" s="204">
        <v>0</v>
      </c>
      <c r="S262" s="204">
        <v>0</v>
      </c>
      <c r="T262" s="204">
        <v>0</v>
      </c>
      <c r="U262" s="20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199" t="s">
        <v>340</v>
      </c>
      <c r="I263" s="200" t="s">
        <v>334</v>
      </c>
      <c r="J263" s="201">
        <v>0</v>
      </c>
      <c r="K263" s="201">
        <v>0</v>
      </c>
      <c r="L263" s="201">
        <v>0</v>
      </c>
      <c r="M263" s="201">
        <v>0</v>
      </c>
      <c r="N263" s="201">
        <v>-1</v>
      </c>
      <c r="O263" s="201">
        <v>-1</v>
      </c>
      <c r="P263" s="201">
        <v>-1</v>
      </c>
      <c r="Q263" s="201">
        <v>-1</v>
      </c>
      <c r="R263" s="201">
        <v>0</v>
      </c>
      <c r="S263" s="201">
        <v>0</v>
      </c>
      <c r="T263" s="201">
        <v>0</v>
      </c>
      <c r="U263" s="20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02"/>
      <c r="I264" s="203" t="s">
        <v>335</v>
      </c>
      <c r="J264" s="204">
        <v>0</v>
      </c>
      <c r="K264" s="204">
        <v>0</v>
      </c>
      <c r="L264" s="204">
        <v>0</v>
      </c>
      <c r="M264" s="204">
        <v>0</v>
      </c>
      <c r="N264" s="204">
        <v>0</v>
      </c>
      <c r="O264" s="204">
        <v>0</v>
      </c>
      <c r="P264" s="204">
        <v>0</v>
      </c>
      <c r="Q264" s="204">
        <v>0</v>
      </c>
      <c r="R264" s="204">
        <v>0</v>
      </c>
      <c r="S264" s="204">
        <v>0</v>
      </c>
      <c r="T264" s="204">
        <v>0</v>
      </c>
      <c r="U264" s="20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199" t="s">
        <v>341</v>
      </c>
      <c r="I265" s="200" t="s">
        <v>334</v>
      </c>
      <c r="J265" s="375">
        <f t="shared" ref="J265:L265" si="67">J267</f>
        <v>0.15</v>
      </c>
      <c r="K265" s="375">
        <f t="shared" si="67"/>
        <v>0.17</v>
      </c>
      <c r="L265" s="375">
        <f t="shared" si="67"/>
        <v>0.19</v>
      </c>
      <c r="M265" s="201">
        <v>0</v>
      </c>
      <c r="N265" s="201">
        <v>0</v>
      </c>
      <c r="O265" s="201">
        <v>0</v>
      </c>
      <c r="P265" s="201">
        <v>0</v>
      </c>
      <c r="Q265" s="201">
        <v>0</v>
      </c>
      <c r="R265" s="201">
        <v>0</v>
      </c>
      <c r="S265" s="201">
        <v>0</v>
      </c>
      <c r="T265" s="375">
        <f>T267</f>
        <v>0.05</v>
      </c>
      <c r="U265" s="375">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02"/>
      <c r="I266" s="203" t="s">
        <v>335</v>
      </c>
      <c r="J266" s="204">
        <v>-0.1</v>
      </c>
      <c r="K266" s="204">
        <v>-0.1</v>
      </c>
      <c r="L266" s="204">
        <v>-0.1</v>
      </c>
      <c r="M266" s="204">
        <v>-0.1</v>
      </c>
      <c r="N266" s="204">
        <v>-0.1</v>
      </c>
      <c r="O266" s="204">
        <v>-0.1</v>
      </c>
      <c r="P266" s="204">
        <v>-0.1</v>
      </c>
      <c r="Q266" s="204">
        <v>-0.1</v>
      </c>
      <c r="R266" s="204">
        <v>-0.1</v>
      </c>
      <c r="S266" s="204">
        <v>-0.1</v>
      </c>
      <c r="T266" s="204">
        <v>-0.1</v>
      </c>
      <c r="U266" s="20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199" t="s">
        <v>342</v>
      </c>
      <c r="I267" s="200" t="s">
        <v>334</v>
      </c>
      <c r="J267" s="201">
        <v>0.15</v>
      </c>
      <c r="K267" s="201">
        <v>0.17</v>
      </c>
      <c r="L267" s="201">
        <v>0.19</v>
      </c>
      <c r="M267" s="201">
        <v>0.21</v>
      </c>
      <c r="N267" s="201">
        <v>0.23</v>
      </c>
      <c r="O267" s="201">
        <v>0.25</v>
      </c>
      <c r="P267" s="201">
        <v>0.27</v>
      </c>
      <c r="Q267" s="201">
        <v>0.28999999999999998</v>
      </c>
      <c r="R267" s="201">
        <v>0</v>
      </c>
      <c r="S267" s="201">
        <v>0</v>
      </c>
      <c r="T267" s="201">
        <v>0.05</v>
      </c>
      <c r="U267" s="20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02"/>
      <c r="I268" s="203" t="s">
        <v>335</v>
      </c>
      <c r="J268" s="204">
        <v>0</v>
      </c>
      <c r="K268" s="204">
        <v>0</v>
      </c>
      <c r="L268" s="204">
        <v>0</v>
      </c>
      <c r="M268" s="204">
        <v>0</v>
      </c>
      <c r="N268" s="204">
        <v>0</v>
      </c>
      <c r="O268" s="204">
        <v>0</v>
      </c>
      <c r="P268" s="204">
        <v>0</v>
      </c>
      <c r="Q268" s="204">
        <v>0</v>
      </c>
      <c r="R268" s="204">
        <v>0</v>
      </c>
      <c r="S268" s="204">
        <v>0</v>
      </c>
      <c r="T268" s="204">
        <v>0</v>
      </c>
      <c r="U268" s="20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199" t="s">
        <v>343</v>
      </c>
      <c r="I269" s="200" t="s">
        <v>334</v>
      </c>
      <c r="J269" s="201">
        <v>0</v>
      </c>
      <c r="K269" s="201">
        <v>0</v>
      </c>
      <c r="L269" s="201">
        <v>0</v>
      </c>
      <c r="M269" s="201">
        <v>0</v>
      </c>
      <c r="N269" s="201">
        <v>0</v>
      </c>
      <c r="O269" s="201">
        <v>0</v>
      </c>
      <c r="P269" s="201">
        <v>0</v>
      </c>
      <c r="Q269" s="201">
        <v>0</v>
      </c>
      <c r="R269" s="201">
        <v>0</v>
      </c>
      <c r="S269" s="201">
        <v>0</v>
      </c>
      <c r="T269" s="201">
        <v>0</v>
      </c>
      <c r="U269" s="20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02"/>
      <c r="I270" s="203" t="s">
        <v>335</v>
      </c>
      <c r="J270" s="204">
        <v>0</v>
      </c>
      <c r="K270" s="204">
        <v>0</v>
      </c>
      <c r="L270" s="204">
        <v>0</v>
      </c>
      <c r="M270" s="204">
        <v>0</v>
      </c>
      <c r="N270" s="204">
        <v>0</v>
      </c>
      <c r="O270" s="204">
        <v>0</v>
      </c>
      <c r="P270" s="204">
        <v>0</v>
      </c>
      <c r="Q270" s="204">
        <v>0</v>
      </c>
      <c r="R270" s="204">
        <v>0</v>
      </c>
      <c r="S270" s="204">
        <v>0</v>
      </c>
      <c r="T270" s="204">
        <v>0</v>
      </c>
      <c r="U270" s="20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266</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344</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8">INT($C$280)+3</f>
        <v>4</v>
      </c>
      <c r="D292" s="78"/>
      <c r="E292" s="73"/>
      <c r="F292" s="73"/>
      <c r="G292" s="78"/>
      <c r="H292" s="205" t="s">
        <v>345</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8"/>
        <v>4</v>
      </c>
      <c r="D293" s="78"/>
      <c r="E293" s="73"/>
      <c r="F293" s="73">
        <v>0</v>
      </c>
      <c r="G293" s="78"/>
      <c r="H293" s="206" t="s">
        <v>346</v>
      </c>
      <c r="I293" s="81" t="s">
        <v>347</v>
      </c>
      <c r="J293" s="81"/>
      <c r="K293" s="101" t="s">
        <v>348</v>
      </c>
      <c r="L293" s="101" t="s">
        <v>349</v>
      </c>
      <c r="M293" s="101" t="s">
        <v>350</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8"/>
        <v>4</v>
      </c>
      <c r="D294" s="78"/>
      <c r="E294" s="73"/>
      <c r="F294" s="73">
        <v>1</v>
      </c>
      <c r="G294" s="78"/>
      <c r="H294" s="206" t="s">
        <v>351</v>
      </c>
      <c r="I294" s="81" t="s">
        <v>352</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8"/>
        <v>4</v>
      </c>
      <c r="D295" s="78"/>
      <c r="E295" s="73"/>
      <c r="F295" s="73">
        <v>2</v>
      </c>
      <c r="G295" s="78"/>
      <c r="H295" s="206" t="s">
        <v>353</v>
      </c>
      <c r="I295" s="81" t="s">
        <v>353</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8"/>
        <v>4</v>
      </c>
      <c r="D296" s="78"/>
      <c r="E296" s="73"/>
      <c r="F296" s="73">
        <v>3</v>
      </c>
      <c r="G296" s="78"/>
      <c r="H296" s="206" t="s">
        <v>287</v>
      </c>
      <c r="I296" s="81" t="s">
        <v>354</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8"/>
        <v>4</v>
      </c>
      <c r="D297" s="78"/>
      <c r="E297" s="73"/>
      <c r="F297" s="73">
        <v>4</v>
      </c>
      <c r="G297" s="78"/>
      <c r="H297" s="206" t="s">
        <v>355</v>
      </c>
      <c r="I297" s="81" t="s">
        <v>356</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8"/>
        <v>4</v>
      </c>
      <c r="D298" s="78"/>
      <c r="E298" s="73"/>
      <c r="F298" s="73">
        <v>5</v>
      </c>
      <c r="G298" s="78"/>
      <c r="H298" s="206" t="s">
        <v>357</v>
      </c>
      <c r="I298" s="81" t="s">
        <v>358</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8"/>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8"/>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2311</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9">INT($C$280)+3</f>
        <v>4</v>
      </c>
      <c r="D304" s="78"/>
      <c r="E304" s="73"/>
      <c r="F304" s="73"/>
      <c r="G304" s="78"/>
      <c r="H304" s="205"/>
      <c r="I304" s="81"/>
      <c r="J304" s="291" t="s">
        <v>2316</v>
      </c>
      <c r="K304" s="291" t="s">
        <v>2312</v>
      </c>
      <c r="L304" s="291" t="s">
        <v>2313</v>
      </c>
      <c r="M304" s="81"/>
      <c r="N304" s="81" t="s">
        <v>2321</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9"/>
        <v>4</v>
      </c>
      <c r="D305" s="78"/>
      <c r="E305" s="73"/>
      <c r="F305" s="73"/>
      <c r="G305" s="78"/>
      <c r="H305" s="81"/>
      <c r="I305" s="81"/>
      <c r="J305" s="101" t="s">
        <v>2317</v>
      </c>
      <c r="K305" s="101" t="s">
        <v>2314</v>
      </c>
      <c r="L305" s="101" t="s">
        <v>2315</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9"/>
        <v>4</v>
      </c>
      <c r="D306" s="78"/>
      <c r="E306" s="73"/>
      <c r="F306" s="73">
        <v>0</v>
      </c>
      <c r="G306" s="78"/>
      <c r="H306" s="206" t="s">
        <v>2318</v>
      </c>
      <c r="I306" s="81"/>
      <c r="J306" s="102">
        <v>100000</v>
      </c>
      <c r="K306" s="102">
        <v>2000</v>
      </c>
      <c r="L306" s="376">
        <v>0.05</v>
      </c>
      <c r="M306" s="81"/>
      <c r="N306" s="81" t="s">
        <v>2322</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9"/>
        <v>4</v>
      </c>
      <c r="D307" s="78"/>
      <c r="E307" s="73"/>
      <c r="F307" s="73">
        <v>1</v>
      </c>
      <c r="G307" s="78"/>
      <c r="H307" s="206" t="s">
        <v>2310</v>
      </c>
      <c r="I307" s="81"/>
      <c r="J307" s="102">
        <v>100000</v>
      </c>
      <c r="K307" s="102">
        <v>2000</v>
      </c>
      <c r="L307" s="376">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9"/>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9"/>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359</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07" t="s">
        <v>360</v>
      </c>
      <c r="U313" s="207" t="s">
        <v>361</v>
      </c>
      <c r="V313" s="207" t="s">
        <v>362</v>
      </c>
      <c r="W313" s="207" t="s">
        <v>363</v>
      </c>
      <c r="X313" s="207" t="s">
        <v>364</v>
      </c>
      <c r="Y313" s="207" t="s">
        <v>365</v>
      </c>
      <c r="Z313" s="207" t="s">
        <v>366</v>
      </c>
      <c r="AA313" s="207" t="s">
        <v>367</v>
      </c>
      <c r="AB313" s="207" t="s">
        <v>368</v>
      </c>
      <c r="AC313" s="207" t="s">
        <v>369</v>
      </c>
      <c r="AD313" s="207" t="s">
        <v>370</v>
      </c>
      <c r="AE313" s="207" t="s">
        <v>371</v>
      </c>
      <c r="AF313" s="207" t="s">
        <v>372</v>
      </c>
      <c r="AG313" s="207" t="s">
        <v>373</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08" t="s">
        <v>374</v>
      </c>
      <c r="U314" s="208" t="s">
        <v>375</v>
      </c>
      <c r="V314" s="208"/>
      <c r="W314" s="208"/>
      <c r="X314" s="208" t="s">
        <v>376</v>
      </c>
      <c r="Y314" s="208" t="s">
        <v>377</v>
      </c>
      <c r="Z314" s="208" t="s">
        <v>378</v>
      </c>
      <c r="AA314" s="208"/>
      <c r="AB314" s="208" t="s">
        <v>379</v>
      </c>
      <c r="AC314" s="208" t="s">
        <v>380</v>
      </c>
      <c r="AD314" s="208" t="s">
        <v>381</v>
      </c>
      <c r="AE314" s="208"/>
      <c r="AF314" s="208"/>
      <c r="AG314" s="208" t="s">
        <v>382</v>
      </c>
      <c r="AH314" s="78"/>
      <c r="AI314" s="60"/>
      <c r="AJ314" s="48"/>
      <c r="AK314" s="48"/>
      <c r="AL314" s="48"/>
    </row>
    <row r="315" spans="1:38" outlineLevel="2" x14ac:dyDescent="0.25">
      <c r="A315" s="48"/>
      <c r="B315" s="57"/>
      <c r="C315" s="92">
        <f>INT($C$280)+2</f>
        <v>3</v>
      </c>
      <c r="D315" s="78"/>
      <c r="E315" s="73"/>
      <c r="F315" s="73"/>
      <c r="G315" s="78"/>
      <c r="H315" s="81" t="s">
        <v>383</v>
      </c>
      <c r="I315" s="81"/>
      <c r="J315" s="81"/>
      <c r="K315" s="81"/>
      <c r="L315" s="81"/>
      <c r="M315" s="81"/>
      <c r="N315" s="81"/>
      <c r="O315" s="81"/>
      <c r="P315" s="81"/>
      <c r="Q315" s="81"/>
      <c r="R315" s="81"/>
      <c r="S315" s="81"/>
      <c r="T315" s="209" t="s">
        <v>384</v>
      </c>
      <c r="U315" s="209" t="s">
        <v>385</v>
      </c>
      <c r="V315" s="209" t="s">
        <v>386</v>
      </c>
      <c r="W315" s="209" t="s">
        <v>386</v>
      </c>
      <c r="X315" s="209" t="s">
        <v>387</v>
      </c>
      <c r="Y315" s="209" t="s">
        <v>388</v>
      </c>
      <c r="Z315" s="209" t="s">
        <v>389</v>
      </c>
      <c r="AA315" s="209" t="s">
        <v>390</v>
      </c>
      <c r="AB315" s="209" t="s">
        <v>391</v>
      </c>
      <c r="AC315" s="209" t="s">
        <v>392</v>
      </c>
      <c r="AD315" s="209" t="s">
        <v>392</v>
      </c>
      <c r="AE315" s="209"/>
      <c r="AF315" s="209" t="s">
        <v>393</v>
      </c>
      <c r="AG315" s="209" t="s">
        <v>394</v>
      </c>
      <c r="AH315" s="78"/>
      <c r="AI315" s="60"/>
      <c r="AJ315" s="48"/>
      <c r="AK315" s="48"/>
      <c r="AL315" s="48"/>
    </row>
    <row r="316" spans="1:38" outlineLevel="3" x14ac:dyDescent="0.25">
      <c r="A316" s="48"/>
      <c r="B316" s="57"/>
      <c r="C316" s="92">
        <f>INT($C$280)+3</f>
        <v>4</v>
      </c>
      <c r="D316" s="78"/>
      <c r="E316" s="73"/>
      <c r="F316" s="73"/>
      <c r="G316" s="78"/>
      <c r="H316" s="81" t="s">
        <v>395</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70">INT($C$280+3)</f>
        <v>4</v>
      </c>
      <c r="D317" s="78"/>
      <c r="E317" s="73"/>
      <c r="F317" s="73"/>
      <c r="G317" s="78"/>
      <c r="H317" s="81" t="s">
        <v>396</v>
      </c>
      <c r="I317" s="81"/>
      <c r="J317" s="81"/>
      <c r="K317" s="81"/>
      <c r="L317" s="81"/>
      <c r="M317" s="81"/>
      <c r="N317" s="81"/>
      <c r="O317" s="81"/>
      <c r="P317" s="81"/>
      <c r="Q317" s="81"/>
      <c r="R317" s="81"/>
      <c r="S317" s="81"/>
      <c r="T317" s="104" t="s">
        <v>397</v>
      </c>
      <c r="U317" s="104" t="s">
        <v>397</v>
      </c>
      <c r="V317" s="104" t="s">
        <v>398</v>
      </c>
      <c r="W317" s="104" t="s">
        <v>398</v>
      </c>
      <c r="X317" s="104" t="s">
        <v>397</v>
      </c>
      <c r="Y317" s="104" t="s">
        <v>397</v>
      </c>
      <c r="Z317" s="104" t="s">
        <v>399</v>
      </c>
      <c r="AA317" s="104" t="s">
        <v>400</v>
      </c>
      <c r="AB317" s="104" t="s">
        <v>397</v>
      </c>
      <c r="AC317" s="104" t="s">
        <v>397</v>
      </c>
      <c r="AD317" s="104" t="s">
        <v>397</v>
      </c>
      <c r="AE317" s="104" t="s">
        <v>397</v>
      </c>
      <c r="AF317" s="104" t="s">
        <v>401</v>
      </c>
      <c r="AG317" s="104" t="s">
        <v>402</v>
      </c>
      <c r="AH317" s="78"/>
      <c r="AI317" s="60"/>
      <c r="AJ317" s="48"/>
      <c r="AK317" s="48"/>
      <c r="AL317" s="48"/>
    </row>
    <row r="318" spans="1:38" outlineLevel="3" x14ac:dyDescent="0.25">
      <c r="A318" s="48"/>
      <c r="B318" s="57"/>
      <c r="C318" s="92">
        <f t="shared" si="70"/>
        <v>4</v>
      </c>
      <c r="D318" s="78"/>
      <c r="E318" s="73"/>
      <c r="F318" s="73"/>
      <c r="G318" s="78"/>
      <c r="H318" s="81" t="s">
        <v>403</v>
      </c>
      <c r="I318" s="81"/>
      <c r="J318" s="81"/>
      <c r="K318" s="81"/>
      <c r="L318" s="81"/>
      <c r="M318" s="81"/>
      <c r="N318" s="81"/>
      <c r="O318" s="81"/>
      <c r="P318" s="81"/>
      <c r="Q318" s="81"/>
      <c r="R318" s="81"/>
      <c r="S318" s="81"/>
      <c r="T318" s="198">
        <f>T316/10000</f>
        <v>2.5000000000000001E-2</v>
      </c>
      <c r="U318" s="198">
        <f>U316/10000</f>
        <v>6.5000000000000002E-2</v>
      </c>
      <c r="V318" s="198">
        <f>V316/100</f>
        <v>0.4</v>
      </c>
      <c r="W318" s="198">
        <f>W316/100</f>
        <v>0.4</v>
      </c>
      <c r="X318" s="198">
        <f>X316/500</f>
        <v>0.5</v>
      </c>
      <c r="Y318" s="198">
        <f>Y316/250</f>
        <v>2.56</v>
      </c>
      <c r="Z318" s="198">
        <f>Z$316/100</f>
        <v>0.25</v>
      </c>
      <c r="AA318" s="198">
        <f>AA316/500</f>
        <v>3.3000000000000002E-2</v>
      </c>
      <c r="AB318" s="198">
        <f>AB316/100</f>
        <v>1.95</v>
      </c>
      <c r="AC318" s="198">
        <f>AC316/20000</f>
        <v>0</v>
      </c>
      <c r="AD318" s="198">
        <f>AD316/20000</f>
        <v>0</v>
      </c>
      <c r="AE318" s="198">
        <f>AE316/1</f>
        <v>0</v>
      </c>
      <c r="AF318" s="198">
        <f>AF$316/50</f>
        <v>11.7</v>
      </c>
      <c r="AG318" s="198">
        <f>AG316*40/4</f>
        <v>13.5</v>
      </c>
      <c r="AH318" s="78"/>
      <c r="AI318" s="60"/>
      <c r="AJ318" s="48"/>
      <c r="AK318" s="48"/>
      <c r="AL318" s="48"/>
    </row>
    <row r="319" spans="1:38" outlineLevel="3" x14ac:dyDescent="0.25">
      <c r="A319" s="48"/>
      <c r="B319" s="57"/>
      <c r="C319" s="92">
        <f t="shared" si="70"/>
        <v>4</v>
      </c>
      <c r="D319" s="78"/>
      <c r="E319" s="73"/>
      <c r="F319" s="73"/>
      <c r="G319" s="78"/>
      <c r="H319" s="81" t="s">
        <v>404</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70"/>
        <v>4</v>
      </c>
      <c r="D320" s="78"/>
      <c r="E320" s="73"/>
      <c r="F320" s="73"/>
      <c r="G320" s="78"/>
      <c r="H320" s="81"/>
      <c r="I320" s="81"/>
      <c r="J320" s="81"/>
      <c r="K320" s="81"/>
      <c r="L320" s="81"/>
      <c r="M320" s="81"/>
      <c r="N320" s="81"/>
      <c r="O320" s="81"/>
      <c r="P320" s="81"/>
      <c r="Q320" s="81"/>
      <c r="R320" s="81"/>
      <c r="S320" s="81"/>
      <c r="T320" s="101" t="str">
        <f t="shared" ref="T320:AG320" si="71">INDEX($H$293:$H$301,T319+1,1)</f>
        <v>LW</v>
      </c>
      <c r="U320" s="101" t="str">
        <f t="shared" si="71"/>
        <v>LW</v>
      </c>
      <c r="V320" s="101" t="str">
        <f t="shared" si="71"/>
        <v>head</v>
      </c>
      <c r="W320" s="101" t="str">
        <f t="shared" si="71"/>
        <v>head</v>
      </c>
      <c r="X320" s="101" t="str">
        <f t="shared" si="71"/>
        <v>head</v>
      </c>
      <c r="Y320" s="101" t="str">
        <f t="shared" si="71"/>
        <v>head</v>
      </c>
      <c r="Z320" s="101" t="str">
        <f t="shared" si="71"/>
        <v>head</v>
      </c>
      <c r="AA320" s="101" t="str">
        <f t="shared" si="71"/>
        <v>nyatf</v>
      </c>
      <c r="AB320" s="101" t="str">
        <f t="shared" si="71"/>
        <v>nyatf</v>
      </c>
      <c r="AC320" s="101" t="str">
        <f t="shared" si="71"/>
        <v>head</v>
      </c>
      <c r="AD320" s="101" t="str">
        <f t="shared" si="71"/>
        <v>head</v>
      </c>
      <c r="AE320" s="101" t="str">
        <f t="shared" si="71"/>
        <v>head</v>
      </c>
      <c r="AF320" s="101" t="str">
        <f t="shared" si="71"/>
        <v>CFW</v>
      </c>
      <c r="AG320" s="101" t="str">
        <f t="shared" si="71"/>
        <v>mob</v>
      </c>
      <c r="AH320" s="78"/>
      <c r="AI320" s="60"/>
      <c r="AJ320" s="48"/>
      <c r="AK320" s="48"/>
      <c r="AL320" s="48"/>
    </row>
    <row r="321" spans="1:38" outlineLevel="3" x14ac:dyDescent="0.25">
      <c r="A321" s="48"/>
      <c r="B321" s="57"/>
      <c r="C321" s="92">
        <f t="shared" si="70"/>
        <v>4</v>
      </c>
      <c r="D321" s="78"/>
      <c r="E321" s="73"/>
      <c r="F321" s="73"/>
      <c r="G321" s="78"/>
      <c r="H321" s="81" t="s">
        <v>405</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10">
        <f>1/$J$138</f>
        <v>5.3763440860215058E-3</v>
      </c>
      <c r="AG321" s="101">
        <v>1</v>
      </c>
      <c r="AH321" s="78"/>
      <c r="AI321" s="60"/>
      <c r="AJ321" s="48"/>
      <c r="AK321" s="48"/>
      <c r="AL321" s="48"/>
    </row>
    <row r="322" spans="1:38" outlineLevel="3" x14ac:dyDescent="0.25">
      <c r="A322" s="48"/>
      <c r="B322" s="57"/>
      <c r="C322" s="92">
        <f t="shared" si="70"/>
        <v>4</v>
      </c>
      <c r="D322" s="78"/>
      <c r="E322" s="73"/>
      <c r="F322" s="73"/>
      <c r="G322" s="78"/>
      <c r="H322" s="81" t="s">
        <v>406</v>
      </c>
      <c r="I322" s="81"/>
      <c r="J322" s="81"/>
      <c r="K322" s="81"/>
      <c r="L322" s="81"/>
      <c r="M322" s="81"/>
      <c r="N322" s="81"/>
      <c r="O322" s="81"/>
      <c r="P322" s="81"/>
      <c r="Q322" s="81"/>
      <c r="R322" s="81"/>
      <c r="S322" s="81"/>
      <c r="T322" s="211">
        <f t="shared" ref="T322:AF322" si="72">T$318*T$321</f>
        <v>2.5000000000000005E-3</v>
      </c>
      <c r="U322" s="211">
        <f t="shared" si="72"/>
        <v>1.3000000000000001E-2</v>
      </c>
      <c r="V322" s="211">
        <f t="shared" si="72"/>
        <v>0.4</v>
      </c>
      <c r="W322" s="211">
        <f t="shared" si="72"/>
        <v>0.4</v>
      </c>
      <c r="X322" s="211">
        <f t="shared" si="72"/>
        <v>0.5</v>
      </c>
      <c r="Y322" s="211">
        <f t="shared" si="72"/>
        <v>2.56</v>
      </c>
      <c r="Z322" s="211">
        <f t="shared" si="72"/>
        <v>0.25</v>
      </c>
      <c r="AA322" s="211">
        <f t="shared" si="72"/>
        <v>3.3000000000000002E-2</v>
      </c>
      <c r="AB322" s="211">
        <f t="shared" si="72"/>
        <v>1.95</v>
      </c>
      <c r="AC322" s="211">
        <f t="shared" si="72"/>
        <v>0</v>
      </c>
      <c r="AD322" s="211">
        <f t="shared" si="72"/>
        <v>0</v>
      </c>
      <c r="AE322" s="211">
        <f t="shared" si="72"/>
        <v>0</v>
      </c>
      <c r="AF322" s="211">
        <f t="shared" si="72"/>
        <v>6.2903225806451621E-2</v>
      </c>
      <c r="AG322" s="211">
        <f>AG318</f>
        <v>13.5</v>
      </c>
      <c r="AH322" s="78"/>
      <c r="AI322" s="60"/>
      <c r="AJ322" s="48"/>
      <c r="AK322" s="48"/>
      <c r="AL322" s="48"/>
    </row>
    <row r="323" spans="1:38" ht="33.75" outlineLevel="3" x14ac:dyDescent="0.25">
      <c r="A323" s="48"/>
      <c r="B323" s="57"/>
      <c r="C323" s="92">
        <f t="shared" si="70"/>
        <v>4</v>
      </c>
      <c r="D323" s="78"/>
      <c r="E323" s="73"/>
      <c r="F323" s="73"/>
      <c r="G323" s="78"/>
      <c r="H323" s="178" t="s">
        <v>407</v>
      </c>
      <c r="I323" s="178"/>
      <c r="J323" s="178"/>
      <c r="K323" s="178"/>
      <c r="L323" s="178"/>
      <c r="M323" s="178"/>
      <c r="N323" s="178"/>
      <c r="O323" s="178"/>
      <c r="P323" s="178"/>
      <c r="Q323" s="178"/>
      <c r="R323" s="178"/>
      <c r="S323" s="178"/>
      <c r="T323" s="212" t="s">
        <v>408</v>
      </c>
      <c r="U323" s="212" t="s">
        <v>409</v>
      </c>
      <c r="V323" s="212"/>
      <c r="W323" s="212"/>
      <c r="X323" s="212" t="s">
        <v>410</v>
      </c>
      <c r="Y323" s="212" t="s">
        <v>411</v>
      </c>
      <c r="Z323" s="212" t="s">
        <v>412</v>
      </c>
      <c r="AA323" s="212" t="s">
        <v>413</v>
      </c>
      <c r="AB323" s="212" t="s">
        <v>414</v>
      </c>
      <c r="AC323" s="212"/>
      <c r="AD323" s="212"/>
      <c r="AE323" s="212"/>
      <c r="AF323" s="212" t="s">
        <v>415</v>
      </c>
      <c r="AG323" s="21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416</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417</v>
      </c>
      <c r="L328" s="100" t="s">
        <v>418</v>
      </c>
      <c r="M328" s="100"/>
      <c r="N328" s="100"/>
      <c r="O328" s="81"/>
      <c r="P328" s="101" t="s">
        <v>419</v>
      </c>
      <c r="Q328" s="100" t="s">
        <v>420</v>
      </c>
      <c r="R328" s="100"/>
      <c r="S328" s="100" t="s">
        <v>421</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422</v>
      </c>
      <c r="J329" s="213"/>
      <c r="K329" s="101" t="s">
        <v>423</v>
      </c>
      <c r="L329" s="100" t="s">
        <v>424</v>
      </c>
      <c r="M329" s="100"/>
      <c r="N329" s="100"/>
      <c r="O329" s="81"/>
      <c r="P329" s="101" t="s">
        <v>425</v>
      </c>
      <c r="Q329" s="81" t="s">
        <v>426</v>
      </c>
      <c r="R329" s="101" t="s">
        <v>427</v>
      </c>
      <c r="S329" s="214"/>
      <c r="T329" s="214" t="str">
        <f t="shared" ref="T329:AG329" si="73">IF(T$314&lt;&gt;"",T$314,T$313)</f>
        <v>Abamectin</v>
      </c>
      <c r="U329" s="214" t="str">
        <f t="shared" si="73"/>
        <v>Q Drench</v>
      </c>
      <c r="V329" s="214" t="str">
        <f t="shared" si="73"/>
        <v>Se bullet</v>
      </c>
      <c r="W329" s="214" t="str">
        <f t="shared" si="73"/>
        <v>Co bullet</v>
      </c>
      <c r="X329" s="214" t="str">
        <f t="shared" si="73"/>
        <v>Glanvac 6S</v>
      </c>
      <c r="Y329" s="214" t="str">
        <f t="shared" si="73"/>
        <v>Gudair</v>
      </c>
      <c r="Z329" s="214" t="str">
        <f t="shared" si="73"/>
        <v>Sidney SP</v>
      </c>
      <c r="AA329" s="214" t="str">
        <f t="shared" si="73"/>
        <v>Rings</v>
      </c>
      <c r="AB329" s="214" t="str">
        <f t="shared" si="73"/>
        <v>Meloxicam</v>
      </c>
      <c r="AC329" s="214" t="str">
        <f t="shared" si="73"/>
        <v>Click</v>
      </c>
      <c r="AD329" s="214" t="str">
        <f t="shared" si="73"/>
        <v>Vetrazin</v>
      </c>
      <c r="AE329" s="214" t="str">
        <f t="shared" si="73"/>
        <v>Footrot treatment</v>
      </c>
      <c r="AF329" s="214" t="str">
        <f t="shared" si="73"/>
        <v>Wool packs</v>
      </c>
      <c r="AG329" s="214" t="str">
        <f t="shared" si="73"/>
        <v>Diesel</v>
      </c>
      <c r="AH329" s="78"/>
      <c r="AI329" s="60"/>
      <c r="AJ329" s="48"/>
      <c r="AK329" s="48"/>
      <c r="AL329" s="48"/>
    </row>
    <row r="330" spans="1:38" outlineLevel="3" x14ac:dyDescent="0.25">
      <c r="A330" s="48"/>
      <c r="B330" s="57"/>
      <c r="C330" s="92">
        <f>INT($C$280)+3</f>
        <v>4</v>
      </c>
      <c r="D330" s="78"/>
      <c r="E330" s="73"/>
      <c r="F330" s="73"/>
      <c r="G330" s="78"/>
      <c r="H330" s="215" t="s">
        <v>428</v>
      </c>
      <c r="I330" s="215" t="s">
        <v>429</v>
      </c>
      <c r="J330" s="215"/>
      <c r="K330" s="182" t="s">
        <v>430</v>
      </c>
      <c r="L330" s="182" t="s">
        <v>431</v>
      </c>
      <c r="M330" s="182" t="s">
        <v>432</v>
      </c>
      <c r="N330" s="182" t="s">
        <v>433</v>
      </c>
      <c r="O330" s="216" t="s">
        <v>434</v>
      </c>
      <c r="P330" s="182" t="s">
        <v>435</v>
      </c>
      <c r="Q330" s="104" t="s">
        <v>2392</v>
      </c>
      <c r="R330" s="104" t="s">
        <v>436</v>
      </c>
      <c r="S330" s="216"/>
      <c r="T330" s="182" t="str">
        <f t="shared" ref="T330:AG330" si="74">T320</f>
        <v>LW</v>
      </c>
      <c r="U330" s="182" t="str">
        <f t="shared" si="74"/>
        <v>LW</v>
      </c>
      <c r="V330" s="182" t="str">
        <f t="shared" si="74"/>
        <v>head</v>
      </c>
      <c r="W330" s="182" t="str">
        <f t="shared" si="74"/>
        <v>head</v>
      </c>
      <c r="X330" s="182" t="str">
        <f t="shared" si="74"/>
        <v>head</v>
      </c>
      <c r="Y330" s="182" t="str">
        <f t="shared" si="74"/>
        <v>head</v>
      </c>
      <c r="Z330" s="182" t="str">
        <f t="shared" si="74"/>
        <v>head</v>
      </c>
      <c r="AA330" s="182" t="str">
        <f t="shared" si="74"/>
        <v>nyatf</v>
      </c>
      <c r="AB330" s="182" t="str">
        <f t="shared" si="74"/>
        <v>nyatf</v>
      </c>
      <c r="AC330" s="182" t="str">
        <f t="shared" si="74"/>
        <v>head</v>
      </c>
      <c r="AD330" s="182" t="str">
        <f t="shared" si="74"/>
        <v>head</v>
      </c>
      <c r="AE330" s="182" t="str">
        <f t="shared" si="74"/>
        <v>head</v>
      </c>
      <c r="AF330" s="182" t="str">
        <f t="shared" si="74"/>
        <v>CFW</v>
      </c>
      <c r="AG330" s="182" t="str">
        <f t="shared" si="74"/>
        <v>mob</v>
      </c>
      <c r="AH330" s="78"/>
      <c r="AI330" s="60"/>
      <c r="AJ330" s="48"/>
      <c r="AK330" s="48"/>
      <c r="AL330" s="48"/>
    </row>
    <row r="331" spans="1:38" outlineLevel="3" x14ac:dyDescent="0.25">
      <c r="A331" s="48"/>
      <c r="B331" s="57"/>
      <c r="C331" s="92">
        <f t="shared" ref="C331:C340" si="75">INT($C$280+3)</f>
        <v>4</v>
      </c>
      <c r="D331" s="78"/>
      <c r="E331" s="73"/>
      <c r="F331" s="73"/>
      <c r="G331" s="78"/>
      <c r="H331" s="110" t="s">
        <v>437</v>
      </c>
      <c r="I331" s="104">
        <v>1</v>
      </c>
      <c r="J331" s="195" t="str">
        <f t="shared" ref="J331:J357" si="76">INDEX($H$293:$H$301,I331+1,1)</f>
        <v>adj head</v>
      </c>
      <c r="K331" s="217">
        <v>0</v>
      </c>
      <c r="L331" s="218">
        <v>0</v>
      </c>
      <c r="M331" s="219">
        <v>0</v>
      </c>
      <c r="N331" s="219">
        <v>300</v>
      </c>
      <c r="O331" s="81"/>
      <c r="P331" s="102">
        <v>0.1</v>
      </c>
      <c r="Q331" s="220">
        <v>0</v>
      </c>
      <c r="R331" s="220">
        <v>0</v>
      </c>
      <c r="S331" s="110"/>
      <c r="T331" s="221">
        <v>1</v>
      </c>
      <c r="U331" s="221">
        <v>0</v>
      </c>
      <c r="V331" s="222">
        <v>0</v>
      </c>
      <c r="W331" s="222">
        <v>0</v>
      </c>
      <c r="X331" s="222">
        <v>0</v>
      </c>
      <c r="Y331" s="222">
        <v>0</v>
      </c>
      <c r="Z331" s="222">
        <v>0</v>
      </c>
      <c r="AA331" s="222">
        <v>0</v>
      </c>
      <c r="AB331" s="222">
        <v>0</v>
      </c>
      <c r="AC331" s="222">
        <v>0</v>
      </c>
      <c r="AD331" s="222">
        <v>0</v>
      </c>
      <c r="AE331" s="222">
        <v>0</v>
      </c>
      <c r="AF331" s="222">
        <v>0</v>
      </c>
      <c r="AG331" s="222">
        <v>0</v>
      </c>
      <c r="AH331" s="78"/>
      <c r="AI331" s="60"/>
      <c r="AJ331" s="48"/>
      <c r="AK331" s="48"/>
      <c r="AL331" s="48"/>
    </row>
    <row r="332" spans="1:38" outlineLevel="3" x14ac:dyDescent="0.25">
      <c r="A332" s="48"/>
      <c r="B332" s="57"/>
      <c r="C332" s="92">
        <f t="shared" si="75"/>
        <v>4</v>
      </c>
      <c r="D332" s="78"/>
      <c r="E332" s="73"/>
      <c r="F332" s="73"/>
      <c r="G332" s="78"/>
      <c r="H332" s="81" t="s">
        <v>438</v>
      </c>
      <c r="I332" s="104">
        <v>1</v>
      </c>
      <c r="J332" s="101" t="str">
        <f t="shared" si="76"/>
        <v>adj head</v>
      </c>
      <c r="K332" s="217">
        <v>0</v>
      </c>
      <c r="L332" s="222">
        <v>0</v>
      </c>
      <c r="M332" s="219">
        <v>0</v>
      </c>
      <c r="N332" s="219">
        <v>300</v>
      </c>
      <c r="O332" s="81"/>
      <c r="P332" s="102">
        <v>0.1</v>
      </c>
      <c r="Q332" s="219">
        <v>0</v>
      </c>
      <c r="R332" s="219">
        <v>0</v>
      </c>
      <c r="S332" s="81"/>
      <c r="T332" s="221">
        <v>1</v>
      </c>
      <c r="U332" s="221">
        <v>0</v>
      </c>
      <c r="V332" s="222">
        <v>0</v>
      </c>
      <c r="W332" s="222">
        <v>0</v>
      </c>
      <c r="X332" s="222">
        <v>0</v>
      </c>
      <c r="Y332" s="222">
        <v>0</v>
      </c>
      <c r="Z332" s="222">
        <v>0</v>
      </c>
      <c r="AA332" s="222">
        <v>0</v>
      </c>
      <c r="AB332" s="222">
        <v>0</v>
      </c>
      <c r="AC332" s="222">
        <v>0</v>
      </c>
      <c r="AD332" s="222">
        <v>0</v>
      </c>
      <c r="AE332" s="222">
        <v>0</v>
      </c>
      <c r="AF332" s="222">
        <v>0</v>
      </c>
      <c r="AG332" s="222">
        <v>0</v>
      </c>
      <c r="AH332" s="78"/>
      <c r="AI332" s="60"/>
      <c r="AJ332" s="48"/>
      <c r="AK332" s="48"/>
      <c r="AL332" s="48"/>
    </row>
    <row r="333" spans="1:38" outlineLevel="3" x14ac:dyDescent="0.25">
      <c r="A333" s="48"/>
      <c r="B333" s="57"/>
      <c r="C333" s="92">
        <f t="shared" si="75"/>
        <v>4</v>
      </c>
      <c r="D333" s="78"/>
      <c r="E333" s="73"/>
      <c r="F333" s="73"/>
      <c r="G333" s="78"/>
      <c r="H333" s="81" t="s">
        <v>439</v>
      </c>
      <c r="I333" s="104">
        <v>0</v>
      </c>
      <c r="J333" s="101" t="str">
        <f t="shared" si="76"/>
        <v>head</v>
      </c>
      <c r="K333" s="217">
        <v>0</v>
      </c>
      <c r="L333" s="222">
        <v>0</v>
      </c>
      <c r="M333" s="219">
        <v>0</v>
      </c>
      <c r="N333" s="219">
        <v>300</v>
      </c>
      <c r="O333" s="81"/>
      <c r="P333" s="102">
        <v>0.1</v>
      </c>
      <c r="Q333" s="219">
        <v>0</v>
      </c>
      <c r="R333" s="219">
        <v>0</v>
      </c>
      <c r="S333" s="81"/>
      <c r="T333" s="221">
        <v>1</v>
      </c>
      <c r="U333" s="221">
        <v>0</v>
      </c>
      <c r="V333" s="222">
        <v>0</v>
      </c>
      <c r="W333" s="222">
        <v>0</v>
      </c>
      <c r="X333" s="222">
        <v>0</v>
      </c>
      <c r="Y333" s="222">
        <v>0</v>
      </c>
      <c r="Z333" s="222">
        <v>0</v>
      </c>
      <c r="AA333" s="222">
        <v>0</v>
      </c>
      <c r="AB333" s="222">
        <v>0</v>
      </c>
      <c r="AC333" s="222">
        <v>0</v>
      </c>
      <c r="AD333" s="222">
        <v>0</v>
      </c>
      <c r="AE333" s="222">
        <v>0</v>
      </c>
      <c r="AF333" s="222">
        <v>0</v>
      </c>
      <c r="AG333" s="222">
        <v>0</v>
      </c>
      <c r="AH333" s="78"/>
      <c r="AI333" s="60"/>
      <c r="AJ333" s="48"/>
      <c r="AK333" s="48"/>
      <c r="AL333" s="48"/>
    </row>
    <row r="334" spans="1:38" outlineLevel="3" x14ac:dyDescent="0.25">
      <c r="A334" s="48"/>
      <c r="B334" s="57"/>
      <c r="C334" s="92">
        <f t="shared" si="75"/>
        <v>4</v>
      </c>
      <c r="D334" s="78"/>
      <c r="E334" s="73"/>
      <c r="F334" s="73"/>
      <c r="G334" s="78"/>
      <c r="H334" s="81" t="s">
        <v>440</v>
      </c>
      <c r="I334" s="104">
        <v>1</v>
      </c>
      <c r="J334" s="101" t="str">
        <f t="shared" si="76"/>
        <v>adj head</v>
      </c>
      <c r="K334" s="217">
        <v>0</v>
      </c>
      <c r="L334" s="222">
        <v>0</v>
      </c>
      <c r="M334" s="219">
        <v>0</v>
      </c>
      <c r="N334" s="219">
        <v>300</v>
      </c>
      <c r="O334" s="81"/>
      <c r="P334" s="102">
        <v>0.1</v>
      </c>
      <c r="Q334" s="219">
        <v>0</v>
      </c>
      <c r="R334" s="219">
        <v>0</v>
      </c>
      <c r="S334" s="81"/>
      <c r="T334" s="222">
        <v>0</v>
      </c>
      <c r="U334" s="222">
        <v>0</v>
      </c>
      <c r="V334" s="222">
        <v>0</v>
      </c>
      <c r="W334" s="222">
        <v>0</v>
      </c>
      <c r="X334" s="221">
        <v>1</v>
      </c>
      <c r="Y334" s="222">
        <v>0</v>
      </c>
      <c r="Z334" s="222">
        <v>0</v>
      </c>
      <c r="AA334" s="222">
        <v>0</v>
      </c>
      <c r="AB334" s="222">
        <v>0</v>
      </c>
      <c r="AC334" s="222">
        <v>0</v>
      </c>
      <c r="AD334" s="222">
        <v>0</v>
      </c>
      <c r="AE334" s="222">
        <v>0</v>
      </c>
      <c r="AF334" s="222">
        <v>0</v>
      </c>
      <c r="AG334" s="222">
        <v>0</v>
      </c>
      <c r="AH334" s="78"/>
      <c r="AI334" s="60"/>
      <c r="AJ334" s="48"/>
      <c r="AK334" s="48"/>
      <c r="AL334" s="48"/>
    </row>
    <row r="335" spans="1:38" outlineLevel="3" x14ac:dyDescent="0.25">
      <c r="A335" s="48"/>
      <c r="B335" s="57"/>
      <c r="C335" s="92">
        <f t="shared" si="75"/>
        <v>4</v>
      </c>
      <c r="D335" s="78"/>
      <c r="E335" s="73"/>
      <c r="F335" s="73"/>
      <c r="G335" s="78"/>
      <c r="H335" s="81" t="s">
        <v>441</v>
      </c>
      <c r="I335" s="104">
        <v>1</v>
      </c>
      <c r="J335" s="101" t="str">
        <f t="shared" si="76"/>
        <v>adj head</v>
      </c>
      <c r="K335" s="217">
        <v>0</v>
      </c>
      <c r="L335" s="222">
        <v>0</v>
      </c>
      <c r="M335" s="219">
        <v>0</v>
      </c>
      <c r="N335" s="219">
        <v>300</v>
      </c>
      <c r="O335" s="81"/>
      <c r="P335" s="102">
        <v>0.1</v>
      </c>
      <c r="Q335" s="219">
        <v>0</v>
      </c>
      <c r="R335" s="219">
        <v>0</v>
      </c>
      <c r="S335" s="81"/>
      <c r="T335" s="222">
        <v>0</v>
      </c>
      <c r="U335" s="222">
        <v>0</v>
      </c>
      <c r="V335" s="222">
        <v>0</v>
      </c>
      <c r="W335" s="222">
        <v>0</v>
      </c>
      <c r="X335" s="222">
        <v>0</v>
      </c>
      <c r="Y335" s="221">
        <v>1</v>
      </c>
      <c r="Z335" s="222">
        <v>0</v>
      </c>
      <c r="AA335" s="222">
        <v>0</v>
      </c>
      <c r="AB335" s="222">
        <v>0</v>
      </c>
      <c r="AC335" s="222">
        <v>0</v>
      </c>
      <c r="AD335" s="222">
        <v>0</v>
      </c>
      <c r="AE335" s="222">
        <v>0</v>
      </c>
      <c r="AF335" s="222">
        <v>0</v>
      </c>
      <c r="AG335" s="222">
        <v>0</v>
      </c>
      <c r="AH335" s="78"/>
      <c r="AI335" s="60"/>
      <c r="AJ335" s="48"/>
      <c r="AK335" s="48"/>
      <c r="AL335" s="48"/>
    </row>
    <row r="336" spans="1:38" outlineLevel="3" x14ac:dyDescent="0.25">
      <c r="A336" s="48"/>
      <c r="B336" s="57"/>
      <c r="C336" s="92">
        <f t="shared" si="75"/>
        <v>4</v>
      </c>
      <c r="D336" s="78"/>
      <c r="E336" s="73"/>
      <c r="F336" s="73"/>
      <c r="G336" s="78"/>
      <c r="H336" s="81" t="s">
        <v>442</v>
      </c>
      <c r="I336" s="104">
        <v>1</v>
      </c>
      <c r="J336" s="101" t="str">
        <f t="shared" si="76"/>
        <v>adj head</v>
      </c>
      <c r="K336" s="217">
        <v>0.5</v>
      </c>
      <c r="L336" s="222">
        <v>0</v>
      </c>
      <c r="M336" s="219">
        <v>0</v>
      </c>
      <c r="N336" s="219">
        <v>200</v>
      </c>
      <c r="O336" s="81"/>
      <c r="P336" s="102">
        <v>0.1</v>
      </c>
      <c r="Q336" s="219">
        <v>0</v>
      </c>
      <c r="R336" s="219">
        <v>0</v>
      </c>
      <c r="S336" s="81"/>
      <c r="T336" s="222">
        <v>0</v>
      </c>
      <c r="U336" s="222">
        <v>0</v>
      </c>
      <c r="V336" s="222">
        <v>0</v>
      </c>
      <c r="W336" s="222">
        <v>0</v>
      </c>
      <c r="X336" s="222">
        <v>0</v>
      </c>
      <c r="Y336" s="222">
        <v>0</v>
      </c>
      <c r="Z336" s="222">
        <v>0</v>
      </c>
      <c r="AA336" s="222">
        <v>0</v>
      </c>
      <c r="AB336" s="222">
        <v>0</v>
      </c>
      <c r="AC336" s="222">
        <v>0</v>
      </c>
      <c r="AD336" s="222">
        <v>0</v>
      </c>
      <c r="AE336" s="221">
        <v>1</v>
      </c>
      <c r="AF336" s="222">
        <v>0</v>
      </c>
      <c r="AG336" s="222">
        <v>0</v>
      </c>
      <c r="AH336" s="78"/>
      <c r="AI336" s="60"/>
      <c r="AJ336" s="48"/>
      <c r="AK336" s="48"/>
      <c r="AL336" s="48"/>
    </row>
    <row r="337" spans="1:38" outlineLevel="3" x14ac:dyDescent="0.25">
      <c r="A337" s="48"/>
      <c r="B337" s="57"/>
      <c r="C337" s="92">
        <f t="shared" si="75"/>
        <v>4</v>
      </c>
      <c r="D337" s="78"/>
      <c r="E337" s="73"/>
      <c r="F337" s="73"/>
      <c r="G337" s="78"/>
      <c r="H337" s="81" t="s">
        <v>443</v>
      </c>
      <c r="I337" s="104">
        <v>0</v>
      </c>
      <c r="J337" s="101" t="str">
        <f t="shared" si="76"/>
        <v>head</v>
      </c>
      <c r="K337" s="217">
        <v>0</v>
      </c>
      <c r="L337" s="222">
        <v>0</v>
      </c>
      <c r="M337" s="219">
        <v>0</v>
      </c>
      <c r="N337" s="219">
        <f>1/(1/200-1/300)</f>
        <v>600</v>
      </c>
      <c r="O337" s="81"/>
      <c r="P337" s="102">
        <v>0.1</v>
      </c>
      <c r="Q337" s="219">
        <v>0</v>
      </c>
      <c r="R337" s="219">
        <v>0</v>
      </c>
      <c r="S337" s="81"/>
      <c r="T337" s="222">
        <v>0</v>
      </c>
      <c r="U337" s="222">
        <v>0</v>
      </c>
      <c r="V337" s="221">
        <v>1</v>
      </c>
      <c r="W337" s="221">
        <v>0</v>
      </c>
      <c r="X337" s="222">
        <v>0</v>
      </c>
      <c r="Y337" s="222">
        <v>0</v>
      </c>
      <c r="Z337" s="222">
        <v>0</v>
      </c>
      <c r="AA337" s="222">
        <v>0</v>
      </c>
      <c r="AB337" s="222">
        <v>0</v>
      </c>
      <c r="AC337" s="222">
        <v>0</v>
      </c>
      <c r="AD337" s="222">
        <v>0</v>
      </c>
      <c r="AE337" s="222">
        <v>0</v>
      </c>
      <c r="AF337" s="222">
        <v>0</v>
      </c>
      <c r="AG337" s="222">
        <v>0</v>
      </c>
      <c r="AH337" s="78"/>
      <c r="AI337" s="60"/>
      <c r="AJ337" s="48"/>
      <c r="AK337" s="48"/>
      <c r="AL337" s="48"/>
    </row>
    <row r="338" spans="1:38" outlineLevel="3" x14ac:dyDescent="0.25">
      <c r="A338" s="48"/>
      <c r="B338" s="57"/>
      <c r="C338" s="92">
        <f t="shared" si="75"/>
        <v>4</v>
      </c>
      <c r="D338" s="78"/>
      <c r="E338" s="73"/>
      <c r="F338" s="73"/>
      <c r="G338" s="78"/>
      <c r="H338" s="81" t="s">
        <v>444</v>
      </c>
      <c r="I338" s="104">
        <v>0</v>
      </c>
      <c r="J338" s="101" t="str">
        <f t="shared" si="76"/>
        <v>head</v>
      </c>
      <c r="K338" s="217">
        <v>0</v>
      </c>
      <c r="L338" s="222">
        <v>0</v>
      </c>
      <c r="M338" s="219">
        <v>0</v>
      </c>
      <c r="N338" s="219">
        <f>1/(1/200-1/300)</f>
        <v>600</v>
      </c>
      <c r="O338" s="81"/>
      <c r="P338" s="102">
        <v>0.1</v>
      </c>
      <c r="Q338" s="219">
        <v>0</v>
      </c>
      <c r="R338" s="219">
        <v>0</v>
      </c>
      <c r="S338" s="81"/>
      <c r="T338" s="222">
        <v>0</v>
      </c>
      <c r="U338" s="222">
        <v>0</v>
      </c>
      <c r="V338" s="222">
        <v>0</v>
      </c>
      <c r="W338" s="221">
        <v>1</v>
      </c>
      <c r="X338" s="222">
        <v>0</v>
      </c>
      <c r="Y338" s="222">
        <v>0</v>
      </c>
      <c r="Z338" s="222">
        <v>0</v>
      </c>
      <c r="AA338" s="222">
        <v>0</v>
      </c>
      <c r="AB338" s="222">
        <v>0</v>
      </c>
      <c r="AC338" s="222">
        <v>0</v>
      </c>
      <c r="AD338" s="222">
        <v>0</v>
      </c>
      <c r="AE338" s="222">
        <v>0</v>
      </c>
      <c r="AF338" s="222">
        <v>0</v>
      </c>
      <c r="AG338" s="222">
        <v>0</v>
      </c>
      <c r="AH338" s="78"/>
      <c r="AI338" s="60"/>
      <c r="AJ338" s="48"/>
      <c r="AK338" s="48"/>
      <c r="AL338" s="48"/>
    </row>
    <row r="339" spans="1:38" outlineLevel="3" x14ac:dyDescent="0.25">
      <c r="A339" s="48"/>
      <c r="B339" s="57"/>
      <c r="C339" s="92">
        <f t="shared" si="75"/>
        <v>4</v>
      </c>
      <c r="D339" s="78"/>
      <c r="E339" s="73"/>
      <c r="F339" s="73"/>
      <c r="G339" s="78"/>
      <c r="H339" s="81" t="s">
        <v>445</v>
      </c>
      <c r="I339" s="104">
        <v>0</v>
      </c>
      <c r="J339" s="101" t="str">
        <f t="shared" si="76"/>
        <v>head</v>
      </c>
      <c r="K339" s="217">
        <v>0</v>
      </c>
      <c r="L339" s="222">
        <v>0</v>
      </c>
      <c r="M339" s="219">
        <v>0</v>
      </c>
      <c r="N339" s="219">
        <v>300</v>
      </c>
      <c r="O339" s="81"/>
      <c r="P339" s="102">
        <v>1</v>
      </c>
      <c r="Q339" s="219">
        <v>0</v>
      </c>
      <c r="R339" s="219">
        <v>0</v>
      </c>
      <c r="S339" s="81"/>
      <c r="T339" s="222">
        <v>0</v>
      </c>
      <c r="U339" s="222">
        <v>0</v>
      </c>
      <c r="V339" s="222">
        <v>0</v>
      </c>
      <c r="W339" s="222">
        <v>0</v>
      </c>
      <c r="X339" s="222">
        <v>0</v>
      </c>
      <c r="Y339" s="222">
        <v>0</v>
      </c>
      <c r="Z339" s="222">
        <v>0</v>
      </c>
      <c r="AA339" s="222">
        <v>0</v>
      </c>
      <c r="AB339" s="222">
        <v>0</v>
      </c>
      <c r="AC339" s="222">
        <v>0</v>
      </c>
      <c r="AD339" s="222">
        <v>0</v>
      </c>
      <c r="AE339" s="222">
        <v>0</v>
      </c>
      <c r="AF339" s="222">
        <v>0</v>
      </c>
      <c r="AG339" s="222">
        <v>0</v>
      </c>
      <c r="AH339" s="78"/>
      <c r="AI339" s="60"/>
      <c r="AJ339" s="48"/>
      <c r="AK339" s="48"/>
      <c r="AL339" s="48"/>
    </row>
    <row r="340" spans="1:38" outlineLevel="3" x14ac:dyDescent="0.25">
      <c r="A340" s="48"/>
      <c r="B340" s="57"/>
      <c r="C340" s="92">
        <f t="shared" si="75"/>
        <v>4</v>
      </c>
      <c r="D340" s="78"/>
      <c r="E340" s="73"/>
      <c r="F340" s="73"/>
      <c r="G340" s="78"/>
      <c r="H340" s="81" t="s">
        <v>446</v>
      </c>
      <c r="I340" s="104">
        <v>0</v>
      </c>
      <c r="J340" s="101" t="str">
        <f t="shared" si="76"/>
        <v>head</v>
      </c>
      <c r="K340" s="217">
        <f>0.5+50*1.3/3000</f>
        <v>0.52166666666666672</v>
      </c>
      <c r="L340" s="222">
        <v>0</v>
      </c>
      <c r="M340" s="219">
        <v>0</v>
      </c>
      <c r="N340" s="219">
        <f>3000/(8*2)</f>
        <v>187.5</v>
      </c>
      <c r="O340" s="81"/>
      <c r="P340" s="102">
        <v>1</v>
      </c>
      <c r="Q340" s="219">
        <v>0</v>
      </c>
      <c r="R340" s="219">
        <v>0</v>
      </c>
      <c r="S340" s="81"/>
      <c r="T340" s="222">
        <v>0</v>
      </c>
      <c r="U340" s="222">
        <v>0</v>
      </c>
      <c r="V340" s="222">
        <v>0</v>
      </c>
      <c r="W340" s="222">
        <v>0</v>
      </c>
      <c r="X340" s="222">
        <v>0</v>
      </c>
      <c r="Y340" s="222">
        <v>0</v>
      </c>
      <c r="Z340" s="222">
        <v>0</v>
      </c>
      <c r="AA340" s="222">
        <v>0</v>
      </c>
      <c r="AB340" s="222">
        <v>0</v>
      </c>
      <c r="AC340" s="222">
        <v>0</v>
      </c>
      <c r="AD340" s="222">
        <v>0</v>
      </c>
      <c r="AE340" s="222">
        <v>0</v>
      </c>
      <c r="AF340" s="222">
        <v>0</v>
      </c>
      <c r="AG340" s="222">
        <v>0</v>
      </c>
      <c r="AH340" s="78"/>
      <c r="AI340" s="60"/>
      <c r="AJ340" s="48"/>
      <c r="AK340" s="48"/>
      <c r="AL340" s="48"/>
    </row>
    <row r="341" spans="1:38" outlineLevel="3" x14ac:dyDescent="0.25">
      <c r="A341" s="48"/>
      <c r="B341" s="57"/>
      <c r="C341" s="92">
        <f>INT($C$280+3)</f>
        <v>4</v>
      </c>
      <c r="D341" s="78"/>
      <c r="E341" s="73"/>
      <c r="F341" s="73"/>
      <c r="G341" s="78"/>
      <c r="H341" s="81" t="s">
        <v>447</v>
      </c>
      <c r="I341" s="104">
        <v>0</v>
      </c>
      <c r="J341" s="101" t="str">
        <f t="shared" si="76"/>
        <v>head</v>
      </c>
      <c r="K341" s="217">
        <f>0.75+50*1.3/3000</f>
        <v>0.77166666666666672</v>
      </c>
      <c r="L341" s="222">
        <v>0</v>
      </c>
      <c r="M341" s="219">
        <v>0</v>
      </c>
      <c r="N341" s="219">
        <f>2000/(8*2)</f>
        <v>125</v>
      </c>
      <c r="O341" s="81"/>
      <c r="P341" s="102">
        <v>1</v>
      </c>
      <c r="Q341" s="219">
        <v>0</v>
      </c>
      <c r="R341" s="219">
        <v>0</v>
      </c>
      <c r="S341" s="81"/>
      <c r="T341" s="222">
        <v>0</v>
      </c>
      <c r="U341" s="222">
        <v>0</v>
      </c>
      <c r="V341" s="222">
        <v>0</v>
      </c>
      <c r="W341" s="222">
        <v>0</v>
      </c>
      <c r="X341" s="222">
        <v>0</v>
      </c>
      <c r="Y341" s="222">
        <v>0</v>
      </c>
      <c r="Z341" s="222">
        <v>0</v>
      </c>
      <c r="AA341" s="222">
        <v>0</v>
      </c>
      <c r="AB341" s="222">
        <v>0</v>
      </c>
      <c r="AC341" s="222">
        <v>0</v>
      </c>
      <c r="AD341" s="222">
        <v>0</v>
      </c>
      <c r="AE341" s="222">
        <v>0</v>
      </c>
      <c r="AF341" s="222">
        <v>0</v>
      </c>
      <c r="AG341" s="222">
        <v>0</v>
      </c>
      <c r="AH341" s="78"/>
      <c r="AI341" s="60"/>
      <c r="AJ341" s="48"/>
      <c r="AK341" s="48"/>
      <c r="AL341" s="48"/>
    </row>
    <row r="342" spans="1:38" outlineLevel="3" x14ac:dyDescent="0.25">
      <c r="A342" s="48"/>
      <c r="B342" s="57"/>
      <c r="C342" s="92">
        <f>INT($C$280+3)</f>
        <v>4</v>
      </c>
      <c r="D342" s="78"/>
      <c r="E342" s="73"/>
      <c r="F342" s="73"/>
      <c r="G342" s="78"/>
      <c r="H342" s="81" t="s">
        <v>448</v>
      </c>
      <c r="I342" s="104">
        <v>0</v>
      </c>
      <c r="J342" s="101" t="str">
        <f t="shared" si="76"/>
        <v>head</v>
      </c>
      <c r="K342" s="217">
        <f>0.85+50*1.3/3000</f>
        <v>0.87166666666666659</v>
      </c>
      <c r="L342" s="222">
        <v>0</v>
      </c>
      <c r="M342" s="219">
        <v>0</v>
      </c>
      <c r="N342" s="219">
        <f>1500/(8*2.5)</f>
        <v>75</v>
      </c>
      <c r="O342" s="81"/>
      <c r="P342" s="102">
        <v>1</v>
      </c>
      <c r="Q342" s="219">
        <v>0</v>
      </c>
      <c r="R342" s="219">
        <v>0</v>
      </c>
      <c r="S342" s="81"/>
      <c r="T342" s="222">
        <v>0</v>
      </c>
      <c r="U342" s="222">
        <v>0</v>
      </c>
      <c r="V342" s="222">
        <v>0</v>
      </c>
      <c r="W342" s="222">
        <v>0</v>
      </c>
      <c r="X342" s="222">
        <v>0</v>
      </c>
      <c r="Y342" s="222">
        <v>0</v>
      </c>
      <c r="Z342" s="222">
        <v>0</v>
      </c>
      <c r="AA342" s="222">
        <v>0</v>
      </c>
      <c r="AB342" s="222">
        <v>0</v>
      </c>
      <c r="AC342" s="222">
        <v>0</v>
      </c>
      <c r="AD342" s="222">
        <v>0</v>
      </c>
      <c r="AE342" s="222">
        <v>0</v>
      </c>
      <c r="AF342" s="222">
        <v>0</v>
      </c>
      <c r="AG342" s="222">
        <v>0</v>
      </c>
      <c r="AH342" s="78"/>
      <c r="AI342" s="60"/>
      <c r="AJ342" s="48"/>
      <c r="AK342" s="48"/>
      <c r="AL342" s="48"/>
    </row>
    <row r="343" spans="1:38" outlineLevel="3" x14ac:dyDescent="0.25">
      <c r="A343" s="48"/>
      <c r="B343" s="57"/>
      <c r="C343" s="92">
        <f>INT($C$280+3)</f>
        <v>4</v>
      </c>
      <c r="D343" s="78"/>
      <c r="E343" s="73"/>
      <c r="F343" s="73"/>
      <c r="G343" s="78"/>
      <c r="H343" s="81" t="s">
        <v>449</v>
      </c>
      <c r="I343" s="104">
        <v>0</v>
      </c>
      <c r="J343" s="101" t="str">
        <f t="shared" si="76"/>
        <v>head</v>
      </c>
      <c r="K343" s="217">
        <f>1+50*1.3/3000</f>
        <v>1.0216666666666667</v>
      </c>
      <c r="L343" s="222">
        <v>0</v>
      </c>
      <c r="M343" s="219">
        <v>0</v>
      </c>
      <c r="N343" s="219">
        <f>N342</f>
        <v>75</v>
      </c>
      <c r="O343" s="81"/>
      <c r="P343" s="102">
        <v>1</v>
      </c>
      <c r="Q343" s="219">
        <v>0</v>
      </c>
      <c r="R343" s="219">
        <v>0</v>
      </c>
      <c r="S343" s="81"/>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78"/>
      <c r="AI343" s="60"/>
      <c r="AJ343" s="48"/>
      <c r="AK343" s="48"/>
      <c r="AL343" s="48"/>
    </row>
    <row r="344" spans="1:38" outlineLevel="3" x14ac:dyDescent="0.25">
      <c r="A344" s="48"/>
      <c r="B344" s="57"/>
      <c r="C344" s="92">
        <f t="shared" ref="C344:C364" si="77">INT($C$280+3)</f>
        <v>4</v>
      </c>
      <c r="D344" s="78"/>
      <c r="E344" s="73"/>
      <c r="F344" s="73"/>
      <c r="G344" s="78"/>
      <c r="H344" s="81" t="s">
        <v>450</v>
      </c>
      <c r="I344" s="104">
        <v>0</v>
      </c>
      <c r="J344" s="101" t="str">
        <f t="shared" si="76"/>
        <v>head</v>
      </c>
      <c r="K344" s="217">
        <v>0</v>
      </c>
      <c r="L344" s="222">
        <v>0</v>
      </c>
      <c r="M344" s="219">
        <v>0</v>
      </c>
      <c r="N344" s="219">
        <v>400</v>
      </c>
      <c r="O344" s="81"/>
      <c r="P344" s="102">
        <v>0.05</v>
      </c>
      <c r="Q344" s="219">
        <v>0</v>
      </c>
      <c r="R344" s="219">
        <v>0</v>
      </c>
      <c r="S344" s="81"/>
      <c r="T344" s="222">
        <v>0</v>
      </c>
      <c r="U344" s="222">
        <v>0</v>
      </c>
      <c r="V344" s="222">
        <v>0</v>
      </c>
      <c r="W344" s="222">
        <v>0</v>
      </c>
      <c r="X344" s="222">
        <v>0</v>
      </c>
      <c r="Y344" s="222">
        <v>0</v>
      </c>
      <c r="Z344" s="222">
        <v>0</v>
      </c>
      <c r="AA344" s="222">
        <v>0</v>
      </c>
      <c r="AB344" s="222">
        <v>0</v>
      </c>
      <c r="AC344" s="222">
        <v>0</v>
      </c>
      <c r="AD344" s="222">
        <v>0</v>
      </c>
      <c r="AE344" s="222">
        <v>0</v>
      </c>
      <c r="AF344" s="222">
        <v>0</v>
      </c>
      <c r="AG344" s="222">
        <v>0</v>
      </c>
      <c r="AH344" s="78"/>
      <c r="AI344" s="60"/>
      <c r="AJ344" s="48"/>
      <c r="AK344" s="48"/>
      <c r="AL344" s="48"/>
    </row>
    <row r="345" spans="1:38" outlineLevel="3" x14ac:dyDescent="0.25">
      <c r="A345" s="48"/>
      <c r="B345" s="57"/>
      <c r="C345" s="92">
        <f t="shared" si="77"/>
        <v>4</v>
      </c>
      <c r="D345" s="78"/>
      <c r="E345" s="73"/>
      <c r="F345" s="73"/>
      <c r="G345" s="78"/>
      <c r="H345" s="81" t="s">
        <v>451</v>
      </c>
      <c r="I345" s="104">
        <v>5</v>
      </c>
      <c r="J345" s="101" t="str">
        <f t="shared" si="76"/>
        <v>nyatf</v>
      </c>
      <c r="K345" s="217">
        <v>0.6</v>
      </c>
      <c r="L345" s="222">
        <v>0</v>
      </c>
      <c r="M345" s="219">
        <v>0</v>
      </c>
      <c r="N345" s="219">
        <v>225</v>
      </c>
      <c r="O345" s="81"/>
      <c r="P345" s="102">
        <v>1.95</v>
      </c>
      <c r="Q345" s="219">
        <v>0</v>
      </c>
      <c r="R345" s="219">
        <v>0</v>
      </c>
      <c r="S345" s="81"/>
      <c r="T345" s="221">
        <v>0</v>
      </c>
      <c r="U345" s="221">
        <v>0</v>
      </c>
      <c r="V345" s="222">
        <v>0</v>
      </c>
      <c r="W345" s="222">
        <v>0</v>
      </c>
      <c r="X345" s="221">
        <v>1</v>
      </c>
      <c r="Y345" s="221">
        <v>1</v>
      </c>
      <c r="Z345" s="221">
        <v>1</v>
      </c>
      <c r="AA345" s="221">
        <v>1.5</v>
      </c>
      <c r="AB345" s="221">
        <v>0.5</v>
      </c>
      <c r="AC345" s="222">
        <v>0</v>
      </c>
      <c r="AD345" s="222">
        <v>0</v>
      </c>
      <c r="AE345" s="222">
        <v>0</v>
      </c>
      <c r="AF345" s="222">
        <v>0</v>
      </c>
      <c r="AG345" s="222">
        <v>0</v>
      </c>
      <c r="AH345" s="78"/>
      <c r="AI345" s="60"/>
      <c r="AJ345" s="48"/>
      <c r="AK345" s="48"/>
      <c r="AL345" s="48"/>
    </row>
    <row r="346" spans="1:38" outlineLevel="3" x14ac:dyDescent="0.25">
      <c r="A346" s="48"/>
      <c r="B346" s="57"/>
      <c r="C346" s="92">
        <f t="shared" si="77"/>
        <v>4</v>
      </c>
      <c r="D346" s="78"/>
      <c r="E346" s="73"/>
      <c r="F346" s="73"/>
      <c r="G346" s="78"/>
      <c r="H346" s="81" t="s">
        <v>452</v>
      </c>
      <c r="I346" s="104">
        <v>5</v>
      </c>
      <c r="J346" s="101" t="str">
        <f t="shared" si="76"/>
        <v>nyatf</v>
      </c>
      <c r="K346" s="217">
        <v>0.6</v>
      </c>
      <c r="L346" s="222">
        <v>0</v>
      </c>
      <c r="M346" s="219">
        <v>0</v>
      </c>
      <c r="N346" s="219">
        <f>1/(1/150-1/225)</f>
        <v>449.99999999999989</v>
      </c>
      <c r="O346" s="81"/>
      <c r="P346" s="102">
        <v>0</v>
      </c>
      <c r="Q346" s="219">
        <v>0</v>
      </c>
      <c r="R346" s="219">
        <v>0</v>
      </c>
      <c r="S346" s="81"/>
      <c r="T346" s="222">
        <v>0</v>
      </c>
      <c r="U346" s="222">
        <v>0</v>
      </c>
      <c r="V346" s="222">
        <v>0</v>
      </c>
      <c r="W346" s="222">
        <v>0</v>
      </c>
      <c r="X346" s="222">
        <v>0</v>
      </c>
      <c r="Y346" s="222">
        <v>0</v>
      </c>
      <c r="Z346" s="222">
        <v>0</v>
      </c>
      <c r="AA346" s="222">
        <v>0</v>
      </c>
      <c r="AB346" s="221">
        <v>0.5</v>
      </c>
      <c r="AC346" s="222">
        <v>0</v>
      </c>
      <c r="AD346" s="222">
        <v>0</v>
      </c>
      <c r="AE346" s="222">
        <v>0</v>
      </c>
      <c r="AF346" s="222">
        <v>0</v>
      </c>
      <c r="AG346" s="222">
        <v>0</v>
      </c>
      <c r="AH346" s="78"/>
      <c r="AI346" s="60"/>
      <c r="AJ346" s="48"/>
      <c r="AK346" s="48"/>
      <c r="AL346" s="48"/>
    </row>
    <row r="347" spans="1:38" outlineLevel="3" x14ac:dyDescent="0.25">
      <c r="A347" s="48"/>
      <c r="B347" s="57"/>
      <c r="C347" s="92">
        <f t="shared" si="77"/>
        <v>4</v>
      </c>
      <c r="D347" s="78"/>
      <c r="E347" s="73"/>
      <c r="F347" s="73"/>
      <c r="G347" s="78"/>
      <c r="H347" s="81" t="s">
        <v>453</v>
      </c>
      <c r="I347" s="104">
        <v>0</v>
      </c>
      <c r="J347" s="101" t="str">
        <f t="shared" si="76"/>
        <v>head</v>
      </c>
      <c r="K347" s="217">
        <v>0</v>
      </c>
      <c r="L347" s="222">
        <v>0</v>
      </c>
      <c r="M347" s="219">
        <v>0</v>
      </c>
      <c r="N347" s="219">
        <v>500</v>
      </c>
      <c r="O347" s="81"/>
      <c r="P347" s="102">
        <v>0.55000000000000004</v>
      </c>
      <c r="Q347" s="219">
        <v>0</v>
      </c>
      <c r="R347" s="219">
        <v>0</v>
      </c>
      <c r="S347" s="81"/>
      <c r="T347" s="222">
        <v>0</v>
      </c>
      <c r="U347" s="222">
        <v>0</v>
      </c>
      <c r="V347" s="222">
        <v>0</v>
      </c>
      <c r="W347" s="222">
        <v>0</v>
      </c>
      <c r="X347" s="222">
        <v>0</v>
      </c>
      <c r="Y347" s="222">
        <v>0</v>
      </c>
      <c r="Z347" s="222">
        <v>0</v>
      </c>
      <c r="AA347" s="222">
        <v>0</v>
      </c>
      <c r="AB347" s="222">
        <v>0</v>
      </c>
      <c r="AC347" s="222">
        <v>0</v>
      </c>
      <c r="AD347" s="222">
        <v>0</v>
      </c>
      <c r="AE347" s="222">
        <v>0</v>
      </c>
      <c r="AF347" s="222">
        <v>0</v>
      </c>
      <c r="AG347" s="222">
        <v>0</v>
      </c>
      <c r="AH347" s="78"/>
      <c r="AI347" s="60"/>
      <c r="AJ347" s="48"/>
      <c r="AK347" s="48"/>
      <c r="AL347" s="48"/>
    </row>
    <row r="348" spans="1:38" outlineLevel="3" x14ac:dyDescent="0.25">
      <c r="A348" s="48"/>
      <c r="B348" s="57"/>
      <c r="C348" s="92">
        <f t="shared" si="77"/>
        <v>4</v>
      </c>
      <c r="D348" s="78"/>
      <c r="E348" s="73"/>
      <c r="F348" s="73"/>
      <c r="G348" s="78"/>
      <c r="H348" s="81" t="s">
        <v>454</v>
      </c>
      <c r="I348" s="104">
        <v>0</v>
      </c>
      <c r="J348" s="101" t="str">
        <f t="shared" si="76"/>
        <v>head</v>
      </c>
      <c r="K348" s="217">
        <v>0</v>
      </c>
      <c r="L348" s="222">
        <v>0</v>
      </c>
      <c r="M348" s="219">
        <v>0</v>
      </c>
      <c r="N348" s="219">
        <v>150</v>
      </c>
      <c r="O348" s="81"/>
      <c r="P348" s="102">
        <v>0.55000000000000004</v>
      </c>
      <c r="Q348" s="219">
        <v>0</v>
      </c>
      <c r="R348" s="219">
        <v>0</v>
      </c>
      <c r="S348" s="81"/>
      <c r="T348" s="221">
        <v>1</v>
      </c>
      <c r="U348" s="221">
        <v>0</v>
      </c>
      <c r="V348" s="222">
        <v>0</v>
      </c>
      <c r="W348" s="222">
        <v>0</v>
      </c>
      <c r="X348" s="221">
        <v>1</v>
      </c>
      <c r="Y348" s="221">
        <v>0</v>
      </c>
      <c r="Z348" s="221">
        <v>0</v>
      </c>
      <c r="AA348" s="222">
        <v>0</v>
      </c>
      <c r="AB348" s="222">
        <v>0</v>
      </c>
      <c r="AC348" s="222">
        <v>0</v>
      </c>
      <c r="AD348" s="222">
        <v>0</v>
      </c>
      <c r="AE348" s="222">
        <v>0</v>
      </c>
      <c r="AF348" s="222">
        <v>0</v>
      </c>
      <c r="AG348" s="222">
        <v>0</v>
      </c>
      <c r="AH348" s="78"/>
      <c r="AI348" s="60"/>
      <c r="AJ348" s="48"/>
      <c r="AK348" s="48"/>
      <c r="AL348" s="48"/>
    </row>
    <row r="349" spans="1:38" outlineLevel="3" x14ac:dyDescent="0.25">
      <c r="A349" s="48"/>
      <c r="B349" s="57"/>
      <c r="C349" s="92">
        <f t="shared" si="77"/>
        <v>4</v>
      </c>
      <c r="D349" s="78"/>
      <c r="E349" s="73"/>
      <c r="F349" s="73"/>
      <c r="G349" s="78"/>
      <c r="H349" s="81" t="s">
        <v>455</v>
      </c>
      <c r="I349" s="104">
        <v>0</v>
      </c>
      <c r="J349" s="101" t="str">
        <f t="shared" si="76"/>
        <v>head</v>
      </c>
      <c r="K349" s="217">
        <v>0</v>
      </c>
      <c r="L349" s="222">
        <v>0</v>
      </c>
      <c r="M349" s="219">
        <v>300</v>
      </c>
      <c r="N349" s="219">
        <v>0</v>
      </c>
      <c r="O349" s="81"/>
      <c r="P349" s="102">
        <v>0.55000000000000004</v>
      </c>
      <c r="Q349" s="219">
        <v>0</v>
      </c>
      <c r="R349" s="219">
        <v>0</v>
      </c>
      <c r="S349" s="81"/>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78"/>
      <c r="AI349" s="60"/>
      <c r="AJ349" s="48"/>
      <c r="AK349" s="48"/>
      <c r="AL349" s="48"/>
    </row>
    <row r="350" spans="1:38" outlineLevel="3" x14ac:dyDescent="0.25">
      <c r="A350" s="48"/>
      <c r="B350" s="57"/>
      <c r="C350" s="92">
        <f t="shared" si="77"/>
        <v>4</v>
      </c>
      <c r="D350" s="78"/>
      <c r="E350" s="73"/>
      <c r="F350" s="73"/>
      <c r="G350" s="78"/>
      <c r="H350" s="81" t="s">
        <v>456</v>
      </c>
      <c r="I350" s="104">
        <v>1</v>
      </c>
      <c r="J350" s="101" t="str">
        <f t="shared" si="76"/>
        <v>adj head</v>
      </c>
      <c r="K350" s="217">
        <v>1.2</v>
      </c>
      <c r="L350" s="222">
        <v>0</v>
      </c>
      <c r="M350" s="219">
        <v>0</v>
      </c>
      <c r="N350" s="219">
        <v>800</v>
      </c>
      <c r="O350" s="81"/>
      <c r="P350" s="102">
        <v>0.1</v>
      </c>
      <c r="Q350" s="219">
        <v>0</v>
      </c>
      <c r="R350" s="219">
        <v>0</v>
      </c>
      <c r="S350" s="81"/>
      <c r="T350" s="222">
        <v>0</v>
      </c>
      <c r="U350" s="222">
        <v>0</v>
      </c>
      <c r="V350" s="222">
        <v>0</v>
      </c>
      <c r="W350" s="222">
        <v>0</v>
      </c>
      <c r="X350" s="222">
        <v>0</v>
      </c>
      <c r="Y350" s="222">
        <v>0</v>
      </c>
      <c r="Z350" s="222">
        <v>0</v>
      </c>
      <c r="AA350" s="222">
        <v>0</v>
      </c>
      <c r="AB350" s="222">
        <v>0</v>
      </c>
      <c r="AC350" s="222">
        <v>0</v>
      </c>
      <c r="AD350" s="222">
        <v>0</v>
      </c>
      <c r="AE350" s="222">
        <v>0</v>
      </c>
      <c r="AF350" s="222">
        <v>0</v>
      </c>
      <c r="AG350" s="222">
        <v>0</v>
      </c>
      <c r="AH350" s="78"/>
      <c r="AI350" s="60"/>
      <c r="AJ350" s="48"/>
      <c r="AK350" s="48"/>
      <c r="AL350" s="48"/>
    </row>
    <row r="351" spans="1:38" outlineLevel="3" x14ac:dyDescent="0.25">
      <c r="A351" s="48"/>
      <c r="B351" s="57"/>
      <c r="C351" s="92">
        <f t="shared" si="77"/>
        <v>4</v>
      </c>
      <c r="D351" s="78"/>
      <c r="E351" s="73"/>
      <c r="F351" s="73"/>
      <c r="G351" s="78"/>
      <c r="H351" s="81" t="s">
        <v>457</v>
      </c>
      <c r="I351" s="104">
        <v>1</v>
      </c>
      <c r="J351" s="101" t="str">
        <f t="shared" si="76"/>
        <v>adj head</v>
      </c>
      <c r="K351" s="217">
        <v>1.2</v>
      </c>
      <c r="L351" s="222">
        <v>0</v>
      </c>
      <c r="M351" s="219">
        <v>0</v>
      </c>
      <c r="N351" s="219">
        <v>800</v>
      </c>
      <c r="O351" s="81"/>
      <c r="P351" s="102">
        <v>0.05</v>
      </c>
      <c r="Q351" s="219">
        <v>0</v>
      </c>
      <c r="R351" s="219">
        <v>0</v>
      </c>
      <c r="S351" s="81"/>
      <c r="T351" s="222">
        <v>0</v>
      </c>
      <c r="U351" s="222">
        <v>0</v>
      </c>
      <c r="V351" s="222">
        <v>0</v>
      </c>
      <c r="W351" s="222">
        <v>0</v>
      </c>
      <c r="X351" s="222">
        <v>0</v>
      </c>
      <c r="Y351" s="222">
        <v>0</v>
      </c>
      <c r="Z351" s="222">
        <v>0</v>
      </c>
      <c r="AA351" s="222">
        <v>0</v>
      </c>
      <c r="AB351" s="222">
        <v>0</v>
      </c>
      <c r="AC351" s="222">
        <v>0</v>
      </c>
      <c r="AD351" s="222">
        <v>0</v>
      </c>
      <c r="AE351" s="222">
        <v>0</v>
      </c>
      <c r="AF351" s="222">
        <v>0</v>
      </c>
      <c r="AG351" s="222">
        <v>0</v>
      </c>
      <c r="AH351" s="78"/>
      <c r="AI351" s="60"/>
      <c r="AJ351" s="48"/>
      <c r="AK351" s="48"/>
      <c r="AL351" s="48"/>
    </row>
    <row r="352" spans="1:38" outlineLevel="3" x14ac:dyDescent="0.25">
      <c r="A352" s="48"/>
      <c r="B352" s="57"/>
      <c r="C352" s="92">
        <f t="shared" si="77"/>
        <v>4</v>
      </c>
      <c r="D352" s="78"/>
      <c r="E352" s="73"/>
      <c r="F352" s="73"/>
      <c r="G352" s="78"/>
      <c r="H352" s="81" t="s">
        <v>458</v>
      </c>
      <c r="I352" s="104">
        <v>0</v>
      </c>
      <c r="J352" s="101" t="str">
        <f t="shared" si="76"/>
        <v>head</v>
      </c>
      <c r="K352" s="217">
        <v>0</v>
      </c>
      <c r="L352" s="222">
        <v>0</v>
      </c>
      <c r="M352" s="219">
        <v>0</v>
      </c>
      <c r="N352" s="219">
        <v>500</v>
      </c>
      <c r="O352" s="81"/>
      <c r="P352" s="102">
        <v>0.1</v>
      </c>
      <c r="Q352" s="219">
        <v>0</v>
      </c>
      <c r="R352" s="219">
        <v>0</v>
      </c>
      <c r="S352" s="81"/>
      <c r="T352" s="222">
        <v>0</v>
      </c>
      <c r="U352" s="222">
        <v>0</v>
      </c>
      <c r="V352" s="222">
        <v>0</v>
      </c>
      <c r="W352" s="222">
        <v>0</v>
      </c>
      <c r="X352" s="222">
        <v>0</v>
      </c>
      <c r="Y352" s="222">
        <v>0</v>
      </c>
      <c r="Z352" s="222">
        <v>0</v>
      </c>
      <c r="AA352" s="222">
        <v>0</v>
      </c>
      <c r="AB352" s="222">
        <v>0</v>
      </c>
      <c r="AC352" s="221">
        <v>1</v>
      </c>
      <c r="AD352" s="222">
        <v>0</v>
      </c>
      <c r="AE352" s="222">
        <v>0</v>
      </c>
      <c r="AF352" s="222">
        <v>0</v>
      </c>
      <c r="AG352" s="222">
        <v>0</v>
      </c>
      <c r="AH352" s="78"/>
      <c r="AI352" s="60"/>
      <c r="AJ352" s="48"/>
      <c r="AK352" s="48"/>
      <c r="AL352" s="48"/>
    </row>
    <row r="353" spans="1:38" outlineLevel="3" x14ac:dyDescent="0.25">
      <c r="A353" s="48"/>
      <c r="B353" s="57"/>
      <c r="C353" s="92">
        <f t="shared" si="77"/>
        <v>4</v>
      </c>
      <c r="D353" s="78"/>
      <c r="E353" s="73"/>
      <c r="F353" s="73"/>
      <c r="G353" s="78"/>
      <c r="H353" s="81" t="s">
        <v>459</v>
      </c>
      <c r="I353" s="104">
        <v>1</v>
      </c>
      <c r="J353" s="101" t="str">
        <f t="shared" si="76"/>
        <v>adj head</v>
      </c>
      <c r="K353" s="217">
        <v>7</v>
      </c>
      <c r="L353" s="222">
        <v>0</v>
      </c>
      <c r="M353" s="219">
        <v>0</v>
      </c>
      <c r="N353" s="219">
        <v>300</v>
      </c>
      <c r="O353" s="81"/>
      <c r="P353" s="102">
        <v>0.55000000000000004</v>
      </c>
      <c r="Q353" s="219">
        <v>0</v>
      </c>
      <c r="R353" s="219">
        <v>1</v>
      </c>
      <c r="S353" s="81"/>
      <c r="T353" s="222">
        <v>0</v>
      </c>
      <c r="U353" s="222">
        <v>0</v>
      </c>
      <c r="V353" s="222">
        <v>0</v>
      </c>
      <c r="W353" s="222">
        <v>0</v>
      </c>
      <c r="X353" s="222">
        <v>0</v>
      </c>
      <c r="Y353" s="222">
        <v>0</v>
      </c>
      <c r="Z353" s="222">
        <v>0</v>
      </c>
      <c r="AA353" s="222">
        <v>0</v>
      </c>
      <c r="AB353" s="222">
        <v>0</v>
      </c>
      <c r="AC353" s="222">
        <v>0</v>
      </c>
      <c r="AD353" s="222">
        <v>0</v>
      </c>
      <c r="AE353" s="222">
        <v>0</v>
      </c>
      <c r="AF353" s="221">
        <v>1</v>
      </c>
      <c r="AG353" s="222">
        <v>0</v>
      </c>
      <c r="AH353" s="78"/>
      <c r="AI353" s="60"/>
      <c r="AJ353" s="48"/>
      <c r="AK353" s="48"/>
      <c r="AL353" s="48"/>
    </row>
    <row r="354" spans="1:38" outlineLevel="3" x14ac:dyDescent="0.25">
      <c r="A354" s="48"/>
      <c r="B354" s="57"/>
      <c r="C354" s="92">
        <f t="shared" si="77"/>
        <v>4</v>
      </c>
      <c r="D354" s="78"/>
      <c r="E354" s="73"/>
      <c r="F354" s="73"/>
      <c r="G354" s="78"/>
      <c r="H354" s="81" t="s">
        <v>460</v>
      </c>
      <c r="I354" s="104">
        <v>0</v>
      </c>
      <c r="J354" s="101" t="str">
        <f t="shared" si="76"/>
        <v>head</v>
      </c>
      <c r="K354" s="217">
        <v>0</v>
      </c>
      <c r="L354" s="222">
        <v>0</v>
      </c>
      <c r="M354" s="219">
        <v>0</v>
      </c>
      <c r="N354" s="219">
        <v>800</v>
      </c>
      <c r="O354" s="81"/>
      <c r="P354" s="102">
        <v>0</v>
      </c>
      <c r="Q354" s="219">
        <v>0</v>
      </c>
      <c r="R354" s="219">
        <v>0</v>
      </c>
      <c r="S354" s="81"/>
      <c r="T354" s="222">
        <v>0</v>
      </c>
      <c r="U354" s="222">
        <v>0</v>
      </c>
      <c r="V354" s="222">
        <v>0</v>
      </c>
      <c r="W354" s="222">
        <v>0</v>
      </c>
      <c r="X354" s="222">
        <v>0</v>
      </c>
      <c r="Y354" s="222">
        <v>0</v>
      </c>
      <c r="Z354" s="222">
        <v>0</v>
      </c>
      <c r="AA354" s="222">
        <v>0</v>
      </c>
      <c r="AB354" s="222">
        <v>0</v>
      </c>
      <c r="AC354" s="222">
        <v>0</v>
      </c>
      <c r="AD354" s="221">
        <v>0.5</v>
      </c>
      <c r="AE354" s="222">
        <v>0</v>
      </c>
      <c r="AF354" s="222">
        <v>0</v>
      </c>
      <c r="AG354" s="222">
        <v>0</v>
      </c>
      <c r="AH354" s="78"/>
      <c r="AI354" s="60"/>
      <c r="AJ354" s="48"/>
      <c r="AK354" s="48"/>
      <c r="AL354" s="48"/>
    </row>
    <row r="355" spans="1:38" outlineLevel="3" x14ac:dyDescent="0.25">
      <c r="A355" s="48"/>
      <c r="B355" s="57"/>
      <c r="C355" s="92">
        <f t="shared" si="77"/>
        <v>4</v>
      </c>
      <c r="D355" s="78"/>
      <c r="E355" s="73"/>
      <c r="F355" s="73"/>
      <c r="G355" s="78"/>
      <c r="H355" s="81" t="s">
        <v>461</v>
      </c>
      <c r="I355" s="104">
        <v>2</v>
      </c>
      <c r="J355" s="101" t="str">
        <f t="shared" si="76"/>
        <v>mob</v>
      </c>
      <c r="K355" s="217">
        <v>0</v>
      </c>
      <c r="L355" s="223">
        <v>0</v>
      </c>
      <c r="M355" s="224">
        <v>2</v>
      </c>
      <c r="N355" s="224">
        <v>0</v>
      </c>
      <c r="O355" s="81"/>
      <c r="P355" s="102">
        <v>0</v>
      </c>
      <c r="Q355" s="224">
        <v>0</v>
      </c>
      <c r="R355" s="224">
        <v>0</v>
      </c>
      <c r="S355" s="81"/>
      <c r="T355" s="222">
        <v>0</v>
      </c>
      <c r="U355" s="222">
        <v>0</v>
      </c>
      <c r="V355" s="222">
        <v>0</v>
      </c>
      <c r="W355" s="222">
        <v>0</v>
      </c>
      <c r="X355" s="222">
        <v>0</v>
      </c>
      <c r="Y355" s="222">
        <v>0</v>
      </c>
      <c r="Z355" s="222">
        <v>0</v>
      </c>
      <c r="AA355" s="222">
        <v>0</v>
      </c>
      <c r="AB355" s="222">
        <v>0</v>
      </c>
      <c r="AC355" s="222">
        <v>0</v>
      </c>
      <c r="AD355" s="222">
        <v>0</v>
      </c>
      <c r="AE355" s="222">
        <v>0</v>
      </c>
      <c r="AF355" s="222">
        <v>0</v>
      </c>
      <c r="AG355" s="221">
        <f>1/SUM($L355:$N355)</f>
        <v>0.5</v>
      </c>
      <c r="AH355" s="78"/>
      <c r="AI355" s="60"/>
      <c r="AJ355" s="48"/>
      <c r="AK355" s="48"/>
      <c r="AL355" s="48"/>
    </row>
    <row r="356" spans="1:38" outlineLevel="3" x14ac:dyDescent="0.25">
      <c r="A356" s="48"/>
      <c r="B356" s="57"/>
      <c r="C356" s="92">
        <f t="shared" si="77"/>
        <v>4</v>
      </c>
      <c r="D356" s="78"/>
      <c r="E356" s="73"/>
      <c r="F356" s="73"/>
      <c r="G356" s="78"/>
      <c r="H356" s="81" t="s">
        <v>2530</v>
      </c>
      <c r="I356" s="104">
        <v>2</v>
      </c>
      <c r="J356" s="101" t="str">
        <f t="shared" si="76"/>
        <v>mob</v>
      </c>
      <c r="K356" s="217">
        <v>0</v>
      </c>
      <c r="L356" s="223">
        <v>0</v>
      </c>
      <c r="M356" s="224">
        <v>0</v>
      </c>
      <c r="N356" s="224">
        <f>2/3</f>
        <v>0.66666666666666663</v>
      </c>
      <c r="O356" s="81"/>
      <c r="P356" s="102">
        <v>0</v>
      </c>
      <c r="Q356" s="224">
        <v>0</v>
      </c>
      <c r="R356" s="224">
        <v>0</v>
      </c>
      <c r="S356" s="81"/>
      <c r="T356" s="222">
        <v>0</v>
      </c>
      <c r="U356" s="222">
        <v>0</v>
      </c>
      <c r="V356" s="222">
        <v>0</v>
      </c>
      <c r="W356" s="222">
        <v>0</v>
      </c>
      <c r="X356" s="222">
        <v>0</v>
      </c>
      <c r="Y356" s="222">
        <v>0</v>
      </c>
      <c r="Z356" s="222">
        <v>0</v>
      </c>
      <c r="AA356" s="222">
        <v>0</v>
      </c>
      <c r="AB356" s="222">
        <v>0</v>
      </c>
      <c r="AC356" s="222">
        <v>0</v>
      </c>
      <c r="AD356" s="222">
        <v>0</v>
      </c>
      <c r="AE356" s="222">
        <v>0</v>
      </c>
      <c r="AF356" s="222">
        <v>0</v>
      </c>
      <c r="AG356" s="221">
        <f>1/SUM($L356:$N356)</f>
        <v>1.5</v>
      </c>
      <c r="AH356" s="78"/>
      <c r="AI356" s="60"/>
      <c r="AJ356" s="48"/>
      <c r="AK356" s="48"/>
      <c r="AL356" s="48"/>
    </row>
    <row r="357" spans="1:38" outlineLevel="3" x14ac:dyDescent="0.25">
      <c r="A357" s="48"/>
      <c r="B357" s="57"/>
      <c r="C357" s="92">
        <f t="shared" si="77"/>
        <v>4</v>
      </c>
      <c r="D357" s="78"/>
      <c r="E357" s="73"/>
      <c r="F357" s="73"/>
      <c r="G357" s="78"/>
      <c r="H357" s="81" t="s">
        <v>2531</v>
      </c>
      <c r="I357" s="104">
        <v>2</v>
      </c>
      <c r="J357" s="101" t="str">
        <f t="shared" si="76"/>
        <v>mob</v>
      </c>
      <c r="K357" s="217">
        <v>0</v>
      </c>
      <c r="L357" s="223">
        <v>0</v>
      </c>
      <c r="M357" s="224">
        <v>2</v>
      </c>
      <c r="N357" s="224">
        <v>0</v>
      </c>
      <c r="O357" s="81"/>
      <c r="P357" s="102">
        <v>0</v>
      </c>
      <c r="Q357" s="224">
        <v>0</v>
      </c>
      <c r="R357" s="224">
        <v>0</v>
      </c>
      <c r="S357" s="81"/>
      <c r="T357" s="226">
        <v>0</v>
      </c>
      <c r="U357" s="226">
        <v>0</v>
      </c>
      <c r="V357" s="226">
        <v>0</v>
      </c>
      <c r="W357" s="226">
        <v>0</v>
      </c>
      <c r="X357" s="226">
        <v>0</v>
      </c>
      <c r="Y357" s="226">
        <v>0</v>
      </c>
      <c r="Z357" s="226">
        <v>0</v>
      </c>
      <c r="AA357" s="226">
        <v>0</v>
      </c>
      <c r="AB357" s="226">
        <v>0</v>
      </c>
      <c r="AC357" s="226">
        <v>0</v>
      </c>
      <c r="AD357" s="226">
        <v>0</v>
      </c>
      <c r="AE357" s="226">
        <v>0</v>
      </c>
      <c r="AF357" s="226">
        <v>0</v>
      </c>
      <c r="AG357" s="22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7"/>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7"/>
        <v>4</v>
      </c>
      <c r="D360" s="78"/>
      <c r="E360" s="73"/>
      <c r="F360" s="73"/>
      <c r="G360" s="78"/>
      <c r="H360" s="236" t="s">
        <v>419</v>
      </c>
      <c r="I360" s="290">
        <v>2</v>
      </c>
      <c r="J360" s="227" t="str">
        <f>INDEX($H$293:$H$301,I360+1,1)</f>
        <v>mob</v>
      </c>
      <c r="K360" s="236"/>
      <c r="L360" s="238">
        <v>0</v>
      </c>
      <c r="M360" s="289">
        <v>0</v>
      </c>
      <c r="N360" s="289">
        <f>4/3</f>
        <v>1.3333333333333333</v>
      </c>
      <c r="O360" s="236"/>
      <c r="P360" s="236"/>
      <c r="Q360" s="289">
        <v>1</v>
      </c>
      <c r="R360" s="289">
        <v>0</v>
      </c>
      <c r="S360" s="236"/>
      <c r="T360" s="240">
        <v>0</v>
      </c>
      <c r="U360" s="240">
        <v>0</v>
      </c>
      <c r="V360" s="240">
        <v>0</v>
      </c>
      <c r="W360" s="240">
        <v>0</v>
      </c>
      <c r="X360" s="240">
        <v>0</v>
      </c>
      <c r="Y360" s="240">
        <v>0</v>
      </c>
      <c r="Z360" s="240">
        <v>0</v>
      </c>
      <c r="AA360" s="240">
        <v>0</v>
      </c>
      <c r="AB360" s="240">
        <v>0</v>
      </c>
      <c r="AC360" s="240">
        <v>0</v>
      </c>
      <c r="AD360" s="240">
        <v>0</v>
      </c>
      <c r="AE360" s="240">
        <v>0</v>
      </c>
      <c r="AF360" s="240">
        <v>0</v>
      </c>
      <c r="AG360" s="24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7"/>
        <v>4</v>
      </c>
      <c r="D362" s="78"/>
      <c r="E362" s="73"/>
      <c r="F362" s="73"/>
      <c r="G362" s="78"/>
      <c r="H362" s="228" t="s">
        <v>462</v>
      </c>
      <c r="I362" s="228"/>
      <c r="J362" s="229" t="str">
        <f>INDEX($H$293:$H$301,I362+1,1)</f>
        <v>head</v>
      </c>
      <c r="K362" s="228"/>
      <c r="L362" s="230">
        <v>2</v>
      </c>
      <c r="M362" s="231">
        <v>0</v>
      </c>
      <c r="N362" s="232">
        <v>0</v>
      </c>
      <c r="O362" s="228"/>
      <c r="P362" s="228"/>
      <c r="Q362" s="228"/>
      <c r="R362" s="228"/>
      <c r="S362" s="228"/>
      <c r="T362" s="233">
        <v>0</v>
      </c>
      <c r="U362" s="233">
        <v>0</v>
      </c>
      <c r="V362" s="233">
        <v>0</v>
      </c>
      <c r="W362" s="233">
        <v>0</v>
      </c>
      <c r="X362" s="233">
        <v>0</v>
      </c>
      <c r="Y362" s="233">
        <v>0</v>
      </c>
      <c r="Z362" s="233">
        <v>0</v>
      </c>
      <c r="AA362" s="233">
        <v>0</v>
      </c>
      <c r="AB362" s="233">
        <v>0</v>
      </c>
      <c r="AC362" s="233">
        <v>0</v>
      </c>
      <c r="AD362" s="233">
        <v>0</v>
      </c>
      <c r="AE362" s="233">
        <v>0</v>
      </c>
      <c r="AF362" s="233">
        <v>0</v>
      </c>
      <c r="AG362" s="234">
        <f>1/SUM($L362:$N362)</f>
        <v>0.5</v>
      </c>
      <c r="AH362" s="78"/>
      <c r="AI362" s="60"/>
      <c r="AJ362" s="48"/>
      <c r="AK362" s="48"/>
      <c r="AL362" s="48"/>
    </row>
    <row r="363" spans="1:38" outlineLevel="3" x14ac:dyDescent="0.25">
      <c r="A363" s="48"/>
      <c r="B363" s="57"/>
      <c r="C363" s="92">
        <f t="shared" si="77"/>
        <v>4</v>
      </c>
      <c r="D363" s="78"/>
      <c r="E363" s="73"/>
      <c r="F363" s="73"/>
      <c r="G363" s="78"/>
      <c r="H363" s="114" t="s">
        <v>463</v>
      </c>
      <c r="I363" s="114"/>
      <c r="J363" s="101" t="str">
        <f>INDEX($H$293:$H$301,I363+1,1)</f>
        <v>head</v>
      </c>
      <c r="K363" s="114"/>
      <c r="L363" s="224">
        <v>4</v>
      </c>
      <c r="M363" s="235">
        <v>0</v>
      </c>
      <c r="N363" s="223">
        <v>0</v>
      </c>
      <c r="O363" s="114"/>
      <c r="P363" s="114"/>
      <c r="Q363" s="114"/>
      <c r="R363" s="114"/>
      <c r="S363" s="114"/>
      <c r="T363" s="222">
        <v>0</v>
      </c>
      <c r="U363" s="222">
        <v>0</v>
      </c>
      <c r="V363" s="222">
        <v>0</v>
      </c>
      <c r="W363" s="222">
        <v>0</v>
      </c>
      <c r="X363" s="222">
        <v>0</v>
      </c>
      <c r="Y363" s="222">
        <v>0</v>
      </c>
      <c r="Z363" s="222">
        <v>0</v>
      </c>
      <c r="AA363" s="222">
        <v>0</v>
      </c>
      <c r="AB363" s="222">
        <v>0</v>
      </c>
      <c r="AC363" s="222">
        <v>0</v>
      </c>
      <c r="AD363" s="222">
        <v>0</v>
      </c>
      <c r="AE363" s="222">
        <v>0</v>
      </c>
      <c r="AF363" s="222">
        <v>0</v>
      </c>
      <c r="AG363" s="222">
        <v>0</v>
      </c>
      <c r="AH363" s="78"/>
      <c r="AI363" s="60"/>
      <c r="AJ363" s="48"/>
      <c r="AK363" s="48"/>
      <c r="AL363" s="48"/>
    </row>
    <row r="364" spans="1:38" outlineLevel="3" x14ac:dyDescent="0.25">
      <c r="A364" s="48"/>
      <c r="B364" s="57"/>
      <c r="C364" s="92">
        <f t="shared" si="77"/>
        <v>4</v>
      </c>
      <c r="D364" s="78"/>
      <c r="E364" s="73"/>
      <c r="F364" s="73"/>
      <c r="G364" s="78"/>
      <c r="H364" s="236" t="s">
        <v>464</v>
      </c>
      <c r="I364" s="236"/>
      <c r="J364" s="237" t="str">
        <f>INDEX($H$293:$H$301,I364+1,1)</f>
        <v>head</v>
      </c>
      <c r="K364" s="236"/>
      <c r="L364" s="238">
        <v>0</v>
      </c>
      <c r="M364" s="239">
        <v>0</v>
      </c>
      <c r="N364" s="225">
        <f>$N$360/(0.5*0.33)</f>
        <v>8.0808080808080796</v>
      </c>
      <c r="O364" s="236"/>
      <c r="P364" s="236"/>
      <c r="Q364" s="236"/>
      <c r="R364" s="236"/>
      <c r="S364" s="236"/>
      <c r="T364" s="240">
        <v>0</v>
      </c>
      <c r="U364" s="240">
        <v>0</v>
      </c>
      <c r="V364" s="240">
        <v>0</v>
      </c>
      <c r="W364" s="240">
        <v>0</v>
      </c>
      <c r="X364" s="240">
        <v>0</v>
      </c>
      <c r="Y364" s="240">
        <v>0</v>
      </c>
      <c r="Z364" s="240">
        <v>0</v>
      </c>
      <c r="AA364" s="240">
        <v>0</v>
      </c>
      <c r="AB364" s="240">
        <v>0</v>
      </c>
      <c r="AC364" s="240">
        <v>0</v>
      </c>
      <c r="AD364" s="240">
        <v>0</v>
      </c>
      <c r="AE364" s="240">
        <v>0</v>
      </c>
      <c r="AF364" s="240">
        <v>0</v>
      </c>
      <c r="AG364" s="24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42"/>
      <c r="Z372" s="242"/>
      <c r="AA372" s="242"/>
      <c r="AB372" s="242"/>
      <c r="AC372" s="242"/>
      <c r="AD372" s="242"/>
      <c r="AE372" s="242"/>
      <c r="AF372" s="242"/>
      <c r="AG372" s="24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43"/>
      <c r="Z373" s="243"/>
      <c r="AA373" s="243"/>
      <c r="AB373" s="243"/>
      <c r="AC373" s="243"/>
      <c r="AD373" s="243"/>
      <c r="AE373" s="243"/>
      <c r="AF373" s="243"/>
      <c r="AG373" s="24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44"/>
      <c r="Z374" s="244"/>
      <c r="AA374" s="244"/>
      <c r="AB374" s="244"/>
      <c r="AC374" s="244"/>
      <c r="AD374" s="244"/>
      <c r="AE374" s="244"/>
      <c r="AF374" s="244"/>
      <c r="AG374" s="24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465</v>
      </c>
      <c r="I375" s="71"/>
      <c r="J375" s="71"/>
      <c r="K375" s="71"/>
      <c r="L375" s="71"/>
      <c r="M375" s="71"/>
      <c r="N375" s="71"/>
      <c r="O375" s="71"/>
      <c r="P375" s="71"/>
      <c r="Q375" s="71"/>
      <c r="R375" s="71"/>
      <c r="S375" s="71"/>
      <c r="T375" s="71"/>
      <c r="U375" s="71"/>
      <c r="V375" s="71"/>
      <c r="W375" s="71"/>
      <c r="X375" s="71"/>
      <c r="Y375" s="245"/>
      <c r="Z375" s="245"/>
      <c r="AA375" s="245"/>
      <c r="AB375" s="245"/>
      <c r="AC375" s="245"/>
      <c r="AD375" s="245"/>
      <c r="AE375" s="245"/>
      <c r="AF375" s="245"/>
      <c r="AG375" s="24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46" t="s">
        <v>2325</v>
      </c>
      <c r="K378" s="246"/>
      <c r="L378" s="246"/>
      <c r="M378" s="75" t="s">
        <v>466</v>
      </c>
      <c r="N378" s="293"/>
      <c r="O378" s="294"/>
      <c r="P378" s="293"/>
      <c r="Q378" s="294"/>
      <c r="R378" s="293"/>
      <c r="S378" s="294"/>
      <c r="T378" s="297"/>
      <c r="U378" s="26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47" t="s">
        <v>467</v>
      </c>
      <c r="K379" s="247" t="s">
        <v>468</v>
      </c>
      <c r="L379" s="247" t="s">
        <v>469</v>
      </c>
      <c r="M379" s="75" t="s">
        <v>470</v>
      </c>
      <c r="N379" s="295" t="s">
        <v>348</v>
      </c>
      <c r="O379" s="296"/>
      <c r="P379" s="295" t="s">
        <v>349</v>
      </c>
      <c r="Q379" s="296"/>
      <c r="R379" s="295" t="s">
        <v>471</v>
      </c>
      <c r="S379" s="296"/>
      <c r="T379" s="295" t="s">
        <v>350</v>
      </c>
      <c r="U379" s="29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2323</v>
      </c>
      <c r="I380" s="75"/>
      <c r="J380" s="75">
        <v>0</v>
      </c>
      <c r="K380" s="75">
        <v>1</v>
      </c>
      <c r="L380" s="75">
        <v>2</v>
      </c>
      <c r="M380" s="75" t="s">
        <v>472</v>
      </c>
      <c r="N380" s="297"/>
      <c r="O380" s="263"/>
      <c r="P380" s="297"/>
      <c r="Q380" s="263"/>
      <c r="R380" s="297"/>
      <c r="S380" s="263"/>
      <c r="T380" s="297"/>
      <c r="U380" s="26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298"/>
      <c r="O381" s="299"/>
      <c r="P381" s="298"/>
      <c r="Q381" s="299"/>
      <c r="R381" s="298"/>
      <c r="S381" s="299"/>
      <c r="T381" s="298"/>
      <c r="U381" s="29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473</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474</v>
      </c>
      <c r="I386" s="102" t="b">
        <v>0</v>
      </c>
      <c r="J386" s="81"/>
      <c r="K386" s="81"/>
      <c r="L386" s="81"/>
      <c r="M386" s="81"/>
      <c r="N386" s="248" t="s">
        <v>2324</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49" t="s">
        <v>174</v>
      </c>
      <c r="J387" s="248" t="s">
        <v>475</v>
      </c>
      <c r="K387" s="100"/>
      <c r="L387" s="100"/>
      <c r="M387" s="81"/>
      <c r="N387" s="101" t="s">
        <v>476</v>
      </c>
      <c r="O387" s="250" t="s">
        <v>477</v>
      </c>
      <c r="P387" s="101" t="s">
        <v>476</v>
      </c>
      <c r="Q387" s="250" t="s">
        <v>477</v>
      </c>
      <c r="R387" s="101" t="s">
        <v>476</v>
      </c>
      <c r="S387" s="250" t="s">
        <v>477</v>
      </c>
      <c r="T387" s="101" t="s">
        <v>476</v>
      </c>
      <c r="U387" s="250" t="s">
        <v>477</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05" t="s">
        <v>478</v>
      </c>
      <c r="I388" s="195">
        <v>0</v>
      </c>
      <c r="J388" s="84" t="b">
        <v>1</v>
      </c>
      <c r="K388" s="84" t="b">
        <v>1</v>
      </c>
      <c r="L388" s="84" t="b">
        <v>1</v>
      </c>
      <c r="M388" s="84">
        <v>1</v>
      </c>
      <c r="N388" s="326">
        <v>0</v>
      </c>
      <c r="O388" s="326">
        <v>0</v>
      </c>
      <c r="P388" s="104">
        <v>0</v>
      </c>
      <c r="Q388" s="104">
        <v>0</v>
      </c>
      <c r="R388" s="326">
        <v>0</v>
      </c>
      <c r="S388" s="326">
        <v>0</v>
      </c>
      <c r="T388" s="326">
        <v>0</v>
      </c>
      <c r="U388" s="32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05" t="s">
        <v>479</v>
      </c>
      <c r="I389" s="101">
        <v>1</v>
      </c>
      <c r="J389" s="84" t="b">
        <v>1</v>
      </c>
      <c r="K389" s="84" t="b">
        <v>1</v>
      </c>
      <c r="L389" s="84" t="b">
        <v>0</v>
      </c>
      <c r="M389" s="84">
        <v>1</v>
      </c>
      <c r="N389" s="326">
        <v>0</v>
      </c>
      <c r="O389" s="326">
        <v>0</v>
      </c>
      <c r="P389" s="326">
        <v>0</v>
      </c>
      <c r="Q389" s="326">
        <v>0</v>
      </c>
      <c r="R389" s="327">
        <v>1</v>
      </c>
      <c r="S389" s="327">
        <v>1</v>
      </c>
      <c r="T389" s="326">
        <v>0</v>
      </c>
      <c r="U389" s="32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8">INT($C$374)+3</f>
        <v>4</v>
      </c>
      <c r="D390" s="78"/>
      <c r="E390" s="73"/>
      <c r="F390" s="73"/>
      <c r="G390" s="78"/>
      <c r="H390" s="305" t="s">
        <v>480</v>
      </c>
      <c r="I390" s="195">
        <v>2</v>
      </c>
      <c r="J390" s="84" t="b">
        <v>1</v>
      </c>
      <c r="K390" s="84" t="b">
        <v>1</v>
      </c>
      <c r="L390" s="84" t="b">
        <v>0</v>
      </c>
      <c r="M390" s="84">
        <v>1</v>
      </c>
      <c r="N390" s="327">
        <v>1</v>
      </c>
      <c r="O390" s="327">
        <v>1</v>
      </c>
      <c r="P390" s="327">
        <v>1</v>
      </c>
      <c r="Q390" s="327">
        <v>1</v>
      </c>
      <c r="R390" s="326">
        <v>0</v>
      </c>
      <c r="S390" s="326">
        <v>0</v>
      </c>
      <c r="T390" s="327">
        <v>1</v>
      </c>
      <c r="U390" s="32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8"/>
        <v>4</v>
      </c>
      <c r="D391" s="78"/>
      <c r="E391" s="73"/>
      <c r="F391" s="73"/>
      <c r="G391" s="78"/>
      <c r="H391" s="305" t="s">
        <v>2455</v>
      </c>
      <c r="I391" s="101">
        <v>3</v>
      </c>
      <c r="J391" s="84" t="b">
        <v>1</v>
      </c>
      <c r="K391" s="84" t="b">
        <v>1</v>
      </c>
      <c r="L391" s="84" t="b">
        <v>0</v>
      </c>
      <c r="M391" s="84">
        <v>1</v>
      </c>
      <c r="N391" s="326">
        <v>0</v>
      </c>
      <c r="O391" s="326">
        <v>0</v>
      </c>
      <c r="P391" s="327">
        <v>1</v>
      </c>
      <c r="Q391" s="327">
        <v>1</v>
      </c>
      <c r="R391" s="326">
        <v>0</v>
      </c>
      <c r="S391" s="326">
        <v>0</v>
      </c>
      <c r="T391" s="326">
        <v>0</v>
      </c>
      <c r="U391" s="32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8"/>
        <v>4</v>
      </c>
      <c r="D392" s="78"/>
      <c r="E392" s="73"/>
      <c r="F392" s="73"/>
      <c r="G392" s="78"/>
      <c r="H392" s="305" t="s">
        <v>481</v>
      </c>
      <c r="I392" s="195">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8"/>
        <v>4</v>
      </c>
      <c r="D393" s="78"/>
      <c r="E393" s="73"/>
      <c r="F393" s="73"/>
      <c r="G393" s="78"/>
      <c r="H393" s="305" t="s">
        <v>482</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8"/>
        <v>4</v>
      </c>
      <c r="D394" s="78"/>
      <c r="E394" s="73"/>
      <c r="F394" s="73"/>
      <c r="G394" s="78"/>
      <c r="H394" s="305" t="s">
        <v>483</v>
      </c>
      <c r="I394" s="195">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8"/>
        <v>4</v>
      </c>
      <c r="D395" s="78"/>
      <c r="E395" s="73"/>
      <c r="F395" s="73"/>
      <c r="G395" s="78"/>
      <c r="H395" s="305" t="s">
        <v>484</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8"/>
        <v>4</v>
      </c>
      <c r="D396" s="78"/>
      <c r="E396" s="73"/>
      <c r="F396" s="73"/>
      <c r="G396" s="78"/>
      <c r="H396" s="305" t="s">
        <v>485</v>
      </c>
      <c r="I396" s="195">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8"/>
        <v>4</v>
      </c>
      <c r="D397" s="78"/>
      <c r="E397" s="73"/>
      <c r="F397" s="73"/>
      <c r="G397" s="78"/>
      <c r="H397" s="305" t="s">
        <v>486</v>
      </c>
      <c r="I397" s="101">
        <v>9</v>
      </c>
      <c r="J397" s="84" t="b">
        <v>1</v>
      </c>
      <c r="K397" s="84" t="b">
        <v>0</v>
      </c>
      <c r="L397" s="84" t="b">
        <v>0</v>
      </c>
      <c r="M397" s="84">
        <v>2</v>
      </c>
      <c r="N397" s="326">
        <v>0</v>
      </c>
      <c r="O397" s="326">
        <v>0</v>
      </c>
      <c r="P397" s="326">
        <v>0</v>
      </c>
      <c r="Q397" s="326">
        <v>0</v>
      </c>
      <c r="R397" s="104">
        <v>0</v>
      </c>
      <c r="S397" s="104">
        <v>0</v>
      </c>
      <c r="T397" s="326">
        <v>0</v>
      </c>
      <c r="U397" s="32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8"/>
        <v>4</v>
      </c>
      <c r="D398" s="78"/>
      <c r="E398" s="73"/>
      <c r="F398" s="73"/>
      <c r="G398" s="78"/>
      <c r="H398" s="305" t="s">
        <v>487</v>
      </c>
      <c r="I398" s="195">
        <v>10</v>
      </c>
      <c r="J398" s="84" t="b">
        <v>1</v>
      </c>
      <c r="K398" s="84" t="b">
        <v>1</v>
      </c>
      <c r="L398" s="84" t="b">
        <v>0</v>
      </c>
      <c r="M398" s="84">
        <v>1</v>
      </c>
      <c r="N398" s="326">
        <v>0</v>
      </c>
      <c r="O398" s="326">
        <v>0</v>
      </c>
      <c r="P398" s="326">
        <v>0</v>
      </c>
      <c r="Q398" s="326">
        <v>0</v>
      </c>
      <c r="R398" s="327">
        <v>1</v>
      </c>
      <c r="S398" s="327">
        <v>1</v>
      </c>
      <c r="T398" s="326">
        <v>0</v>
      </c>
      <c r="U398" s="32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8"/>
        <v>4</v>
      </c>
      <c r="D399" s="78"/>
      <c r="E399" s="73"/>
      <c r="F399" s="73"/>
      <c r="G399" s="78"/>
      <c r="H399" s="305" t="s">
        <v>488</v>
      </c>
      <c r="I399" s="101">
        <v>11</v>
      </c>
      <c r="J399" s="84" t="b">
        <v>1</v>
      </c>
      <c r="K399" s="84" t="b">
        <v>1</v>
      </c>
      <c r="L399" s="84" t="b">
        <v>0</v>
      </c>
      <c r="M399" s="84">
        <v>1</v>
      </c>
      <c r="N399" s="326">
        <v>0</v>
      </c>
      <c r="O399" s="326">
        <v>0</v>
      </c>
      <c r="P399" s="326">
        <v>0</v>
      </c>
      <c r="Q399" s="326">
        <v>0</v>
      </c>
      <c r="R399" s="104">
        <v>0</v>
      </c>
      <c r="S399" s="104">
        <v>0</v>
      </c>
      <c r="T399" s="326">
        <v>0</v>
      </c>
      <c r="U399" s="32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8"/>
        <v>4</v>
      </c>
      <c r="D400" s="78"/>
      <c r="E400" s="73"/>
      <c r="F400" s="73"/>
      <c r="G400" s="78"/>
      <c r="H400" s="305" t="s">
        <v>489</v>
      </c>
      <c r="I400" s="195">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8"/>
        <v>4</v>
      </c>
      <c r="D401" s="78"/>
      <c r="E401" s="73"/>
      <c r="F401" s="73"/>
      <c r="G401" s="78"/>
      <c r="H401" s="328" t="s">
        <v>2327</v>
      </c>
      <c r="I401" s="195">
        <v>13</v>
      </c>
      <c r="J401" s="84" t="b">
        <v>0</v>
      </c>
      <c r="K401" s="84" t="b">
        <v>1</v>
      </c>
      <c r="L401" s="84" t="b">
        <v>0</v>
      </c>
      <c r="M401" s="84">
        <v>1</v>
      </c>
      <c r="N401" s="326">
        <v>0</v>
      </c>
      <c r="O401" s="326">
        <v>0</v>
      </c>
      <c r="P401" s="327">
        <v>1</v>
      </c>
      <c r="Q401" s="327">
        <v>1</v>
      </c>
      <c r="R401" s="326">
        <v>0</v>
      </c>
      <c r="S401" s="326">
        <v>0</v>
      </c>
      <c r="T401" s="326">
        <v>0</v>
      </c>
      <c r="U401" s="32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8"/>
        <v>4</v>
      </c>
      <c r="D402" s="78"/>
      <c r="E402" s="73"/>
      <c r="F402" s="73"/>
      <c r="G402" s="78"/>
      <c r="H402" s="374" t="s">
        <v>2411</v>
      </c>
      <c r="I402" s="195">
        <v>14</v>
      </c>
      <c r="J402" s="84" t="b">
        <v>1</v>
      </c>
      <c r="K402" s="84" t="b">
        <v>1</v>
      </c>
      <c r="L402" s="84" t="b">
        <v>0</v>
      </c>
      <c r="M402" s="84">
        <v>1</v>
      </c>
      <c r="N402" s="327">
        <v>1</v>
      </c>
      <c r="O402" s="327">
        <v>1</v>
      </c>
      <c r="P402" s="327">
        <v>1</v>
      </c>
      <c r="Q402" s="327">
        <v>1</v>
      </c>
      <c r="R402" s="327">
        <v>1</v>
      </c>
      <c r="S402" s="327">
        <v>1</v>
      </c>
      <c r="T402" s="327">
        <v>1</v>
      </c>
      <c r="U402" s="32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8"/>
        <v>4</v>
      </c>
      <c r="D403" s="78"/>
      <c r="E403" s="73"/>
      <c r="F403" s="73"/>
      <c r="G403" s="78"/>
      <c r="H403" s="374" t="s">
        <v>2456</v>
      </c>
      <c r="I403" s="101">
        <v>15</v>
      </c>
      <c r="J403" s="84" t="b">
        <v>1</v>
      </c>
      <c r="K403" s="84" t="b">
        <v>0</v>
      </c>
      <c r="L403" s="84" t="b">
        <v>0</v>
      </c>
      <c r="M403" s="84">
        <v>1</v>
      </c>
      <c r="N403" s="326">
        <v>0</v>
      </c>
      <c r="O403" s="326">
        <v>0</v>
      </c>
      <c r="P403" s="104">
        <v>0</v>
      </c>
      <c r="Q403" s="104">
        <v>0</v>
      </c>
      <c r="R403" s="326">
        <v>0</v>
      </c>
      <c r="S403" s="326">
        <v>0</v>
      </c>
      <c r="T403" s="326">
        <v>0</v>
      </c>
      <c r="U403" s="32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8"/>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8"/>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2">
    <mergeCell ref="J18:X18"/>
    <mergeCell ref="J21:X21"/>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abSelected="1" topLeftCell="A6" zoomScale="80" zoomScaleNormal="80" workbookViewId="0">
      <pane xSplit="10" ySplit="48" topLeftCell="O1267" activePane="bottomRight" state="frozen"/>
      <selection activeCell="A6" sqref="A6"/>
      <selection pane="topRight" activeCell="K6" sqref="K6"/>
      <selection pane="bottomLeft" activeCell="A54" sqref="A54"/>
      <selection pane="bottomRight" activeCell="Y1311" sqref="Y13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52"/>
      <c r="R13" s="252"/>
      <c r="S13" s="252"/>
      <c r="T13" s="252"/>
      <c r="U13" s="252"/>
      <c r="V13" s="252"/>
      <c r="W13" s="252"/>
      <c r="X13" s="252"/>
      <c r="Y13" s="252"/>
      <c r="Z13" s="252"/>
      <c r="AA13" s="252"/>
      <c r="AB13" s="252"/>
      <c r="AC13" s="252"/>
      <c r="AD13" s="252"/>
      <c r="AE13" s="252"/>
      <c r="AF13" s="252"/>
      <c r="AG13" s="25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53"/>
      <c r="R16" s="253"/>
      <c r="S16" s="253"/>
      <c r="T16" s="253"/>
      <c r="U16" s="253"/>
      <c r="V16" s="253"/>
      <c r="W16" s="253"/>
      <c r="X16" s="253"/>
      <c r="Y16" s="253"/>
      <c r="Z16" s="253"/>
      <c r="AA16" s="253"/>
      <c r="AB16" s="253"/>
      <c r="AC16" s="253"/>
      <c r="AD16" s="253"/>
      <c r="AE16" s="253"/>
      <c r="AF16" s="253"/>
      <c r="AG16" s="25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25">
        <v>44754.520636574074</v>
      </c>
      <c r="J18" s="493" t="s">
        <v>2779</v>
      </c>
      <c r="K18" s="494"/>
      <c r="L18" s="494"/>
      <c r="M18" s="494"/>
      <c r="N18" s="494"/>
      <c r="O18" s="494"/>
      <c r="P18" s="494"/>
      <c r="Q18" s="494"/>
      <c r="R18" s="494"/>
      <c r="S18" s="494"/>
      <c r="T18" s="494"/>
      <c r="U18" s="494"/>
      <c r="V18" s="494"/>
      <c r="W18" s="494"/>
      <c r="X18" s="494"/>
      <c r="Y18" s="494"/>
      <c r="Z18" s="425"/>
      <c r="AA18" s="425"/>
      <c r="AB18" s="426"/>
      <c r="AC18" s="343"/>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292">
        <v>44758.462886342597</v>
      </c>
      <c r="J21" s="495" t="s">
        <v>2785</v>
      </c>
      <c r="K21" s="496"/>
      <c r="L21" s="496"/>
      <c r="M21" s="496"/>
      <c r="N21" s="496"/>
      <c r="O21" s="496"/>
      <c r="P21" s="496"/>
      <c r="Q21" s="496"/>
      <c r="R21" s="496"/>
      <c r="S21" s="496"/>
      <c r="T21" s="496"/>
      <c r="U21" s="496"/>
      <c r="V21" s="496"/>
      <c r="W21" s="496"/>
      <c r="X21" s="496"/>
      <c r="Y21" s="496"/>
      <c r="Z21" s="427"/>
      <c r="AA21" s="427"/>
      <c r="AB21" s="428"/>
      <c r="AC21" s="343"/>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5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55" t="s">
        <v>266</v>
      </c>
      <c r="I41" s="71"/>
      <c r="J41" s="71"/>
      <c r="K41" s="71"/>
      <c r="L41" s="71"/>
      <c r="M41" s="71"/>
      <c r="N41" s="71"/>
      <c r="O41" s="71"/>
      <c r="P41" s="71"/>
      <c r="Q41" s="71"/>
      <c r="R41" s="71"/>
      <c r="S41" s="71"/>
      <c r="T41" s="256"/>
      <c r="U41" s="256"/>
      <c r="V41" s="256"/>
      <c r="W41" s="256"/>
      <c r="X41" s="256"/>
      <c r="Y41" s="256"/>
      <c r="Z41" s="256"/>
      <c r="AA41" s="256"/>
      <c r="AB41" s="256"/>
      <c r="AC41" s="256"/>
      <c r="AD41" s="256"/>
      <c r="AE41" s="256"/>
      <c r="AF41" s="256"/>
      <c r="AG41" s="25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57">
        <v>0</v>
      </c>
      <c r="V43" s="257">
        <v>1</v>
      </c>
      <c r="W43" s="257">
        <v>2</v>
      </c>
      <c r="X43" s="257">
        <v>3</v>
      </c>
      <c r="Y43" s="257">
        <v>4</v>
      </c>
      <c r="Z43" s="257">
        <v>5</v>
      </c>
      <c r="AA43" s="257">
        <v>6</v>
      </c>
      <c r="AB43" s="25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58" t="s">
        <v>492</v>
      </c>
      <c r="L44" s="258"/>
      <c r="M44" s="258"/>
      <c r="N44" s="258"/>
      <c r="O44" s="258"/>
      <c r="P44" s="258"/>
      <c r="Q44" s="75"/>
      <c r="R44" s="75"/>
      <c r="S44" s="75"/>
      <c r="T44" s="75"/>
      <c r="U44" s="259" t="s">
        <v>493</v>
      </c>
      <c r="V44" s="258"/>
      <c r="W44" s="258"/>
      <c r="X44" s="258"/>
      <c r="Y44" s="258"/>
      <c r="Z44" s="258"/>
      <c r="AA44" s="258"/>
      <c r="AB44" s="258"/>
      <c r="AC44" s="258"/>
      <c r="AD44" s="260"/>
      <c r="AE44" s="75"/>
      <c r="AF44" s="259" t="s">
        <v>494</v>
      </c>
      <c r="AG44" s="261"/>
      <c r="AH44" s="58"/>
      <c r="AI44" s="60"/>
      <c r="AJ44" s="48"/>
      <c r="AK44" s="48"/>
      <c r="AL44" s="48"/>
    </row>
    <row r="45" spans="1:38" outlineLevel="1" x14ac:dyDescent="0.25">
      <c r="A45" s="48"/>
      <c r="B45" s="57"/>
      <c r="C45" s="50">
        <f>INT($C$40)+2</f>
        <v>3</v>
      </c>
      <c r="D45" s="58"/>
      <c r="E45" s="73"/>
      <c r="F45" s="73"/>
      <c r="G45" s="58"/>
      <c r="H45" s="75"/>
      <c r="I45" s="75"/>
      <c r="J45" s="75"/>
      <c r="K45" s="258" t="s">
        <v>495</v>
      </c>
      <c r="L45" s="258"/>
      <c r="M45" s="258" t="s">
        <v>496</v>
      </c>
      <c r="N45" s="258"/>
      <c r="O45" s="258"/>
      <c r="P45" s="258"/>
      <c r="Q45" s="75"/>
      <c r="R45" s="75"/>
      <c r="S45" s="75"/>
      <c r="T45" s="75"/>
      <c r="U45" s="259" t="s">
        <v>497</v>
      </c>
      <c r="V45" s="258"/>
      <c r="W45" s="258"/>
      <c r="X45" s="258"/>
      <c r="Y45" s="258" t="s">
        <v>498</v>
      </c>
      <c r="Z45" s="258"/>
      <c r="AA45" s="75" t="s">
        <v>499</v>
      </c>
      <c r="AB45" s="75" t="s">
        <v>500</v>
      </c>
      <c r="AC45" s="75"/>
      <c r="AD45" s="75"/>
      <c r="AE45" s="75"/>
      <c r="AF45" s="259" t="s">
        <v>501</v>
      </c>
      <c r="AG45" s="261"/>
      <c r="AH45" s="58"/>
      <c r="AI45" s="60"/>
      <c r="AJ45" s="48"/>
      <c r="AK45" s="48"/>
      <c r="AL45" s="48"/>
    </row>
    <row r="46" spans="1:38" ht="15" customHeight="1" outlineLevel="1" x14ac:dyDescent="0.25">
      <c r="A46" s="48"/>
      <c r="B46" s="57"/>
      <c r="C46" s="50">
        <f>INT($C$40)+2</f>
        <v>3</v>
      </c>
      <c r="D46" s="58"/>
      <c r="E46" s="73"/>
      <c r="F46" s="73" t="s">
        <v>502</v>
      </c>
      <c r="G46" s="58"/>
      <c r="H46" s="75" t="s">
        <v>503</v>
      </c>
      <c r="I46" s="75" t="s">
        <v>504</v>
      </c>
      <c r="J46" s="75"/>
      <c r="K46" s="75" t="s">
        <v>505</v>
      </c>
      <c r="L46" s="75" t="s">
        <v>506</v>
      </c>
      <c r="M46" s="75" t="s">
        <v>507</v>
      </c>
      <c r="N46" s="75" t="s">
        <v>508</v>
      </c>
      <c r="O46" s="262" t="s">
        <v>509</v>
      </c>
      <c r="P46" s="75" t="s">
        <v>510</v>
      </c>
      <c r="Q46" s="75"/>
      <c r="R46" s="75" t="s">
        <v>511</v>
      </c>
      <c r="S46" s="75" t="s">
        <v>512</v>
      </c>
      <c r="T46" s="75"/>
      <c r="U46" s="263" t="s">
        <v>513</v>
      </c>
      <c r="V46" s="75" t="s">
        <v>514</v>
      </c>
      <c r="W46" s="75" t="s">
        <v>2398</v>
      </c>
      <c r="X46" s="75" t="s">
        <v>515</v>
      </c>
      <c r="Y46" s="75" t="s">
        <v>516</v>
      </c>
      <c r="Z46" s="75" t="s">
        <v>517</v>
      </c>
      <c r="AA46" s="75" t="s">
        <v>518</v>
      </c>
      <c r="AB46" s="75" t="s">
        <v>519</v>
      </c>
      <c r="AC46" s="75"/>
      <c r="AD46" s="75" t="s">
        <v>520</v>
      </c>
      <c r="AE46" s="75"/>
      <c r="AF46" s="259" t="s">
        <v>521</v>
      </c>
      <c r="AG46" s="26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369">
        <v>0</v>
      </c>
      <c r="V47" s="369">
        <v>1</v>
      </c>
      <c r="W47" s="369">
        <v>2</v>
      </c>
      <c r="X47" s="369">
        <v>3</v>
      </c>
      <c r="Y47" s="369">
        <v>4</v>
      </c>
      <c r="Z47" s="369">
        <v>5</v>
      </c>
      <c r="AA47" s="369">
        <v>6</v>
      </c>
      <c r="AB47" s="369">
        <v>7</v>
      </c>
      <c r="AC47" s="75"/>
      <c r="AD47" s="75"/>
      <c r="AE47" s="75"/>
      <c r="AF47" s="264" t="s">
        <v>522</v>
      </c>
      <c r="AG47" s="264" t="s">
        <v>523</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53"/>
      <c r="AH50" s="78"/>
      <c r="AI50" s="60"/>
      <c r="AJ50" s="48"/>
      <c r="AK50" s="48"/>
      <c r="AL50" s="48"/>
    </row>
    <row r="51" spans="1:38" outlineLevel="1" x14ac:dyDescent="0.25">
      <c r="A51" s="48"/>
      <c r="B51" s="57"/>
      <c r="C51" s="50">
        <f>INT($C$40)+2</f>
        <v>3</v>
      </c>
      <c r="D51" s="78"/>
      <c r="E51" s="73"/>
      <c r="F51" s="73"/>
      <c r="G51" s="78"/>
      <c r="H51" s="265"/>
      <c r="I51" s="101"/>
      <c r="J51" s="101"/>
      <c r="K51" s="81"/>
      <c r="L51" s="81"/>
      <c r="M51" s="81"/>
      <c r="N51" s="81"/>
      <c r="O51" s="81"/>
      <c r="P51" s="81"/>
      <c r="Q51" s="81"/>
      <c r="R51" s="81"/>
      <c r="S51" s="81"/>
      <c r="T51" s="81"/>
      <c r="U51" s="266"/>
      <c r="V51" s="266"/>
      <c r="W51" s="266"/>
      <c r="X51" s="266"/>
      <c r="Y51" s="266"/>
      <c r="Z51" s="266"/>
      <c r="AA51" s="266"/>
      <c r="AB51" s="266"/>
      <c r="AC51" s="81"/>
      <c r="AD51" s="81"/>
      <c r="AE51" s="81" t="s">
        <v>524</v>
      </c>
      <c r="AF51" s="81" t="b">
        <v>1</v>
      </c>
      <c r="AG51" s="102" t="b">
        <v>0</v>
      </c>
      <c r="AH51" s="78"/>
      <c r="AI51" s="60"/>
      <c r="AJ51" s="48"/>
      <c r="AK51" s="48"/>
      <c r="AL51" s="48"/>
    </row>
    <row r="52" spans="1:38" outlineLevel="1" x14ac:dyDescent="0.25">
      <c r="A52" s="48"/>
      <c r="B52" s="57"/>
      <c r="C52" s="50">
        <f>INT($C$40)+2</f>
        <v>3</v>
      </c>
      <c r="D52" s="78"/>
      <c r="E52" s="73"/>
      <c r="F52" s="73"/>
      <c r="G52" s="78"/>
      <c r="H52" s="265"/>
      <c r="I52" s="101"/>
      <c r="J52" s="101"/>
      <c r="K52" s="81"/>
      <c r="L52" s="81"/>
      <c r="M52" s="81"/>
      <c r="N52" s="81"/>
      <c r="O52" s="81"/>
      <c r="P52" s="81"/>
      <c r="Q52" s="81"/>
      <c r="R52" s="81"/>
      <c r="S52" s="81"/>
      <c r="T52" s="81"/>
      <c r="U52" s="266"/>
      <c r="V52" s="266"/>
      <c r="W52" s="266"/>
      <c r="X52" s="266"/>
      <c r="Y52" s="266"/>
      <c r="Z52" s="266"/>
      <c r="AA52" s="266"/>
      <c r="AB52" s="266"/>
      <c r="AC52" s="81"/>
      <c r="AD52" s="81"/>
      <c r="AE52" s="81" t="s">
        <v>525</v>
      </c>
      <c r="AF52" s="81">
        <v>-2</v>
      </c>
      <c r="AG52" s="102"/>
      <c r="AH52" s="78"/>
      <c r="AI52" s="60"/>
      <c r="AJ52" s="48"/>
      <c r="AK52" s="48"/>
      <c r="AL52" s="48"/>
    </row>
    <row r="53" spans="1:38" outlineLevel="1" x14ac:dyDescent="0.25">
      <c r="A53" s="48"/>
      <c r="B53" s="57"/>
      <c r="C53" s="50">
        <f>INT($C$40)+2</f>
        <v>3</v>
      </c>
      <c r="D53" s="78"/>
      <c r="E53" s="73"/>
      <c r="F53" s="73"/>
      <c r="G53" s="78"/>
      <c r="H53" s="265" t="s">
        <v>526</v>
      </c>
      <c r="I53" s="101"/>
      <c r="J53" s="101"/>
      <c r="K53" s="81"/>
      <c r="L53" s="81"/>
      <c r="M53" s="81"/>
      <c r="N53" s="81"/>
      <c r="O53" s="81"/>
      <c r="P53" s="81"/>
      <c r="Q53" s="81"/>
      <c r="R53" s="81"/>
      <c r="S53" s="81"/>
      <c r="T53" s="81"/>
      <c r="U53" s="266"/>
      <c r="V53" s="266"/>
      <c r="W53" s="266"/>
      <c r="X53" s="266"/>
      <c r="Y53" s="266"/>
      <c r="Z53" s="266"/>
      <c r="AA53" s="266"/>
      <c r="AB53" s="266"/>
      <c r="AC53" s="81"/>
      <c r="AD53" s="81"/>
      <c r="AE53" s="81" t="s">
        <v>527</v>
      </c>
      <c r="AF53" s="81">
        <f>1-SUM(AG53:AH53)</f>
        <v>1</v>
      </c>
      <c r="AG53" s="102">
        <v>0</v>
      </c>
      <c r="AH53" s="78"/>
      <c r="AI53" s="60"/>
      <c r="AJ53" s="48"/>
      <c r="AK53" s="48"/>
      <c r="AL53" s="48"/>
    </row>
    <row r="54" spans="1:38" outlineLevel="2" x14ac:dyDescent="0.25">
      <c r="A54" s="48"/>
      <c r="B54" s="57"/>
      <c r="C54" s="50">
        <f>INT($C$40)+2</f>
        <v>3</v>
      </c>
      <c r="D54" s="78"/>
      <c r="E54" s="73"/>
      <c r="F54" s="73"/>
      <c r="G54" s="78"/>
      <c r="H54" s="142" t="s">
        <v>528</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529</v>
      </c>
      <c r="I55" s="101"/>
      <c r="J55" s="101"/>
      <c r="K55" s="81"/>
      <c r="L55" s="81"/>
      <c r="M55" s="81"/>
      <c r="N55" s="81"/>
      <c r="O55" s="81"/>
      <c r="P55" s="81"/>
      <c r="Q55" s="81"/>
      <c r="R55" s="81"/>
      <c r="S55" s="81"/>
      <c r="T55" s="81"/>
      <c r="U55" s="267">
        <v>45</v>
      </c>
      <c r="V55" s="102">
        <v>55</v>
      </c>
      <c r="W55" s="102">
        <v>58.9</v>
      </c>
      <c r="X55" s="102">
        <v>60</v>
      </c>
      <c r="Y55" s="102">
        <v>72</v>
      </c>
      <c r="Z55" s="102">
        <v>65</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530</v>
      </c>
      <c r="I56" s="101"/>
      <c r="J56" s="101"/>
      <c r="K56" s="81"/>
      <c r="L56" s="81"/>
      <c r="M56" s="81"/>
      <c r="N56" s="81"/>
      <c r="O56" s="81"/>
      <c r="P56" s="81"/>
      <c r="Q56" s="81"/>
      <c r="R56" s="81"/>
      <c r="S56" s="81"/>
      <c r="T56" s="81"/>
      <c r="U56" s="26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531</v>
      </c>
      <c r="I57" s="101"/>
      <c r="J57" s="101"/>
      <c r="K57" s="81"/>
      <c r="L57" s="81"/>
      <c r="M57" s="81"/>
      <c r="N57" s="81"/>
      <c r="O57" s="81"/>
      <c r="P57" s="81"/>
      <c r="Q57" s="81"/>
      <c r="R57" s="81"/>
      <c r="S57" s="81"/>
      <c r="T57" s="81"/>
      <c r="U57" s="267">
        <v>1</v>
      </c>
      <c r="V57" s="102">
        <v>1</v>
      </c>
      <c r="W57" s="102">
        <v>1</v>
      </c>
      <c r="X57" s="102">
        <v>0</v>
      </c>
      <c r="Y57" s="102">
        <v>0.75</v>
      </c>
      <c r="Z57" s="102">
        <v>0.75</v>
      </c>
      <c r="AA57" s="102">
        <v>0.75</v>
      </c>
      <c r="AB57" s="102">
        <v>0.5</v>
      </c>
      <c r="AC57" s="81"/>
      <c r="AD57" s="102" t="s">
        <v>532</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533</v>
      </c>
      <c r="I58" s="101" t="s">
        <v>534</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532</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535</v>
      </c>
      <c r="I59" s="101" t="s">
        <v>534</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532</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536</v>
      </c>
      <c r="I60" s="101" t="s">
        <v>537</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538</v>
      </c>
      <c r="I61" s="101" t="s">
        <v>1566</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539</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540</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541</v>
      </c>
      <c r="I64" s="101" t="s">
        <v>122</v>
      </c>
      <c r="J64" s="101"/>
      <c r="K64" s="81"/>
      <c r="L64" s="81"/>
      <c r="M64" s="81"/>
      <c r="N64" s="81"/>
      <c r="O64" s="81"/>
      <c r="P64" s="81"/>
      <c r="Q64" s="81"/>
      <c r="R64" s="81"/>
      <c r="S64" s="81"/>
      <c r="T64" s="81"/>
      <c r="U64" s="268">
        <f>1-(U62+U63)</f>
        <v>0.88</v>
      </c>
      <c r="V64" s="268">
        <f t="shared" ref="V64:AB64" si="1">1-(V62+V63)</f>
        <v>0.88</v>
      </c>
      <c r="W64" s="268">
        <f t="shared" si="1"/>
        <v>0.88</v>
      </c>
      <c r="X64" s="268">
        <f t="shared" si="1"/>
        <v>0.88</v>
      </c>
      <c r="Y64" s="268">
        <f t="shared" si="1"/>
        <v>0.88</v>
      </c>
      <c r="Z64" s="268">
        <f t="shared" si="1"/>
        <v>0.88</v>
      </c>
      <c r="AA64" s="268">
        <f t="shared" si="1"/>
        <v>0.88</v>
      </c>
      <c r="AB64" s="26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542</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543</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544</v>
      </c>
      <c r="I67" s="101" t="s">
        <v>122</v>
      </c>
      <c r="J67" s="101"/>
      <c r="K67" s="81"/>
      <c r="L67" s="81"/>
      <c r="M67" s="81"/>
      <c r="N67" s="81"/>
      <c r="O67" s="81"/>
      <c r="P67" s="81"/>
      <c r="Q67" s="81"/>
      <c r="R67" s="81"/>
      <c r="S67" s="81"/>
      <c r="T67" s="81"/>
      <c r="U67" s="268">
        <f>1-(U65+U66)</f>
        <v>0.83000000000000007</v>
      </c>
      <c r="V67" s="268">
        <f t="shared" ref="V67:AB67" si="2">1-(V65+V66)</f>
        <v>0.83000000000000007</v>
      </c>
      <c r="W67" s="268">
        <f t="shared" si="2"/>
        <v>0.83000000000000007</v>
      </c>
      <c r="X67" s="268">
        <f t="shared" si="2"/>
        <v>0.83000000000000007</v>
      </c>
      <c r="Y67" s="268">
        <f t="shared" si="2"/>
        <v>0.83000000000000007</v>
      </c>
      <c r="Z67" s="268">
        <f t="shared" si="2"/>
        <v>0.83000000000000007</v>
      </c>
      <c r="AA67" s="268">
        <f t="shared" si="2"/>
        <v>0.83000000000000007</v>
      </c>
      <c r="AB67" s="26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2735</v>
      </c>
      <c r="I68" s="101" t="s">
        <v>122</v>
      </c>
      <c r="J68" s="101"/>
      <c r="K68" s="81"/>
      <c r="L68" s="81"/>
      <c r="M68" s="81"/>
      <c r="N68" s="81"/>
      <c r="O68" s="81"/>
      <c r="P68" s="81"/>
      <c r="Q68" s="81"/>
      <c r="R68" s="81"/>
      <c r="S68" s="81"/>
      <c r="T68" s="81"/>
      <c r="U68" s="129">
        <v>1.1000000000000001</v>
      </c>
      <c r="V68" s="129">
        <v>1.25</v>
      </c>
      <c r="W68" s="129">
        <v>1.28</v>
      </c>
      <c r="X68" s="269">
        <f>Y68</f>
        <v>1.35</v>
      </c>
      <c r="Y68" s="129">
        <v>1.35</v>
      </c>
      <c r="Z68" s="269">
        <f t="shared" ref="Z68:AB73" si="3">Y68</f>
        <v>1.35</v>
      </c>
      <c r="AA68" s="269">
        <f t="shared" si="3"/>
        <v>1.35</v>
      </c>
      <c r="AB68" s="269">
        <f t="shared" si="3"/>
        <v>1.35</v>
      </c>
      <c r="AC68" s="81"/>
      <c r="AD68" s="102" t="s">
        <v>2478</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2763</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2764</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2567</v>
      </c>
      <c r="I70" s="101" t="s">
        <v>2568</v>
      </c>
      <c r="J70" s="101"/>
      <c r="K70" s="81"/>
      <c r="L70" s="81"/>
      <c r="M70" s="81"/>
      <c r="N70" s="81"/>
      <c r="O70" s="81"/>
      <c r="P70" s="81"/>
      <c r="Q70" s="81"/>
      <c r="R70" s="81"/>
      <c r="S70" s="81"/>
      <c r="T70" s="81"/>
      <c r="U70" s="277">
        <v>40</v>
      </c>
      <c r="V70" s="277">
        <v>40</v>
      </c>
      <c r="W70" s="277">
        <v>40</v>
      </c>
      <c r="X70" s="423">
        <f>Y70</f>
        <v>330</v>
      </c>
      <c r="Y70" s="277">
        <v>330</v>
      </c>
      <c r="Z70" s="423">
        <f t="shared" ref="Z70" si="4">Y70</f>
        <v>330</v>
      </c>
      <c r="AA70" s="423">
        <f t="shared" ref="AA70" si="5">Z70</f>
        <v>330</v>
      </c>
      <c r="AB70" s="423">
        <f t="shared" ref="AB70" si="6">AA70</f>
        <v>330</v>
      </c>
      <c r="AC70" s="81"/>
      <c r="AD70" s="102" t="s">
        <v>2732</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545</v>
      </c>
      <c r="I71" s="101" t="s">
        <v>122</v>
      </c>
      <c r="J71" s="424" t="s">
        <v>2460</v>
      </c>
      <c r="K71" s="81"/>
      <c r="L71" s="81"/>
      <c r="M71" s="81"/>
      <c r="N71" s="81"/>
      <c r="O71" s="81"/>
      <c r="P71" s="81"/>
      <c r="Q71" s="81"/>
      <c r="R71" s="81"/>
      <c r="S71" s="81"/>
      <c r="T71" s="81"/>
      <c r="U71" s="129">
        <v>0.8</v>
      </c>
      <c r="V71" s="129">
        <v>0.88</v>
      </c>
      <c r="W71" s="129">
        <v>0.9</v>
      </c>
      <c r="X71" s="269">
        <f t="shared" ref="X71:X73" si="7">Y71</f>
        <v>0.94</v>
      </c>
      <c r="Y71" s="129">
        <v>0.94</v>
      </c>
      <c r="Z71" s="269">
        <f t="shared" si="3"/>
        <v>0.94</v>
      </c>
      <c r="AA71" s="269">
        <f t="shared" si="3"/>
        <v>0.94</v>
      </c>
      <c r="AB71" s="26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546</v>
      </c>
      <c r="I72" s="101" t="s">
        <v>122</v>
      </c>
      <c r="J72" s="101"/>
      <c r="K72" s="81"/>
      <c r="L72" s="81"/>
      <c r="M72" s="81"/>
      <c r="N72" s="81"/>
      <c r="O72" s="81"/>
      <c r="P72" s="81"/>
      <c r="Q72" s="81"/>
      <c r="R72" s="81"/>
      <c r="S72" s="81"/>
      <c r="T72" s="81"/>
      <c r="U72" s="129">
        <v>0.55000000000000004</v>
      </c>
      <c r="V72" s="129">
        <v>0.65</v>
      </c>
      <c r="W72" s="129">
        <v>0.65</v>
      </c>
      <c r="X72" s="269">
        <f t="shared" si="7"/>
        <v>0.75</v>
      </c>
      <c r="Y72" s="129">
        <v>0.75</v>
      </c>
      <c r="Z72" s="269">
        <f t="shared" si="3"/>
        <v>0.75</v>
      </c>
      <c r="AA72" s="269">
        <f t="shared" si="3"/>
        <v>0.75</v>
      </c>
      <c r="AB72" s="26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547</v>
      </c>
      <c r="I73" s="101" t="s">
        <v>122</v>
      </c>
      <c r="J73" s="101"/>
      <c r="K73" s="81"/>
      <c r="L73" s="81"/>
      <c r="M73" s="81"/>
      <c r="N73" s="81"/>
      <c r="O73" s="81"/>
      <c r="P73" s="81"/>
      <c r="Q73" s="81"/>
      <c r="R73" s="81"/>
      <c r="S73" s="81"/>
      <c r="T73" s="81"/>
      <c r="U73" s="129">
        <v>0.4</v>
      </c>
      <c r="V73" s="129">
        <v>0.5</v>
      </c>
      <c r="W73" s="129">
        <v>0.5</v>
      </c>
      <c r="X73" s="269">
        <f t="shared" si="7"/>
        <v>0.55000000000000004</v>
      </c>
      <c r="Y73" s="129">
        <v>0.55000000000000004</v>
      </c>
      <c r="Z73" s="269">
        <f t="shared" si="3"/>
        <v>0.55000000000000004</v>
      </c>
      <c r="AA73" s="269">
        <f t="shared" si="3"/>
        <v>0.55000000000000004</v>
      </c>
      <c r="AB73" s="26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2451</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532</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2453</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532</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2452</v>
      </c>
      <c r="I76" s="101" t="s">
        <v>2410</v>
      </c>
      <c r="J76" s="101"/>
      <c r="K76" s="81"/>
      <c r="L76" s="81"/>
      <c r="M76" s="81"/>
      <c r="N76" s="81"/>
      <c r="O76" s="81"/>
      <c r="P76" s="81"/>
      <c r="Q76" s="81"/>
      <c r="R76" s="81"/>
      <c r="S76" s="81"/>
      <c r="T76" s="81"/>
      <c r="U76" s="277">
        <v>0.03</v>
      </c>
      <c r="V76" s="277">
        <v>0.03</v>
      </c>
      <c r="W76" s="277">
        <v>0.03</v>
      </c>
      <c r="X76" s="277">
        <v>0.03</v>
      </c>
      <c r="Y76" s="277">
        <v>0.03</v>
      </c>
      <c r="Z76" s="277">
        <v>0.03</v>
      </c>
      <c r="AA76" s="277">
        <v>0.03</v>
      </c>
      <c r="AB76" s="277">
        <v>0.03</v>
      </c>
      <c r="AC76" s="372"/>
      <c r="AD76" s="102" t="s">
        <v>532</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2396</v>
      </c>
      <c r="I78" s="101" t="s">
        <v>122</v>
      </c>
      <c r="J78" s="424" t="s">
        <v>2459</v>
      </c>
      <c r="K78" s="81"/>
      <c r="L78" s="81"/>
      <c r="M78" s="81"/>
      <c r="N78" s="81"/>
      <c r="O78" s="81"/>
      <c r="P78" s="81"/>
      <c r="Q78" s="81"/>
      <c r="R78" s="81"/>
      <c r="S78" s="81"/>
      <c r="T78" s="81"/>
      <c r="U78" s="129">
        <v>0</v>
      </c>
      <c r="V78" s="270">
        <f t="shared" ref="V78:AB85" si="8">U78</f>
        <v>0</v>
      </c>
      <c r="W78" s="270">
        <f t="shared" si="8"/>
        <v>0</v>
      </c>
      <c r="X78" s="269">
        <f t="shared" si="8"/>
        <v>0</v>
      </c>
      <c r="Y78" s="269">
        <f t="shared" si="8"/>
        <v>0</v>
      </c>
      <c r="Z78" s="269">
        <f t="shared" si="8"/>
        <v>0</v>
      </c>
      <c r="AA78" s="269">
        <f t="shared" si="8"/>
        <v>0</v>
      </c>
      <c r="AB78" s="26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548</v>
      </c>
      <c r="I79" s="101" t="s">
        <v>122</v>
      </c>
      <c r="J79" s="101"/>
      <c r="K79" s="81"/>
      <c r="L79" s="81"/>
      <c r="M79" s="81"/>
      <c r="N79" s="81"/>
      <c r="O79" s="81"/>
      <c r="P79" s="81"/>
      <c r="Q79" s="81"/>
      <c r="R79" s="81"/>
      <c r="S79" s="81"/>
      <c r="T79" s="81"/>
      <c r="U79" s="271">
        <f>0.96^$F79*(1-0.96)/(1-0.96^$T$77)*($F79&lt;$T$77)*(1-$U$78)</f>
        <v>0.16093178091915078</v>
      </c>
      <c r="V79" s="270">
        <f t="shared" si="8"/>
        <v>0.16093178091915078</v>
      </c>
      <c r="W79" s="270">
        <f t="shared" si="8"/>
        <v>0.16093178091915078</v>
      </c>
      <c r="X79" s="269">
        <f t="shared" si="8"/>
        <v>0.16093178091915078</v>
      </c>
      <c r="Y79" s="269">
        <f t="shared" si="8"/>
        <v>0.16093178091915078</v>
      </c>
      <c r="Z79" s="269">
        <f t="shared" si="8"/>
        <v>0.16093178091915078</v>
      </c>
      <c r="AA79" s="269">
        <f t="shared" si="8"/>
        <v>0.16093178091915078</v>
      </c>
      <c r="AB79" s="26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549</v>
      </c>
      <c r="I80" s="101" t="s">
        <v>122</v>
      </c>
      <c r="J80" s="101"/>
      <c r="K80" s="81"/>
      <c r="L80" s="81"/>
      <c r="M80" s="81"/>
      <c r="N80" s="81"/>
      <c r="O80" s="81"/>
      <c r="P80" s="81"/>
      <c r="Q80" s="81"/>
      <c r="R80" s="81"/>
      <c r="S80" s="81"/>
      <c r="T80" s="81"/>
      <c r="U80" s="271">
        <f t="shared" ref="U80:U85" si="9">0.96^$F80*(1-0.96)/(1-0.96^$T$77)*($F80&lt;$T$77)*(1-$U$78)</f>
        <v>0.15449450968238473</v>
      </c>
      <c r="V80" s="270">
        <f t="shared" si="8"/>
        <v>0.15449450968238473</v>
      </c>
      <c r="W80" s="270">
        <f t="shared" si="8"/>
        <v>0.15449450968238473</v>
      </c>
      <c r="X80" s="269">
        <f t="shared" si="8"/>
        <v>0.15449450968238473</v>
      </c>
      <c r="Y80" s="269">
        <f t="shared" si="8"/>
        <v>0.15449450968238473</v>
      </c>
      <c r="Z80" s="269">
        <f t="shared" si="8"/>
        <v>0.15449450968238473</v>
      </c>
      <c r="AA80" s="269">
        <f t="shared" si="8"/>
        <v>0.15449450968238473</v>
      </c>
      <c r="AB80" s="26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550</v>
      </c>
      <c r="I81" s="101" t="s">
        <v>122</v>
      </c>
      <c r="J81" s="101"/>
      <c r="K81" s="81"/>
      <c r="L81" s="81"/>
      <c r="M81" s="81"/>
      <c r="N81" s="81"/>
      <c r="O81" s="81"/>
      <c r="P81" s="81"/>
      <c r="Q81" s="81"/>
      <c r="R81" s="81"/>
      <c r="S81" s="81"/>
      <c r="T81" s="81"/>
      <c r="U81" s="271">
        <f t="shared" si="9"/>
        <v>0.14831472929508935</v>
      </c>
      <c r="V81" s="270">
        <f t="shared" si="8"/>
        <v>0.14831472929508935</v>
      </c>
      <c r="W81" s="270">
        <f t="shared" si="8"/>
        <v>0.14831472929508935</v>
      </c>
      <c r="X81" s="269">
        <f t="shared" si="8"/>
        <v>0.14831472929508935</v>
      </c>
      <c r="Y81" s="269">
        <f t="shared" si="8"/>
        <v>0.14831472929508935</v>
      </c>
      <c r="Z81" s="269">
        <f t="shared" si="8"/>
        <v>0.14831472929508935</v>
      </c>
      <c r="AA81" s="269">
        <f t="shared" si="8"/>
        <v>0.14831472929508935</v>
      </c>
      <c r="AB81" s="26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551</v>
      </c>
      <c r="I82" s="101" t="s">
        <v>122</v>
      </c>
      <c r="J82" s="101"/>
      <c r="K82" s="81"/>
      <c r="L82" s="81"/>
      <c r="M82" s="81"/>
      <c r="N82" s="81"/>
      <c r="O82" s="81"/>
      <c r="P82" s="81"/>
      <c r="Q82" s="81"/>
      <c r="R82" s="81"/>
      <c r="S82" s="81"/>
      <c r="T82" s="81"/>
      <c r="U82" s="271">
        <f t="shared" si="9"/>
        <v>0.14238214012328579</v>
      </c>
      <c r="V82" s="270">
        <f t="shared" si="8"/>
        <v>0.14238214012328579</v>
      </c>
      <c r="W82" s="270">
        <f t="shared" si="8"/>
        <v>0.14238214012328579</v>
      </c>
      <c r="X82" s="269">
        <f t="shared" si="8"/>
        <v>0.14238214012328579</v>
      </c>
      <c r="Y82" s="269">
        <f t="shared" si="8"/>
        <v>0.14238214012328579</v>
      </c>
      <c r="Z82" s="269">
        <f t="shared" si="8"/>
        <v>0.14238214012328579</v>
      </c>
      <c r="AA82" s="269">
        <f t="shared" si="8"/>
        <v>0.14238214012328579</v>
      </c>
      <c r="AB82" s="26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552</v>
      </c>
      <c r="I83" s="101" t="s">
        <v>122</v>
      </c>
      <c r="J83" s="101"/>
      <c r="K83" s="81"/>
      <c r="L83" s="81"/>
      <c r="M83" s="81"/>
      <c r="N83" s="81"/>
      <c r="O83" s="81"/>
      <c r="P83" s="81"/>
      <c r="Q83" s="81"/>
      <c r="R83" s="81"/>
      <c r="S83" s="81"/>
      <c r="T83" s="81"/>
      <c r="U83" s="271">
        <f t="shared" si="9"/>
        <v>0.13668685451835433</v>
      </c>
      <c r="V83" s="270">
        <f t="shared" si="8"/>
        <v>0.13668685451835433</v>
      </c>
      <c r="W83" s="270">
        <f t="shared" si="8"/>
        <v>0.13668685451835433</v>
      </c>
      <c r="X83" s="269">
        <f t="shared" si="8"/>
        <v>0.13668685451835433</v>
      </c>
      <c r="Y83" s="269">
        <f t="shared" si="8"/>
        <v>0.13668685451835433</v>
      </c>
      <c r="Z83" s="269">
        <f t="shared" si="8"/>
        <v>0.13668685451835433</v>
      </c>
      <c r="AA83" s="269">
        <f t="shared" si="8"/>
        <v>0.13668685451835433</v>
      </c>
      <c r="AB83" s="26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553</v>
      </c>
      <c r="I84" s="101" t="s">
        <v>122</v>
      </c>
      <c r="J84" s="101"/>
      <c r="K84" s="81"/>
      <c r="L84" s="81"/>
      <c r="M84" s="81"/>
      <c r="N84" s="81"/>
      <c r="O84" s="81"/>
      <c r="P84" s="81"/>
      <c r="Q84" s="81"/>
      <c r="R84" s="81"/>
      <c r="S84" s="81"/>
      <c r="T84" s="81"/>
      <c r="U84" s="271">
        <f t="shared" si="9"/>
        <v>0.13121938033762018</v>
      </c>
      <c r="V84" s="270">
        <f t="shared" si="8"/>
        <v>0.13121938033762018</v>
      </c>
      <c r="W84" s="270">
        <f t="shared" si="8"/>
        <v>0.13121938033762018</v>
      </c>
      <c r="X84" s="269">
        <f t="shared" si="8"/>
        <v>0.13121938033762018</v>
      </c>
      <c r="Y84" s="269">
        <f t="shared" si="8"/>
        <v>0.13121938033762018</v>
      </c>
      <c r="Z84" s="269">
        <f t="shared" si="8"/>
        <v>0.13121938033762018</v>
      </c>
      <c r="AA84" s="269">
        <f t="shared" si="8"/>
        <v>0.13121938033762018</v>
      </c>
      <c r="AB84" s="26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554</v>
      </c>
      <c r="I85" s="101" t="s">
        <v>122</v>
      </c>
      <c r="J85" s="101"/>
      <c r="K85" s="81"/>
      <c r="L85" s="81"/>
      <c r="M85" s="81"/>
      <c r="N85" s="81"/>
      <c r="O85" s="81"/>
      <c r="P85" s="81"/>
      <c r="Q85" s="81"/>
      <c r="R85" s="81"/>
      <c r="S85" s="81"/>
      <c r="T85" s="81"/>
      <c r="U85" s="271">
        <f t="shared" si="9"/>
        <v>0.12597060512411537</v>
      </c>
      <c r="V85" s="270">
        <f t="shared" si="8"/>
        <v>0.12597060512411537</v>
      </c>
      <c r="W85" s="270">
        <f t="shared" si="8"/>
        <v>0.12597060512411537</v>
      </c>
      <c r="X85" s="269">
        <f t="shared" si="8"/>
        <v>0.12597060512411537</v>
      </c>
      <c r="Y85" s="269">
        <f t="shared" si="8"/>
        <v>0.12597060512411537</v>
      </c>
      <c r="Z85" s="269">
        <f t="shared" si="8"/>
        <v>0.12597060512411537</v>
      </c>
      <c r="AA85" s="269">
        <f t="shared" si="8"/>
        <v>0.12597060512411537</v>
      </c>
      <c r="AB85" s="26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65" t="s">
        <v>555</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556</v>
      </c>
      <c r="I87" s="101" t="s">
        <v>557</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558</v>
      </c>
      <c r="I88" s="101" t="s">
        <v>557</v>
      </c>
      <c r="J88" s="101"/>
      <c r="K88" s="81"/>
      <c r="L88" s="81"/>
      <c r="M88" s="81"/>
      <c r="N88" s="81"/>
      <c r="O88" s="81"/>
      <c r="P88" s="81"/>
      <c r="Q88" s="81"/>
      <c r="R88" s="81"/>
      <c r="S88" s="81"/>
      <c r="T88" s="81"/>
      <c r="U88" s="272">
        <f t="shared" ref="U88:AB89" si="10">U87</f>
        <v>15</v>
      </c>
      <c r="V88" s="272">
        <f t="shared" si="10"/>
        <v>15</v>
      </c>
      <c r="W88" s="272">
        <f t="shared" si="10"/>
        <v>15</v>
      </c>
      <c r="X88" s="272">
        <f t="shared" si="10"/>
        <v>15</v>
      </c>
      <c r="Y88" s="272">
        <f t="shared" si="10"/>
        <v>15</v>
      </c>
      <c r="Z88" s="272">
        <f t="shared" si="10"/>
        <v>15</v>
      </c>
      <c r="AA88" s="272">
        <f t="shared" si="10"/>
        <v>15</v>
      </c>
      <c r="AB88" s="27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559</v>
      </c>
      <c r="I89" s="101" t="s">
        <v>557</v>
      </c>
      <c r="J89" s="101"/>
      <c r="K89" s="81"/>
      <c r="L89" s="81"/>
      <c r="M89" s="81"/>
      <c r="N89" s="81"/>
      <c r="O89" s="81"/>
      <c r="P89" s="81"/>
      <c r="Q89" s="81"/>
      <c r="R89" s="81"/>
      <c r="S89" s="81"/>
      <c r="T89" s="81"/>
      <c r="U89" s="272">
        <f t="shared" si="10"/>
        <v>15</v>
      </c>
      <c r="V89" s="272">
        <f t="shared" si="10"/>
        <v>15</v>
      </c>
      <c r="W89" s="272">
        <f t="shared" si="10"/>
        <v>15</v>
      </c>
      <c r="X89" s="272">
        <f t="shared" si="10"/>
        <v>15</v>
      </c>
      <c r="Y89" s="272">
        <f t="shared" si="10"/>
        <v>15</v>
      </c>
      <c r="Z89" s="272">
        <f t="shared" si="10"/>
        <v>15</v>
      </c>
      <c r="AA89" s="272">
        <f t="shared" si="10"/>
        <v>15</v>
      </c>
      <c r="AB89" s="27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560</v>
      </c>
      <c r="I90" s="101" t="s">
        <v>557</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561</v>
      </c>
      <c r="I91" s="101" t="s">
        <v>557</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562</v>
      </c>
      <c r="I92" s="101" t="s">
        <v>557</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563</v>
      </c>
      <c r="I93" s="101" t="s">
        <v>557</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2472</v>
      </c>
      <c r="I94" s="101" t="s">
        <v>557</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2487</v>
      </c>
      <c r="I95" s="101" t="s">
        <v>557</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558</v>
      </c>
      <c r="I96" s="101" t="s">
        <v>557</v>
      </c>
      <c r="J96" s="101"/>
      <c r="K96" s="81"/>
      <c r="L96" s="81"/>
      <c r="M96" s="81"/>
      <c r="N96" s="81"/>
      <c r="O96" s="81"/>
      <c r="P96" s="81"/>
      <c r="Q96" s="81"/>
      <c r="R96" s="81"/>
      <c r="S96" s="81"/>
      <c r="T96" s="81"/>
      <c r="U96" s="272">
        <f t="shared" ref="U96:AB96" si="11">U95</f>
        <v>0</v>
      </c>
      <c r="V96" s="272">
        <f t="shared" si="11"/>
        <v>0</v>
      </c>
      <c r="W96" s="272">
        <f t="shared" si="11"/>
        <v>0</v>
      </c>
      <c r="X96" s="272">
        <f t="shared" si="11"/>
        <v>0</v>
      </c>
      <c r="Y96" s="272">
        <f t="shared" si="11"/>
        <v>0</v>
      </c>
      <c r="Z96" s="272">
        <f t="shared" si="11"/>
        <v>0</v>
      </c>
      <c r="AA96" s="272">
        <f t="shared" si="11"/>
        <v>0</v>
      </c>
      <c r="AB96" s="27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559</v>
      </c>
      <c r="I97" s="101" t="s">
        <v>557</v>
      </c>
      <c r="J97" s="101"/>
      <c r="K97" s="81"/>
      <c r="L97" s="81"/>
      <c r="M97" s="81"/>
      <c r="N97" s="81"/>
      <c r="O97" s="81"/>
      <c r="P97" s="81"/>
      <c r="Q97" s="81"/>
      <c r="R97" s="81"/>
      <c r="S97" s="81"/>
      <c r="T97" s="81"/>
      <c r="U97" s="272">
        <f t="shared" ref="U97:AB97" si="12">U96</f>
        <v>0</v>
      </c>
      <c r="V97" s="272">
        <f t="shared" si="12"/>
        <v>0</v>
      </c>
      <c r="W97" s="272">
        <f t="shared" si="12"/>
        <v>0</v>
      </c>
      <c r="X97" s="272">
        <f t="shared" si="12"/>
        <v>0</v>
      </c>
      <c r="Y97" s="272">
        <f t="shared" si="12"/>
        <v>0</v>
      </c>
      <c r="Z97" s="272">
        <f t="shared" si="12"/>
        <v>0</v>
      </c>
      <c r="AA97" s="272">
        <f t="shared" si="12"/>
        <v>0</v>
      </c>
      <c r="AB97" s="27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560</v>
      </c>
      <c r="I98" s="101" t="s">
        <v>557</v>
      </c>
      <c r="J98" s="101"/>
      <c r="K98" s="81"/>
      <c r="L98" s="81"/>
      <c r="M98" s="81"/>
      <c r="N98" s="81"/>
      <c r="O98" s="81"/>
      <c r="P98" s="81"/>
      <c r="Q98" s="81"/>
      <c r="R98" s="81"/>
      <c r="S98" s="81"/>
      <c r="T98" s="81"/>
      <c r="U98" s="272">
        <f>U87</f>
        <v>15</v>
      </c>
      <c r="V98" s="272">
        <f t="shared" ref="V98:AB98" si="13">V87</f>
        <v>15</v>
      </c>
      <c r="W98" s="272">
        <f t="shared" si="13"/>
        <v>15</v>
      </c>
      <c r="X98" s="272">
        <f t="shared" si="13"/>
        <v>15</v>
      </c>
      <c r="Y98" s="272">
        <f t="shared" si="13"/>
        <v>15</v>
      </c>
      <c r="Z98" s="272">
        <f t="shared" si="13"/>
        <v>15</v>
      </c>
      <c r="AA98" s="272">
        <f t="shared" si="13"/>
        <v>15</v>
      </c>
      <c r="AB98" s="27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561</v>
      </c>
      <c r="I99" s="101" t="s">
        <v>557</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562</v>
      </c>
      <c r="I100" s="101" t="s">
        <v>557</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563</v>
      </c>
      <c r="I101" s="101" t="s">
        <v>557</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2472</v>
      </c>
      <c r="I102" s="101" t="s">
        <v>557</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564</v>
      </c>
      <c r="I103" s="101" t="s">
        <v>122</v>
      </c>
      <c r="J103" s="101"/>
      <c r="K103" s="81"/>
      <c r="L103" s="81"/>
      <c r="M103" s="81"/>
      <c r="N103" s="81"/>
      <c r="O103" s="81"/>
      <c r="P103" s="81"/>
      <c r="Q103" s="81"/>
      <c r="R103" s="81"/>
      <c r="S103" s="81"/>
      <c r="T103" s="81"/>
      <c r="U103" s="273">
        <v>-2.5000000000000001E-2</v>
      </c>
      <c r="V103" s="273">
        <v>-2.5000000000000001E-2</v>
      </c>
      <c r="W103" s="273">
        <v>-2.5000000000000001E-2</v>
      </c>
      <c r="X103" s="273">
        <v>0</v>
      </c>
      <c r="Y103" s="273">
        <v>0</v>
      </c>
      <c r="Z103" s="273">
        <v>0</v>
      </c>
      <c r="AA103" s="273">
        <v>-5.0000000000000001E-3</v>
      </c>
      <c r="AB103" s="273">
        <v>1.4999999999999999E-2</v>
      </c>
      <c r="AC103" s="81"/>
      <c r="AD103" s="102" t="s">
        <v>565</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65" t="s">
        <v>566</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567</v>
      </c>
      <c r="I106" s="101" t="s">
        <v>2414</v>
      </c>
      <c r="J106" s="101"/>
      <c r="K106" s="81"/>
      <c r="L106" s="81"/>
      <c r="M106" s="81"/>
      <c r="N106" s="81"/>
      <c r="O106" s="81"/>
      <c r="P106" s="81"/>
      <c r="Q106" s="81"/>
      <c r="R106" s="81"/>
      <c r="S106" s="81"/>
      <c r="T106" s="81"/>
      <c r="U106" s="330">
        <v>0.45</v>
      </c>
      <c r="V106" s="330">
        <v>0.45</v>
      </c>
      <c r="W106" s="330">
        <v>0.45</v>
      </c>
      <c r="X106" s="331">
        <f t="shared" ref="X106:AB109" si="14">W106</f>
        <v>0.45</v>
      </c>
      <c r="Y106" s="331">
        <f t="shared" si="14"/>
        <v>0.45</v>
      </c>
      <c r="Z106" s="331">
        <f t="shared" si="14"/>
        <v>0.45</v>
      </c>
      <c r="AA106" s="331">
        <f t="shared" si="14"/>
        <v>0.45</v>
      </c>
      <c r="AB106" s="33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568</v>
      </c>
      <c r="I107" s="101" t="s">
        <v>2415</v>
      </c>
      <c r="J107" s="101"/>
      <c r="K107" s="81"/>
      <c r="L107" s="81"/>
      <c r="M107" s="81"/>
      <c r="N107" s="81"/>
      <c r="O107" s="81"/>
      <c r="P107" s="81"/>
      <c r="Q107" s="81"/>
      <c r="R107" s="81"/>
      <c r="S107" s="81"/>
      <c r="T107" s="81"/>
      <c r="U107" s="124">
        <v>0.15</v>
      </c>
      <c r="V107" s="124">
        <v>0.15</v>
      </c>
      <c r="W107" s="124">
        <v>0.15</v>
      </c>
      <c r="X107" s="329">
        <f t="shared" si="14"/>
        <v>0.15</v>
      </c>
      <c r="Y107" s="329">
        <f t="shared" si="14"/>
        <v>0.15</v>
      </c>
      <c r="Z107" s="329">
        <f t="shared" si="14"/>
        <v>0.15</v>
      </c>
      <c r="AA107" s="329">
        <f t="shared" si="14"/>
        <v>0.15</v>
      </c>
      <c r="AB107" s="32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569</v>
      </c>
      <c r="I108" s="101"/>
      <c r="J108" s="101"/>
      <c r="K108" s="81"/>
      <c r="L108" s="81"/>
      <c r="M108" s="81"/>
      <c r="N108" s="81"/>
      <c r="O108" s="81"/>
      <c r="P108" s="81"/>
      <c r="Q108" s="81"/>
      <c r="R108" s="81"/>
      <c r="S108" s="81"/>
      <c r="T108" s="81"/>
      <c r="U108" s="102">
        <v>17</v>
      </c>
      <c r="V108" s="102">
        <v>19</v>
      </c>
      <c r="W108" s="102">
        <v>19</v>
      </c>
      <c r="X108" s="274">
        <f t="shared" si="14"/>
        <v>19</v>
      </c>
      <c r="Y108" s="274">
        <f t="shared" si="14"/>
        <v>19</v>
      </c>
      <c r="Z108" s="274">
        <f t="shared" si="14"/>
        <v>19</v>
      </c>
      <c r="AA108" s="274">
        <f t="shared" si="14"/>
        <v>19</v>
      </c>
      <c r="AB108" s="27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570</v>
      </c>
      <c r="I109" s="101" t="s">
        <v>534</v>
      </c>
      <c r="J109" s="101"/>
      <c r="K109" s="81"/>
      <c r="L109" s="81"/>
      <c r="M109" s="81"/>
      <c r="N109" s="81"/>
      <c r="O109" s="81"/>
      <c r="P109" s="81"/>
      <c r="Q109" s="81"/>
      <c r="R109" s="81"/>
      <c r="S109" s="81"/>
      <c r="T109" s="81"/>
      <c r="U109" s="102">
        <v>2.5</v>
      </c>
      <c r="V109" s="102">
        <v>2.5</v>
      </c>
      <c r="W109" s="102">
        <v>2.5</v>
      </c>
      <c r="X109" s="274">
        <f t="shared" si="14"/>
        <v>2.5</v>
      </c>
      <c r="Y109" s="274">
        <f t="shared" si="14"/>
        <v>2.5</v>
      </c>
      <c r="Z109" s="274">
        <f t="shared" si="14"/>
        <v>2.5</v>
      </c>
      <c r="AA109" s="274">
        <f t="shared" si="14"/>
        <v>2.5</v>
      </c>
      <c r="AB109" s="27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275" t="s">
        <v>571</v>
      </c>
      <c r="G111" s="78"/>
      <c r="H111" s="265" t="s">
        <v>572</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573</v>
      </c>
      <c r="F112" s="73" t="s">
        <v>574</v>
      </c>
      <c r="G112" s="78"/>
      <c r="H112" s="81" t="s">
        <v>575</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576</v>
      </c>
      <c r="G113" s="78"/>
      <c r="H113" s="81" t="s">
        <v>577</v>
      </c>
      <c r="I113" s="101" t="s">
        <v>578</v>
      </c>
      <c r="J113" s="101"/>
      <c r="K113" s="102">
        <v>1.5699999999999999E-2</v>
      </c>
      <c r="L113" s="102">
        <v>1.5699999999999999E-2</v>
      </c>
      <c r="M113" s="102">
        <v>1.15E-2</v>
      </c>
      <c r="N113" s="102">
        <v>1.15E-2</v>
      </c>
      <c r="O113" s="102">
        <v>1.15E-2</v>
      </c>
      <c r="P113" s="102">
        <v>1.15E-2</v>
      </c>
      <c r="Q113" s="81"/>
      <c r="R113" s="81" t="s">
        <v>579</v>
      </c>
      <c r="S113" s="81" t="s">
        <v>579</v>
      </c>
      <c r="T113" s="81"/>
      <c r="U113" s="272">
        <f>INDEX($K113:$Q113,1,U$54)</f>
        <v>1.5699999999999999E-2</v>
      </c>
      <c r="V113" s="272">
        <f t="shared" ref="V113:AB116" si="15">INDEX($K113:$Q113,1,V$54)</f>
        <v>1.5699999999999999E-2</v>
      </c>
      <c r="W113" s="272">
        <f t="shared" si="15"/>
        <v>1.5699999999999999E-2</v>
      </c>
      <c r="X113" s="272">
        <f t="shared" si="15"/>
        <v>1.5699999999999999E-2</v>
      </c>
      <c r="Y113" s="272">
        <f t="shared" si="15"/>
        <v>1.5699999999999999E-2</v>
      </c>
      <c r="Z113" s="272">
        <f t="shared" si="15"/>
        <v>1.5699999999999999E-2</v>
      </c>
      <c r="AA113" s="272">
        <f t="shared" si="15"/>
        <v>1.5699999999999999E-2</v>
      </c>
      <c r="AB113" s="27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580</v>
      </c>
      <c r="G114" s="78"/>
      <c r="H114" s="81" t="s">
        <v>581</v>
      </c>
      <c r="I114" s="101" t="s">
        <v>582</v>
      </c>
      <c r="J114" s="101"/>
      <c r="K114" s="102">
        <v>0.27</v>
      </c>
      <c r="L114" s="102">
        <v>0.27</v>
      </c>
      <c r="M114" s="102">
        <v>0.27</v>
      </c>
      <c r="N114" s="102">
        <v>0.27</v>
      </c>
      <c r="O114" s="102">
        <v>0.27</v>
      </c>
      <c r="P114" s="102">
        <v>0.27</v>
      </c>
      <c r="Q114" s="81"/>
      <c r="R114" s="81" t="s">
        <v>583</v>
      </c>
      <c r="S114" s="81" t="s">
        <v>583</v>
      </c>
      <c r="T114" s="81"/>
      <c r="U114" s="272">
        <f>INDEX($K114:$Q114,1,U$54)</f>
        <v>0.27</v>
      </c>
      <c r="V114" s="272">
        <f t="shared" si="15"/>
        <v>0.27</v>
      </c>
      <c r="W114" s="272">
        <f t="shared" si="15"/>
        <v>0.27</v>
      </c>
      <c r="X114" s="272">
        <f t="shared" si="15"/>
        <v>0.27</v>
      </c>
      <c r="Y114" s="272">
        <f t="shared" si="15"/>
        <v>0.27</v>
      </c>
      <c r="Z114" s="272">
        <f t="shared" si="15"/>
        <v>0.27</v>
      </c>
      <c r="AA114" s="272">
        <f t="shared" si="15"/>
        <v>0.27</v>
      </c>
      <c r="AB114" s="27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584</v>
      </c>
      <c r="G115" s="78"/>
      <c r="H115" s="276" t="s">
        <v>585</v>
      </c>
      <c r="I115" s="101" t="s">
        <v>582</v>
      </c>
      <c r="J115" s="101"/>
      <c r="K115" s="102">
        <v>0.4</v>
      </c>
      <c r="L115" s="102">
        <v>0.4</v>
      </c>
      <c r="M115" s="102">
        <v>0.4</v>
      </c>
      <c r="N115" s="102">
        <v>0.4</v>
      </c>
      <c r="O115" s="102">
        <v>0.4</v>
      </c>
      <c r="P115" s="102">
        <v>0.4</v>
      </c>
      <c r="Q115" s="81"/>
      <c r="R115" s="81" t="s">
        <v>586</v>
      </c>
      <c r="S115" s="81" t="s">
        <v>586</v>
      </c>
      <c r="T115" s="81"/>
      <c r="U115" s="272">
        <f>INDEX($K115:$Q115,1,U$54)</f>
        <v>0.4</v>
      </c>
      <c r="V115" s="272">
        <f t="shared" si="15"/>
        <v>0.4</v>
      </c>
      <c r="W115" s="272">
        <f t="shared" si="15"/>
        <v>0.4</v>
      </c>
      <c r="X115" s="272">
        <f t="shared" si="15"/>
        <v>0.4</v>
      </c>
      <c r="Y115" s="272">
        <f t="shared" si="15"/>
        <v>0.4</v>
      </c>
      <c r="Z115" s="272">
        <f t="shared" si="15"/>
        <v>0.4</v>
      </c>
      <c r="AA115" s="272">
        <f t="shared" si="15"/>
        <v>0.4</v>
      </c>
      <c r="AB115" s="27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587</v>
      </c>
      <c r="G116" s="78"/>
      <c r="H116" s="276" t="s">
        <v>588</v>
      </c>
      <c r="I116" s="101" t="s">
        <v>582</v>
      </c>
      <c r="J116" s="101"/>
      <c r="K116" s="102">
        <v>0.6</v>
      </c>
      <c r="L116" s="102">
        <v>0.6</v>
      </c>
      <c r="M116" s="102">
        <v>1</v>
      </c>
      <c r="N116" s="102">
        <v>1</v>
      </c>
      <c r="O116" s="102">
        <v>1</v>
      </c>
      <c r="P116" s="102">
        <v>1</v>
      </c>
      <c r="Q116" s="81"/>
      <c r="R116" s="81" t="s">
        <v>589</v>
      </c>
      <c r="S116" s="81" t="s">
        <v>590</v>
      </c>
      <c r="T116" s="81"/>
      <c r="U116" s="272">
        <f>INDEX($K116:$Q116,1,U$54)</f>
        <v>0.6</v>
      </c>
      <c r="V116" s="272">
        <f t="shared" si="15"/>
        <v>0.6</v>
      </c>
      <c r="W116" s="272">
        <f t="shared" si="15"/>
        <v>0.6</v>
      </c>
      <c r="X116" s="272">
        <f t="shared" si="15"/>
        <v>0.6</v>
      </c>
      <c r="Y116" s="272">
        <f t="shared" si="15"/>
        <v>0.6</v>
      </c>
      <c r="Z116" s="272">
        <f t="shared" si="15"/>
        <v>0.6</v>
      </c>
      <c r="AA116" s="272">
        <f t="shared" si="15"/>
        <v>0.6</v>
      </c>
      <c r="AB116" s="27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591</v>
      </c>
      <c r="G117" s="78"/>
      <c r="H117" s="81" t="s">
        <v>592</v>
      </c>
      <c r="I117" s="101" t="s">
        <v>582</v>
      </c>
      <c r="J117" s="101"/>
      <c r="K117" s="373">
        <v>0.15</v>
      </c>
      <c r="L117" s="373">
        <v>0.15</v>
      </c>
      <c r="M117" s="373">
        <v>0.15</v>
      </c>
      <c r="N117" s="373">
        <v>0.15</v>
      </c>
      <c r="O117" s="373">
        <v>0.15</v>
      </c>
      <c r="P117" s="373">
        <v>0.15</v>
      </c>
      <c r="Q117" s="81"/>
      <c r="R117" s="81" t="s">
        <v>593</v>
      </c>
      <c r="S117" s="81" t="s">
        <v>593</v>
      </c>
      <c r="T117" s="81"/>
      <c r="U117" s="102">
        <v>0.19</v>
      </c>
      <c r="V117" s="102">
        <v>0.19</v>
      </c>
      <c r="W117" s="102">
        <v>0.19</v>
      </c>
      <c r="X117" s="102">
        <v>0.25</v>
      </c>
      <c r="Y117" s="102">
        <v>0.25</v>
      </c>
      <c r="Z117" s="102">
        <v>0.25</v>
      </c>
      <c r="AA117" s="102">
        <v>0.25</v>
      </c>
      <c r="AB117" s="102">
        <v>0.25</v>
      </c>
      <c r="AC117" s="81"/>
      <c r="AD117" s="102" t="s">
        <v>2454</v>
      </c>
      <c r="AE117" s="81"/>
      <c r="AF117" s="102">
        <v>1</v>
      </c>
      <c r="AG117" s="102">
        <v>1</v>
      </c>
      <c r="AH117" s="78"/>
      <c r="AI117" s="60"/>
      <c r="AJ117" s="48"/>
      <c r="AK117" s="48"/>
      <c r="AL117" s="48"/>
    </row>
    <row r="118" spans="1:38" hidden="1" outlineLevel="3" x14ac:dyDescent="0.25">
      <c r="A118" s="48"/>
      <c r="B118" s="57"/>
      <c r="C118" s="50">
        <f>INT($C$40)+3</f>
        <v>4</v>
      </c>
      <c r="D118" s="78"/>
      <c r="E118" s="73"/>
      <c r="F118" s="73" t="s">
        <v>594</v>
      </c>
      <c r="G118" s="78"/>
      <c r="H118" s="81" t="s">
        <v>595</v>
      </c>
      <c r="I118" s="101" t="s">
        <v>582</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596</v>
      </c>
      <c r="G119" s="78"/>
      <c r="H119" s="81" t="s">
        <v>597</v>
      </c>
      <c r="I119" s="101" t="s">
        <v>2410</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532</v>
      </c>
      <c r="AE119" s="81"/>
      <c r="AF119" s="102">
        <v>1</v>
      </c>
      <c r="AG119" s="102">
        <v>1</v>
      </c>
      <c r="AH119" s="78"/>
      <c r="AI119" s="60"/>
      <c r="AJ119" s="48"/>
      <c r="AK119" s="48"/>
      <c r="AL119" s="48"/>
    </row>
    <row r="120" spans="1:38" outlineLevel="1" x14ac:dyDescent="0.25">
      <c r="A120" s="48"/>
      <c r="B120" s="57"/>
      <c r="C120" s="50">
        <f>INT($C$40)+1</f>
        <v>2</v>
      </c>
      <c r="D120" s="78"/>
      <c r="E120" s="73"/>
      <c r="F120" s="275" t="s">
        <v>598</v>
      </c>
      <c r="G120" s="78"/>
      <c r="H120" s="265" t="s">
        <v>599</v>
      </c>
      <c r="I120" s="101"/>
      <c r="J120" s="101" t="s">
        <v>600</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601</v>
      </c>
      <c r="F121" s="73" t="s">
        <v>602</v>
      </c>
      <c r="G121" s="78"/>
      <c r="H121" s="81" t="s">
        <v>575</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603</v>
      </c>
      <c r="G122" s="78"/>
      <c r="H122" s="81" t="s">
        <v>604</v>
      </c>
      <c r="I122" s="101" t="s">
        <v>605</v>
      </c>
      <c r="J122" s="101"/>
      <c r="K122" s="102">
        <v>0.04</v>
      </c>
      <c r="L122" s="102">
        <v>0.05</v>
      </c>
      <c r="M122" s="102">
        <v>2.5000000000000001E-2</v>
      </c>
      <c r="N122" s="102">
        <v>2.5000000000000001E-2</v>
      </c>
      <c r="O122" s="102">
        <v>2.5000000000000001E-2</v>
      </c>
      <c r="P122" s="102">
        <v>2.5000000000000001E-2</v>
      </c>
      <c r="Q122" s="81"/>
      <c r="R122" s="81" t="s">
        <v>2480</v>
      </c>
      <c r="S122" s="81" t="s">
        <v>593</v>
      </c>
      <c r="T122" s="81"/>
      <c r="U122" s="272">
        <f t="shared" ref="U122:AB136" si="17">INDEX($K122:$Q122,1,U$54)</f>
        <v>0.04</v>
      </c>
      <c r="V122" s="272">
        <f t="shared" si="17"/>
        <v>0.04</v>
      </c>
      <c r="W122" s="272">
        <f t="shared" si="17"/>
        <v>0.04</v>
      </c>
      <c r="X122" s="272">
        <f t="shared" si="17"/>
        <v>0.05</v>
      </c>
      <c r="Y122" s="272">
        <f t="shared" si="17"/>
        <v>0.05</v>
      </c>
      <c r="Z122" s="272">
        <f t="shared" si="17"/>
        <v>0.05</v>
      </c>
      <c r="AA122" s="272">
        <f t="shared" si="17"/>
        <v>0.05</v>
      </c>
      <c r="AB122" s="27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606</v>
      </c>
      <c r="G123" s="78"/>
      <c r="H123" s="81" t="s">
        <v>607</v>
      </c>
      <c r="I123" s="101" t="s">
        <v>582</v>
      </c>
      <c r="J123" s="101"/>
      <c r="K123" s="102">
        <v>1.7</v>
      </c>
      <c r="L123" s="102">
        <v>1.7</v>
      </c>
      <c r="M123" s="102">
        <v>1.7</v>
      </c>
      <c r="N123" s="102">
        <v>1.7</v>
      </c>
      <c r="O123" s="102">
        <v>1.7</v>
      </c>
      <c r="P123" s="102">
        <v>1.7</v>
      </c>
      <c r="Q123" s="81"/>
      <c r="R123" s="81" t="s">
        <v>593</v>
      </c>
      <c r="S123" s="81" t="s">
        <v>593</v>
      </c>
      <c r="T123" s="81"/>
      <c r="U123" s="272">
        <f t="shared" si="17"/>
        <v>1.7</v>
      </c>
      <c r="V123" s="272">
        <f t="shared" si="17"/>
        <v>1.7</v>
      </c>
      <c r="W123" s="272">
        <f t="shared" si="17"/>
        <v>1.7</v>
      </c>
      <c r="X123" s="272">
        <f t="shared" si="17"/>
        <v>1.7</v>
      </c>
      <c r="Y123" s="272">
        <f t="shared" si="17"/>
        <v>1.7</v>
      </c>
      <c r="Z123" s="272">
        <f t="shared" si="17"/>
        <v>1.7</v>
      </c>
      <c r="AA123" s="272">
        <f t="shared" si="17"/>
        <v>1.7</v>
      </c>
      <c r="AB123" s="27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608</v>
      </c>
      <c r="G124" s="78"/>
      <c r="H124" s="81" t="s">
        <v>609</v>
      </c>
      <c r="I124" s="101" t="s">
        <v>610</v>
      </c>
      <c r="J124" s="101"/>
      <c r="K124" s="102">
        <v>0.5</v>
      </c>
      <c r="L124" s="102">
        <v>0.5</v>
      </c>
      <c r="M124" s="102">
        <v>0.22</v>
      </c>
      <c r="N124" s="102">
        <v>0.22</v>
      </c>
      <c r="O124" s="102">
        <v>0.22</v>
      </c>
      <c r="P124" s="102">
        <v>0.22</v>
      </c>
      <c r="Q124" s="81"/>
      <c r="R124" s="81" t="s">
        <v>593</v>
      </c>
      <c r="S124" s="81" t="s">
        <v>593</v>
      </c>
      <c r="T124" s="81"/>
      <c r="U124" s="272">
        <f t="shared" si="17"/>
        <v>0.5</v>
      </c>
      <c r="V124" s="272">
        <f t="shared" si="17"/>
        <v>0.5</v>
      </c>
      <c r="W124" s="272">
        <f t="shared" si="17"/>
        <v>0.5</v>
      </c>
      <c r="X124" s="272">
        <f t="shared" si="17"/>
        <v>0.5</v>
      </c>
      <c r="Y124" s="272">
        <f t="shared" si="17"/>
        <v>0.5</v>
      </c>
      <c r="Z124" s="272">
        <f t="shared" si="17"/>
        <v>0.5</v>
      </c>
      <c r="AA124" s="272">
        <f t="shared" si="17"/>
        <v>0.5</v>
      </c>
      <c r="AB124" s="27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611</v>
      </c>
      <c r="G125" s="78"/>
      <c r="H125" s="81" t="s">
        <v>609</v>
      </c>
      <c r="I125" s="101" t="s">
        <v>612</v>
      </c>
      <c r="J125" s="101"/>
      <c r="K125" s="102">
        <v>25</v>
      </c>
      <c r="L125" s="102">
        <v>25</v>
      </c>
      <c r="M125" s="102">
        <v>60</v>
      </c>
      <c r="N125" s="102">
        <v>60</v>
      </c>
      <c r="O125" s="102">
        <v>60</v>
      </c>
      <c r="P125" s="102">
        <v>60</v>
      </c>
      <c r="Q125" s="81"/>
      <c r="R125" s="81" t="s">
        <v>593</v>
      </c>
      <c r="S125" s="81" t="s">
        <v>593</v>
      </c>
      <c r="T125" s="81"/>
      <c r="U125" s="272">
        <f t="shared" si="17"/>
        <v>25</v>
      </c>
      <c r="V125" s="272">
        <f t="shared" si="17"/>
        <v>25</v>
      </c>
      <c r="W125" s="272">
        <f t="shared" si="17"/>
        <v>25</v>
      </c>
      <c r="X125" s="272">
        <f t="shared" si="17"/>
        <v>25</v>
      </c>
      <c r="Y125" s="272">
        <f t="shared" si="17"/>
        <v>25</v>
      </c>
      <c r="Z125" s="272">
        <f t="shared" si="17"/>
        <v>25</v>
      </c>
      <c r="AA125" s="272">
        <f t="shared" si="17"/>
        <v>25</v>
      </c>
      <c r="AB125" s="27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613</v>
      </c>
      <c r="G126" s="78"/>
      <c r="H126" s="81" t="s">
        <v>614</v>
      </c>
      <c r="I126" s="101" t="s">
        <v>582</v>
      </c>
      <c r="J126" s="101"/>
      <c r="K126" s="102">
        <v>0.01</v>
      </c>
      <c r="L126" s="102">
        <v>0.01</v>
      </c>
      <c r="M126" s="102">
        <v>0.02</v>
      </c>
      <c r="N126" s="102">
        <v>0.01</v>
      </c>
      <c r="O126" s="102">
        <v>0.02</v>
      </c>
      <c r="P126" s="102">
        <v>0.02</v>
      </c>
      <c r="Q126" s="81"/>
      <c r="R126" s="81" t="s">
        <v>615</v>
      </c>
      <c r="S126" s="81" t="s">
        <v>615</v>
      </c>
      <c r="T126" s="81"/>
      <c r="U126" s="272">
        <f t="shared" si="17"/>
        <v>0.01</v>
      </c>
      <c r="V126" s="272">
        <f t="shared" si="17"/>
        <v>0.01</v>
      </c>
      <c r="W126" s="272">
        <f t="shared" si="17"/>
        <v>0.01</v>
      </c>
      <c r="X126" s="272">
        <f t="shared" si="17"/>
        <v>0.01</v>
      </c>
      <c r="Y126" s="272">
        <f t="shared" si="17"/>
        <v>0.01</v>
      </c>
      <c r="Z126" s="272">
        <f t="shared" si="17"/>
        <v>0.01</v>
      </c>
      <c r="AA126" s="272">
        <f t="shared" si="17"/>
        <v>0.01</v>
      </c>
      <c r="AB126" s="27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616</v>
      </c>
      <c r="G127" s="78"/>
      <c r="H127" s="81" t="s">
        <v>617</v>
      </c>
      <c r="I127" s="101" t="s">
        <v>618</v>
      </c>
      <c r="J127" s="101"/>
      <c r="K127" s="102">
        <v>25</v>
      </c>
      <c r="L127" s="102">
        <v>25</v>
      </c>
      <c r="M127" s="102">
        <v>25</v>
      </c>
      <c r="N127" s="102">
        <v>25</v>
      </c>
      <c r="O127" s="102">
        <v>25</v>
      </c>
      <c r="P127" s="102">
        <v>25</v>
      </c>
      <c r="Q127" s="81"/>
      <c r="R127" s="81" t="s">
        <v>615</v>
      </c>
      <c r="S127" s="81" t="s">
        <v>615</v>
      </c>
      <c r="T127" s="81"/>
      <c r="U127" s="272">
        <f t="shared" si="17"/>
        <v>25</v>
      </c>
      <c r="V127" s="272">
        <f t="shared" si="17"/>
        <v>25</v>
      </c>
      <c r="W127" s="272">
        <f t="shared" si="17"/>
        <v>25</v>
      </c>
      <c r="X127" s="272">
        <f t="shared" si="17"/>
        <v>25</v>
      </c>
      <c r="Y127" s="272">
        <f t="shared" si="17"/>
        <v>25</v>
      </c>
      <c r="Z127" s="272">
        <f t="shared" si="17"/>
        <v>25</v>
      </c>
      <c r="AA127" s="272">
        <f t="shared" si="17"/>
        <v>25</v>
      </c>
      <c r="AB127" s="27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619</v>
      </c>
      <c r="G128" s="78"/>
      <c r="H128" s="81" t="s">
        <v>620</v>
      </c>
      <c r="I128" s="101" t="s">
        <v>618</v>
      </c>
      <c r="J128" s="101"/>
      <c r="K128" s="102">
        <v>22</v>
      </c>
      <c r="L128" s="102">
        <v>22</v>
      </c>
      <c r="M128" s="102">
        <v>22</v>
      </c>
      <c r="N128" s="102">
        <v>22</v>
      </c>
      <c r="O128" s="102">
        <v>22</v>
      </c>
      <c r="P128" s="102">
        <v>22</v>
      </c>
      <c r="Q128" s="81"/>
      <c r="R128" s="81" t="s">
        <v>615</v>
      </c>
      <c r="S128" s="81" t="s">
        <v>615</v>
      </c>
      <c r="T128" s="81"/>
      <c r="U128" s="272">
        <f t="shared" si="17"/>
        <v>22</v>
      </c>
      <c r="V128" s="272">
        <f t="shared" si="17"/>
        <v>22</v>
      </c>
      <c r="W128" s="272">
        <f t="shared" si="17"/>
        <v>22</v>
      </c>
      <c r="X128" s="272">
        <f t="shared" si="17"/>
        <v>22</v>
      </c>
      <c r="Y128" s="272">
        <f t="shared" si="17"/>
        <v>22</v>
      </c>
      <c r="Z128" s="272">
        <f t="shared" si="17"/>
        <v>22</v>
      </c>
      <c r="AA128" s="272">
        <f t="shared" si="17"/>
        <v>22</v>
      </c>
      <c r="AB128" s="27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621</v>
      </c>
      <c r="G129" s="78"/>
      <c r="H129" s="81" t="s">
        <v>622</v>
      </c>
      <c r="I129" s="101" t="s">
        <v>612</v>
      </c>
      <c r="J129" s="101"/>
      <c r="K129" s="102">
        <v>28</v>
      </c>
      <c r="L129" s="102">
        <v>28</v>
      </c>
      <c r="M129" s="102">
        <v>62</v>
      </c>
      <c r="N129" s="102">
        <v>62</v>
      </c>
      <c r="O129" s="102">
        <v>62</v>
      </c>
      <c r="P129" s="102">
        <v>81</v>
      </c>
      <c r="Q129" s="81"/>
      <c r="R129" s="81" t="s">
        <v>593</v>
      </c>
      <c r="S129" s="81" t="s">
        <v>593</v>
      </c>
      <c r="T129" s="81"/>
      <c r="U129" s="272">
        <f t="shared" si="17"/>
        <v>28</v>
      </c>
      <c r="V129" s="272">
        <f t="shared" si="17"/>
        <v>28</v>
      </c>
      <c r="W129" s="272">
        <f t="shared" si="17"/>
        <v>28</v>
      </c>
      <c r="X129" s="272">
        <f t="shared" si="17"/>
        <v>28</v>
      </c>
      <c r="Y129" s="272">
        <f t="shared" si="17"/>
        <v>28</v>
      </c>
      <c r="Z129" s="272">
        <f t="shared" si="17"/>
        <v>28</v>
      </c>
      <c r="AA129" s="272">
        <f t="shared" si="17"/>
        <v>28</v>
      </c>
      <c r="AB129" s="27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623</v>
      </c>
      <c r="G130" s="78"/>
      <c r="H130" s="81" t="s">
        <v>624</v>
      </c>
      <c r="I130" s="101" t="s">
        <v>582</v>
      </c>
      <c r="J130" s="101"/>
      <c r="K130" s="102">
        <v>1.4</v>
      </c>
      <c r="L130" s="102">
        <v>1.4</v>
      </c>
      <c r="M130" s="102">
        <v>1.7</v>
      </c>
      <c r="N130" s="102">
        <v>1.7</v>
      </c>
      <c r="O130" s="102">
        <v>1.7</v>
      </c>
      <c r="P130" s="102">
        <v>0.7</v>
      </c>
      <c r="Q130" s="81"/>
      <c r="R130" s="81" t="s">
        <v>593</v>
      </c>
      <c r="S130" s="81" t="s">
        <v>593</v>
      </c>
      <c r="T130" s="81"/>
      <c r="U130" s="272">
        <f t="shared" si="17"/>
        <v>1.4</v>
      </c>
      <c r="V130" s="272">
        <f t="shared" si="17"/>
        <v>1.4</v>
      </c>
      <c r="W130" s="272">
        <f t="shared" si="17"/>
        <v>1.4</v>
      </c>
      <c r="X130" s="272">
        <f t="shared" si="17"/>
        <v>1.4</v>
      </c>
      <c r="Y130" s="272">
        <f t="shared" si="17"/>
        <v>1.4</v>
      </c>
      <c r="Z130" s="272">
        <f t="shared" si="17"/>
        <v>1.4</v>
      </c>
      <c r="AA130" s="272">
        <f t="shared" si="17"/>
        <v>1.4</v>
      </c>
      <c r="AB130" s="27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625</v>
      </c>
      <c r="G131" s="78"/>
      <c r="H131" s="81" t="s">
        <v>626</v>
      </c>
      <c r="I131" s="101" t="s">
        <v>627</v>
      </c>
      <c r="J131" s="101"/>
      <c r="K131" s="81"/>
      <c r="L131" s="81"/>
      <c r="M131" s="102">
        <v>0.6</v>
      </c>
      <c r="N131" s="102">
        <v>0.6</v>
      </c>
      <c r="O131" s="102">
        <v>0.6</v>
      </c>
      <c r="P131" s="102">
        <v>0.6</v>
      </c>
      <c r="Q131" s="81"/>
      <c r="R131" s="81"/>
      <c r="S131" s="81"/>
      <c r="T131" s="81"/>
      <c r="U131" s="272">
        <f t="shared" si="17"/>
        <v>0</v>
      </c>
      <c r="V131" s="272">
        <f t="shared" si="17"/>
        <v>0</v>
      </c>
      <c r="W131" s="272">
        <f t="shared" si="17"/>
        <v>0</v>
      </c>
      <c r="X131" s="272">
        <f t="shared" si="17"/>
        <v>0</v>
      </c>
      <c r="Y131" s="272">
        <f t="shared" si="17"/>
        <v>0</v>
      </c>
      <c r="Z131" s="272">
        <f t="shared" si="17"/>
        <v>0</v>
      </c>
      <c r="AA131" s="272">
        <f t="shared" si="17"/>
        <v>0</v>
      </c>
      <c r="AB131" s="27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628</v>
      </c>
      <c r="G132" s="78"/>
      <c r="H132" s="81" t="s">
        <v>626</v>
      </c>
      <c r="I132" s="101" t="s">
        <v>582</v>
      </c>
      <c r="J132" s="101"/>
      <c r="K132" s="81"/>
      <c r="L132" s="81"/>
      <c r="M132" s="102">
        <v>0.05</v>
      </c>
      <c r="N132" s="102">
        <v>0.05</v>
      </c>
      <c r="O132" s="102">
        <v>0.05</v>
      </c>
      <c r="P132" s="102">
        <v>0.05</v>
      </c>
      <c r="Q132" s="81"/>
      <c r="R132" s="81"/>
      <c r="S132" s="81"/>
      <c r="T132" s="81"/>
      <c r="U132" s="272">
        <f t="shared" si="17"/>
        <v>0</v>
      </c>
      <c r="V132" s="272">
        <f t="shared" si="17"/>
        <v>0</v>
      </c>
      <c r="W132" s="272">
        <f t="shared" si="17"/>
        <v>0</v>
      </c>
      <c r="X132" s="272">
        <f t="shared" si="17"/>
        <v>0</v>
      </c>
      <c r="Y132" s="272">
        <f t="shared" si="17"/>
        <v>0</v>
      </c>
      <c r="Z132" s="272">
        <f t="shared" si="17"/>
        <v>0</v>
      </c>
      <c r="AA132" s="272">
        <f t="shared" si="17"/>
        <v>0</v>
      </c>
      <c r="AB132" s="27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629</v>
      </c>
      <c r="G133" s="78"/>
      <c r="H133" s="81" t="s">
        <v>630</v>
      </c>
      <c r="I133" s="101" t="s">
        <v>582</v>
      </c>
      <c r="J133" s="101"/>
      <c r="K133" s="102">
        <v>0.15</v>
      </c>
      <c r="L133" s="102">
        <v>0.15</v>
      </c>
      <c r="M133" s="102">
        <v>0.15</v>
      </c>
      <c r="N133" s="102">
        <v>0.15</v>
      </c>
      <c r="O133" s="102">
        <v>0.15</v>
      </c>
      <c r="P133" s="102">
        <v>0.15</v>
      </c>
      <c r="Q133" s="81"/>
      <c r="R133" s="81" t="s">
        <v>631</v>
      </c>
      <c r="S133" s="81" t="s">
        <v>631</v>
      </c>
      <c r="T133" s="81"/>
      <c r="U133" s="272">
        <f t="shared" si="17"/>
        <v>0.15</v>
      </c>
      <c r="V133" s="272">
        <f t="shared" si="17"/>
        <v>0.15</v>
      </c>
      <c r="W133" s="272">
        <f t="shared" si="17"/>
        <v>0.15</v>
      </c>
      <c r="X133" s="272">
        <f t="shared" si="17"/>
        <v>0.15</v>
      </c>
      <c r="Y133" s="272">
        <f t="shared" si="17"/>
        <v>0.15</v>
      </c>
      <c r="Z133" s="272">
        <f t="shared" si="17"/>
        <v>0.15</v>
      </c>
      <c r="AA133" s="272">
        <f t="shared" si="17"/>
        <v>0.15</v>
      </c>
      <c r="AB133" s="27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632</v>
      </c>
      <c r="G134" s="78"/>
      <c r="H134" s="81" t="s">
        <v>630</v>
      </c>
      <c r="I134" s="101" t="s">
        <v>610</v>
      </c>
      <c r="J134" s="101"/>
      <c r="K134" s="102">
        <v>0.02</v>
      </c>
      <c r="L134" s="102">
        <v>0.02</v>
      </c>
      <c r="M134" s="102">
        <v>5.0000000000000001E-3</v>
      </c>
      <c r="N134" s="102">
        <v>5.0000000000000001E-3</v>
      </c>
      <c r="O134" s="102">
        <v>5.0000000000000001E-3</v>
      </c>
      <c r="P134" s="102">
        <v>5.0000000000000001E-3</v>
      </c>
      <c r="Q134" s="81"/>
      <c r="R134" s="81" t="s">
        <v>631</v>
      </c>
      <c r="S134" s="81" t="s">
        <v>631</v>
      </c>
      <c r="T134" s="81"/>
      <c r="U134" s="272">
        <f t="shared" si="17"/>
        <v>0.02</v>
      </c>
      <c r="V134" s="272">
        <f t="shared" si="17"/>
        <v>0.02</v>
      </c>
      <c r="W134" s="272">
        <f t="shared" si="17"/>
        <v>0.02</v>
      </c>
      <c r="X134" s="272">
        <f t="shared" si="17"/>
        <v>0.02</v>
      </c>
      <c r="Y134" s="272">
        <f t="shared" si="17"/>
        <v>0.02</v>
      </c>
      <c r="Z134" s="272">
        <f t="shared" si="17"/>
        <v>0.02</v>
      </c>
      <c r="AA134" s="272">
        <f t="shared" si="17"/>
        <v>0.02</v>
      </c>
      <c r="AB134" s="27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633</v>
      </c>
      <c r="G135" s="78"/>
      <c r="H135" s="81" t="s">
        <v>630</v>
      </c>
      <c r="I135" s="101" t="s">
        <v>610</v>
      </c>
      <c r="J135" s="101"/>
      <c r="K135" s="102">
        <v>2E-3</v>
      </c>
      <c r="L135" s="102">
        <v>2E-3</v>
      </c>
      <c r="M135" s="102">
        <v>2E-3</v>
      </c>
      <c r="N135" s="102">
        <v>2E-3</v>
      </c>
      <c r="O135" s="102">
        <v>2E-3</v>
      </c>
      <c r="P135" s="102">
        <v>2E-3</v>
      </c>
      <c r="Q135" s="81"/>
      <c r="R135" s="81" t="s">
        <v>631</v>
      </c>
      <c r="S135" s="81" t="s">
        <v>631</v>
      </c>
      <c r="T135" s="81"/>
      <c r="U135" s="272">
        <f t="shared" si="17"/>
        <v>2E-3</v>
      </c>
      <c r="V135" s="272">
        <f t="shared" si="17"/>
        <v>2E-3</v>
      </c>
      <c r="W135" s="272">
        <f t="shared" si="17"/>
        <v>2E-3</v>
      </c>
      <c r="X135" s="272">
        <f t="shared" si="17"/>
        <v>2E-3</v>
      </c>
      <c r="Y135" s="272">
        <f t="shared" si="17"/>
        <v>2E-3</v>
      </c>
      <c r="Z135" s="272">
        <f t="shared" si="17"/>
        <v>2E-3</v>
      </c>
      <c r="AA135" s="272">
        <f t="shared" si="17"/>
        <v>2E-3</v>
      </c>
      <c r="AB135" s="27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634</v>
      </c>
      <c r="G136" s="78"/>
      <c r="H136" s="81" t="s">
        <v>635</v>
      </c>
      <c r="I136" s="101" t="s">
        <v>582</v>
      </c>
      <c r="J136" s="101"/>
      <c r="K136" s="102">
        <v>0.5</v>
      </c>
      <c r="L136" s="102">
        <v>0.5</v>
      </c>
      <c r="M136" s="102">
        <v>0.5</v>
      </c>
      <c r="N136" s="102">
        <v>0.5</v>
      </c>
      <c r="O136" s="102">
        <v>0.5</v>
      </c>
      <c r="P136" s="102">
        <v>0.5</v>
      </c>
      <c r="Q136" s="81"/>
      <c r="R136" s="81" t="s">
        <v>631</v>
      </c>
      <c r="S136" s="81" t="s">
        <v>631</v>
      </c>
      <c r="T136" s="81"/>
      <c r="U136" s="272">
        <f t="shared" si="17"/>
        <v>0.5</v>
      </c>
      <c r="V136" s="272">
        <f t="shared" si="17"/>
        <v>0.5</v>
      </c>
      <c r="W136" s="272">
        <f t="shared" si="17"/>
        <v>0.5</v>
      </c>
      <c r="X136" s="272">
        <f t="shared" si="17"/>
        <v>0.5</v>
      </c>
      <c r="Y136" s="272">
        <f t="shared" si="17"/>
        <v>0.5</v>
      </c>
      <c r="Z136" s="272">
        <f t="shared" si="17"/>
        <v>0.5</v>
      </c>
      <c r="AA136" s="272">
        <f t="shared" si="17"/>
        <v>0.5</v>
      </c>
      <c r="AB136" s="27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636</v>
      </c>
      <c r="G137" s="78"/>
      <c r="H137" s="81" t="s">
        <v>637</v>
      </c>
      <c r="I137" s="101" t="s">
        <v>582</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638</v>
      </c>
      <c r="G138" s="78"/>
      <c r="H138" s="81" t="s">
        <v>639</v>
      </c>
      <c r="I138" s="101" t="s">
        <v>582</v>
      </c>
      <c r="J138" s="101"/>
      <c r="K138" s="102">
        <v>0.01</v>
      </c>
      <c r="L138" s="102">
        <v>0.01</v>
      </c>
      <c r="M138" s="102">
        <v>0.01</v>
      </c>
      <c r="N138" s="102">
        <v>0.01</v>
      </c>
      <c r="O138" s="102">
        <v>0.01</v>
      </c>
      <c r="P138" s="102">
        <v>0.01</v>
      </c>
      <c r="Q138" s="81"/>
      <c r="R138" s="81" t="s">
        <v>640</v>
      </c>
      <c r="S138" s="81" t="s">
        <v>640</v>
      </c>
      <c r="T138" s="81"/>
      <c r="U138" s="272">
        <f t="shared" ref="U138:AB139" si="18">INDEX($K138:$Q138,1,U$54)</f>
        <v>0.01</v>
      </c>
      <c r="V138" s="272">
        <f t="shared" si="18"/>
        <v>0.01</v>
      </c>
      <c r="W138" s="272">
        <f t="shared" si="18"/>
        <v>0.01</v>
      </c>
      <c r="X138" s="272">
        <f t="shared" si="18"/>
        <v>0.01</v>
      </c>
      <c r="Y138" s="272">
        <f t="shared" si="18"/>
        <v>0.01</v>
      </c>
      <c r="Z138" s="272">
        <f t="shared" si="18"/>
        <v>0.01</v>
      </c>
      <c r="AA138" s="272">
        <f t="shared" si="18"/>
        <v>0.01</v>
      </c>
      <c r="AB138" s="27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641</v>
      </c>
      <c r="G139" s="78"/>
      <c r="H139" s="81" t="s">
        <v>642</v>
      </c>
      <c r="I139" s="101" t="s">
        <v>582</v>
      </c>
      <c r="J139" s="101"/>
      <c r="K139" s="102">
        <v>20</v>
      </c>
      <c r="L139" s="102">
        <v>20</v>
      </c>
      <c r="M139" s="102">
        <v>20</v>
      </c>
      <c r="N139" s="102">
        <v>20</v>
      </c>
      <c r="O139" s="102">
        <v>20</v>
      </c>
      <c r="P139" s="102">
        <v>20</v>
      </c>
      <c r="Q139" s="81"/>
      <c r="R139" s="81" t="s">
        <v>640</v>
      </c>
      <c r="S139" s="81" t="s">
        <v>640</v>
      </c>
      <c r="T139" s="81"/>
      <c r="U139" s="272">
        <f t="shared" si="18"/>
        <v>20</v>
      </c>
      <c r="V139" s="272">
        <f t="shared" si="18"/>
        <v>20</v>
      </c>
      <c r="W139" s="272">
        <f t="shared" si="18"/>
        <v>20</v>
      </c>
      <c r="X139" s="272">
        <f t="shared" si="18"/>
        <v>20</v>
      </c>
      <c r="Y139" s="272">
        <f t="shared" si="18"/>
        <v>20</v>
      </c>
      <c r="Z139" s="272">
        <f t="shared" si="18"/>
        <v>20</v>
      </c>
      <c r="AA139" s="272">
        <f t="shared" si="18"/>
        <v>20</v>
      </c>
      <c r="AB139" s="27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643</v>
      </c>
      <c r="G140" s="78"/>
      <c r="H140" s="81" t="s">
        <v>644</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645</v>
      </c>
      <c r="G141" s="78"/>
      <c r="H141" s="81" t="s">
        <v>646</v>
      </c>
      <c r="I141" s="101" t="s">
        <v>582</v>
      </c>
      <c r="J141" s="101"/>
      <c r="K141" s="102">
        <v>1.5</v>
      </c>
      <c r="L141" s="102">
        <v>1.7</v>
      </c>
      <c r="M141" s="102">
        <v>1.5</v>
      </c>
      <c r="N141" s="102">
        <v>1.5</v>
      </c>
      <c r="O141" s="102">
        <v>1.5</v>
      </c>
      <c r="P141" s="102">
        <v>1.5</v>
      </c>
      <c r="Q141" s="81"/>
      <c r="R141" s="81" t="s">
        <v>2481</v>
      </c>
      <c r="S141" s="81" t="s">
        <v>631</v>
      </c>
      <c r="T141" s="81"/>
      <c r="U141" s="272">
        <f t="shared" ref="U141:AB142" si="19">INDEX($K141:$Q141,1,U$54)</f>
        <v>1.5</v>
      </c>
      <c r="V141" s="272">
        <f t="shared" si="19"/>
        <v>1.5</v>
      </c>
      <c r="W141" s="272">
        <f t="shared" si="19"/>
        <v>1.5</v>
      </c>
      <c r="X141" s="272">
        <f t="shared" si="19"/>
        <v>1.7</v>
      </c>
      <c r="Y141" s="272">
        <f t="shared" si="19"/>
        <v>1.7</v>
      </c>
      <c r="Z141" s="272">
        <f t="shared" si="19"/>
        <v>1.7</v>
      </c>
      <c r="AA141" s="272">
        <f t="shared" si="19"/>
        <v>1.7</v>
      </c>
      <c r="AB141" s="27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647</v>
      </c>
      <c r="G142" s="78"/>
      <c r="H142" s="81" t="s">
        <v>648</v>
      </c>
      <c r="I142" s="101" t="s">
        <v>582</v>
      </c>
      <c r="J142" s="101"/>
      <c r="K142" s="102">
        <v>3</v>
      </c>
      <c r="L142" s="102">
        <v>3</v>
      </c>
      <c r="M142" s="102">
        <v>3</v>
      </c>
      <c r="N142" s="102">
        <v>3</v>
      </c>
      <c r="O142" s="102">
        <v>3</v>
      </c>
      <c r="P142" s="102">
        <v>3</v>
      </c>
      <c r="Q142" s="81"/>
      <c r="R142" s="81"/>
      <c r="S142" s="81" t="s">
        <v>586</v>
      </c>
      <c r="T142" s="81"/>
      <c r="U142" s="272">
        <f t="shared" si="19"/>
        <v>3</v>
      </c>
      <c r="V142" s="272">
        <f t="shared" si="19"/>
        <v>3</v>
      </c>
      <c r="W142" s="272">
        <f t="shared" si="19"/>
        <v>3</v>
      </c>
      <c r="X142" s="272">
        <f t="shared" si="19"/>
        <v>3</v>
      </c>
      <c r="Y142" s="272">
        <f t="shared" si="19"/>
        <v>3</v>
      </c>
      <c r="Z142" s="272">
        <f t="shared" si="19"/>
        <v>3</v>
      </c>
      <c r="AA142" s="272">
        <f t="shared" si="19"/>
        <v>3</v>
      </c>
      <c r="AB142" s="27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275" t="s">
        <v>649</v>
      </c>
      <c r="G143" s="78"/>
      <c r="H143" s="265" t="s">
        <v>650</v>
      </c>
      <c r="I143" s="101"/>
      <c r="J143" s="101" t="s">
        <v>600</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651</v>
      </c>
      <c r="F144" s="73" t="s">
        <v>652</v>
      </c>
      <c r="G144" s="78"/>
      <c r="H144" s="81" t="s">
        <v>575</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653</v>
      </c>
      <c r="G145" s="78"/>
      <c r="H145" s="81" t="s">
        <v>654</v>
      </c>
      <c r="I145" s="101" t="s">
        <v>655</v>
      </c>
      <c r="J145" s="101"/>
      <c r="K145" s="102">
        <v>0.8</v>
      </c>
      <c r="L145" s="102">
        <v>0.8</v>
      </c>
      <c r="M145" s="102">
        <v>0.8</v>
      </c>
      <c r="N145" s="102">
        <v>0.8</v>
      </c>
      <c r="O145" s="102">
        <v>0.8</v>
      </c>
      <c r="P145" s="102">
        <v>0.8</v>
      </c>
      <c r="Q145" s="81"/>
      <c r="R145" s="81" t="s">
        <v>593</v>
      </c>
      <c r="S145" s="81" t="s">
        <v>593</v>
      </c>
      <c r="T145" s="81"/>
      <c r="U145" s="272">
        <f t="shared" ref="U145:AB158" si="21">INDEX($K145:$Q145,1,U$54)</f>
        <v>0.8</v>
      </c>
      <c r="V145" s="272">
        <f t="shared" si="21"/>
        <v>0.8</v>
      </c>
      <c r="W145" s="272">
        <f t="shared" si="21"/>
        <v>0.8</v>
      </c>
      <c r="X145" s="272">
        <f t="shared" si="21"/>
        <v>0.8</v>
      </c>
      <c r="Y145" s="272">
        <f t="shared" si="21"/>
        <v>0.8</v>
      </c>
      <c r="Z145" s="272">
        <f t="shared" si="21"/>
        <v>0.8</v>
      </c>
      <c r="AA145" s="272">
        <f t="shared" si="21"/>
        <v>0.8</v>
      </c>
      <c r="AB145" s="27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656</v>
      </c>
      <c r="G146" s="78"/>
      <c r="H146" s="81" t="s">
        <v>657</v>
      </c>
      <c r="I146" s="101" t="s">
        <v>582</v>
      </c>
      <c r="J146" s="101"/>
      <c r="K146" s="102">
        <v>0.17</v>
      </c>
      <c r="L146" s="102">
        <v>0.17</v>
      </c>
      <c r="M146" s="102">
        <v>0.17</v>
      </c>
      <c r="N146" s="102">
        <v>0.17</v>
      </c>
      <c r="O146" s="102">
        <v>0.17</v>
      </c>
      <c r="P146" s="102">
        <v>0.17</v>
      </c>
      <c r="Q146" s="81"/>
      <c r="R146" s="81" t="s">
        <v>593</v>
      </c>
      <c r="S146" s="81" t="s">
        <v>593</v>
      </c>
      <c r="T146" s="81"/>
      <c r="U146" s="272">
        <f t="shared" si="21"/>
        <v>0.17</v>
      </c>
      <c r="V146" s="272">
        <f t="shared" si="21"/>
        <v>0.17</v>
      </c>
      <c r="W146" s="272">
        <f t="shared" si="21"/>
        <v>0.17</v>
      </c>
      <c r="X146" s="272">
        <f t="shared" si="21"/>
        <v>0.17</v>
      </c>
      <c r="Y146" s="272">
        <f t="shared" si="21"/>
        <v>0.17</v>
      </c>
      <c r="Z146" s="272">
        <f t="shared" si="21"/>
        <v>0.17</v>
      </c>
      <c r="AA146" s="272">
        <f t="shared" si="21"/>
        <v>0.17</v>
      </c>
      <c r="AB146" s="27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658</v>
      </c>
      <c r="G147" s="78"/>
      <c r="H147" s="81" t="s">
        <v>659</v>
      </c>
      <c r="I147" s="101" t="s">
        <v>582</v>
      </c>
      <c r="J147" s="101"/>
      <c r="K147" s="102">
        <v>1.7</v>
      </c>
      <c r="L147" s="102">
        <v>1.7</v>
      </c>
      <c r="M147" s="102">
        <v>1.7</v>
      </c>
      <c r="N147" s="102">
        <v>1.7</v>
      </c>
      <c r="O147" s="102">
        <v>1.7</v>
      </c>
      <c r="P147" s="102">
        <v>1.7</v>
      </c>
      <c r="Q147" s="81"/>
      <c r="R147" s="81" t="s">
        <v>593</v>
      </c>
      <c r="S147" s="81" t="s">
        <v>593</v>
      </c>
      <c r="T147" s="81"/>
      <c r="U147" s="272">
        <f t="shared" si="21"/>
        <v>1.7</v>
      </c>
      <c r="V147" s="272">
        <f t="shared" si="21"/>
        <v>1.7</v>
      </c>
      <c r="W147" s="272">
        <f t="shared" si="21"/>
        <v>1.7</v>
      </c>
      <c r="X147" s="272">
        <f t="shared" si="21"/>
        <v>1.7</v>
      </c>
      <c r="Y147" s="272">
        <f t="shared" si="21"/>
        <v>1.7</v>
      </c>
      <c r="Z147" s="272">
        <f t="shared" si="21"/>
        <v>1.7</v>
      </c>
      <c r="AA147" s="272">
        <f t="shared" si="21"/>
        <v>1.7</v>
      </c>
      <c r="AB147" s="27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660</v>
      </c>
      <c r="G148" s="78"/>
      <c r="H148" s="81" t="s">
        <v>661</v>
      </c>
      <c r="I148" s="101" t="s">
        <v>627</v>
      </c>
      <c r="J148" s="101"/>
      <c r="K148" s="102">
        <v>1.1199999999999999E-3</v>
      </c>
      <c r="L148" s="102">
        <v>1.1199999999999999E-3</v>
      </c>
      <c r="M148" s="102">
        <v>7.7999999999999999E-4</v>
      </c>
      <c r="N148" s="102">
        <v>7.7999999999999999E-4</v>
      </c>
      <c r="O148" s="102">
        <v>7.7999999999999999E-4</v>
      </c>
      <c r="P148" s="102">
        <v>7.7999999999999999E-4</v>
      </c>
      <c r="Q148" s="81"/>
      <c r="R148" s="81" t="s">
        <v>593</v>
      </c>
      <c r="S148" s="81" t="s">
        <v>593</v>
      </c>
      <c r="T148" s="81"/>
      <c r="U148" s="272">
        <f t="shared" si="21"/>
        <v>1.1199999999999999E-3</v>
      </c>
      <c r="V148" s="272">
        <f t="shared" si="21"/>
        <v>1.1199999999999999E-3</v>
      </c>
      <c r="W148" s="272">
        <f t="shared" si="21"/>
        <v>1.1199999999999999E-3</v>
      </c>
      <c r="X148" s="272">
        <f t="shared" si="21"/>
        <v>1.1199999999999999E-3</v>
      </c>
      <c r="Y148" s="272">
        <f t="shared" si="21"/>
        <v>1.1199999999999999E-3</v>
      </c>
      <c r="Z148" s="272">
        <f t="shared" si="21"/>
        <v>1.1199999999999999E-3</v>
      </c>
      <c r="AA148" s="272">
        <f t="shared" si="21"/>
        <v>1.1199999999999999E-3</v>
      </c>
      <c r="AB148" s="27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662</v>
      </c>
      <c r="G149" s="78"/>
      <c r="H149" s="81" t="s">
        <v>663</v>
      </c>
      <c r="I149" s="101" t="s">
        <v>582</v>
      </c>
      <c r="J149" s="101"/>
      <c r="K149" s="102">
        <v>0.6</v>
      </c>
      <c r="L149" s="102">
        <v>0.6</v>
      </c>
      <c r="M149" s="102">
        <v>0.6</v>
      </c>
      <c r="N149" s="102">
        <v>0.6</v>
      </c>
      <c r="O149" s="102">
        <v>0.6</v>
      </c>
      <c r="P149" s="102">
        <v>0.6</v>
      </c>
      <c r="Q149" s="81"/>
      <c r="R149" s="81" t="s">
        <v>593</v>
      </c>
      <c r="S149" s="81" t="s">
        <v>593</v>
      </c>
      <c r="T149" s="81"/>
      <c r="U149" s="272">
        <f t="shared" si="21"/>
        <v>0.6</v>
      </c>
      <c r="V149" s="272">
        <f t="shared" si="21"/>
        <v>0.6</v>
      </c>
      <c r="W149" s="272">
        <f t="shared" si="21"/>
        <v>0.6</v>
      </c>
      <c r="X149" s="272">
        <f t="shared" si="21"/>
        <v>0.6</v>
      </c>
      <c r="Y149" s="272">
        <f t="shared" si="21"/>
        <v>0.6</v>
      </c>
      <c r="Z149" s="272">
        <f t="shared" si="21"/>
        <v>0.6</v>
      </c>
      <c r="AA149" s="272">
        <f t="shared" si="21"/>
        <v>0.6</v>
      </c>
      <c r="AB149" s="27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664</v>
      </c>
      <c r="G150" s="78"/>
      <c r="H150" s="81" t="s">
        <v>665</v>
      </c>
      <c r="I150" s="101" t="s">
        <v>627</v>
      </c>
      <c r="J150" s="101"/>
      <c r="K150" s="102">
        <v>1.1199999999999999E-3</v>
      </c>
      <c r="L150" s="102">
        <v>1.1199999999999999E-3</v>
      </c>
      <c r="M150" s="102">
        <v>7.3999999999999999E-4</v>
      </c>
      <c r="N150" s="102">
        <v>7.3999999999999999E-4</v>
      </c>
      <c r="O150" s="102">
        <v>7.3999999999999999E-4</v>
      </c>
      <c r="P150" s="102">
        <v>7.3999999999999999E-4</v>
      </c>
      <c r="Q150" s="81"/>
      <c r="R150" s="81" t="s">
        <v>593</v>
      </c>
      <c r="S150" s="81" t="s">
        <v>593</v>
      </c>
      <c r="T150" s="81"/>
      <c r="U150" s="272">
        <f t="shared" si="21"/>
        <v>1.1199999999999999E-3</v>
      </c>
      <c r="V150" s="272">
        <f t="shared" si="21"/>
        <v>1.1199999999999999E-3</v>
      </c>
      <c r="W150" s="272">
        <f t="shared" si="21"/>
        <v>1.1199999999999999E-3</v>
      </c>
      <c r="X150" s="272">
        <f t="shared" si="21"/>
        <v>1.1199999999999999E-3</v>
      </c>
      <c r="Y150" s="272">
        <f t="shared" si="21"/>
        <v>1.1199999999999999E-3</v>
      </c>
      <c r="Z150" s="272">
        <f t="shared" si="21"/>
        <v>1.1199999999999999E-3</v>
      </c>
      <c r="AA150" s="272">
        <f t="shared" si="21"/>
        <v>1.1199999999999999E-3</v>
      </c>
      <c r="AB150" s="27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666</v>
      </c>
      <c r="G151" s="78"/>
      <c r="H151" s="81" t="s">
        <v>667</v>
      </c>
      <c r="I151" s="101" t="s">
        <v>582</v>
      </c>
      <c r="J151" s="101"/>
      <c r="K151" s="102">
        <v>0</v>
      </c>
      <c r="L151" s="102">
        <v>0</v>
      </c>
      <c r="M151" s="102">
        <v>0.5</v>
      </c>
      <c r="N151" s="102">
        <v>0.5</v>
      </c>
      <c r="O151" s="102">
        <v>0.5</v>
      </c>
      <c r="P151" s="102">
        <v>0.5</v>
      </c>
      <c r="Q151" s="81"/>
      <c r="R151" s="81"/>
      <c r="S151" s="81" t="s">
        <v>668</v>
      </c>
      <c r="T151" s="81"/>
      <c r="U151" s="272">
        <f t="shared" si="21"/>
        <v>0</v>
      </c>
      <c r="V151" s="272">
        <f t="shared" si="21"/>
        <v>0</v>
      </c>
      <c r="W151" s="272">
        <f t="shared" si="21"/>
        <v>0</v>
      </c>
      <c r="X151" s="272">
        <f t="shared" si="21"/>
        <v>0</v>
      </c>
      <c r="Y151" s="272">
        <f t="shared" si="21"/>
        <v>0</v>
      </c>
      <c r="Z151" s="272">
        <f t="shared" si="21"/>
        <v>0</v>
      </c>
      <c r="AA151" s="272">
        <f t="shared" si="21"/>
        <v>0</v>
      </c>
      <c r="AB151" s="27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669</v>
      </c>
      <c r="G152" s="78"/>
      <c r="H152" s="81" t="s">
        <v>670</v>
      </c>
      <c r="I152" s="101" t="s">
        <v>612</v>
      </c>
      <c r="J152" s="101"/>
      <c r="K152" s="81"/>
      <c r="L152" s="81"/>
      <c r="M152" s="102">
        <v>64</v>
      </c>
      <c r="N152" s="102">
        <v>64</v>
      </c>
      <c r="O152" s="102">
        <v>64</v>
      </c>
      <c r="P152" s="102">
        <v>150</v>
      </c>
      <c r="Q152" s="81"/>
      <c r="R152" s="81"/>
      <c r="S152" s="81" t="s">
        <v>668</v>
      </c>
      <c r="T152" s="81"/>
      <c r="U152" s="272">
        <f t="shared" si="21"/>
        <v>0</v>
      </c>
      <c r="V152" s="272">
        <f t="shared" si="21"/>
        <v>0</v>
      </c>
      <c r="W152" s="272">
        <f t="shared" si="21"/>
        <v>0</v>
      </c>
      <c r="X152" s="272">
        <f t="shared" si="21"/>
        <v>0</v>
      </c>
      <c r="Y152" s="272">
        <f t="shared" si="21"/>
        <v>0</v>
      </c>
      <c r="Z152" s="272">
        <f t="shared" si="21"/>
        <v>0</v>
      </c>
      <c r="AA152" s="272">
        <f t="shared" si="21"/>
        <v>0</v>
      </c>
      <c r="AB152" s="27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671</v>
      </c>
      <c r="G153" s="78"/>
      <c r="H153" s="81" t="s">
        <v>672</v>
      </c>
      <c r="I153" s="101" t="s">
        <v>582</v>
      </c>
      <c r="J153" s="101"/>
      <c r="K153" s="81"/>
      <c r="L153" s="81"/>
      <c r="M153" s="102">
        <v>1.7</v>
      </c>
      <c r="N153" s="102">
        <v>1.7</v>
      </c>
      <c r="O153" s="102">
        <v>1.7</v>
      </c>
      <c r="P153" s="102">
        <v>1.7</v>
      </c>
      <c r="Q153" s="81"/>
      <c r="R153" s="81"/>
      <c r="S153" s="81" t="s">
        <v>668</v>
      </c>
      <c r="T153" s="81"/>
      <c r="U153" s="272">
        <f t="shared" si="21"/>
        <v>0</v>
      </c>
      <c r="V153" s="272">
        <f t="shared" si="21"/>
        <v>0</v>
      </c>
      <c r="W153" s="272">
        <f t="shared" si="21"/>
        <v>0</v>
      </c>
      <c r="X153" s="272">
        <f t="shared" si="21"/>
        <v>0</v>
      </c>
      <c r="Y153" s="272">
        <f t="shared" si="21"/>
        <v>0</v>
      </c>
      <c r="Z153" s="272">
        <f t="shared" si="21"/>
        <v>0</v>
      </c>
      <c r="AA153" s="272">
        <f t="shared" si="21"/>
        <v>0</v>
      </c>
      <c r="AB153" s="27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673</v>
      </c>
      <c r="G154" s="78"/>
      <c r="H154" s="81" t="s">
        <v>672</v>
      </c>
      <c r="I154" s="101" t="s">
        <v>582</v>
      </c>
      <c r="J154" s="101"/>
      <c r="K154" s="81"/>
      <c r="L154" s="81"/>
      <c r="M154" s="102">
        <v>0.1</v>
      </c>
      <c r="N154" s="102">
        <v>0.1</v>
      </c>
      <c r="O154" s="102">
        <v>0.1</v>
      </c>
      <c r="P154" s="102">
        <v>0.1</v>
      </c>
      <c r="Q154" s="81"/>
      <c r="R154" s="81"/>
      <c r="S154" s="81" t="s">
        <v>668</v>
      </c>
      <c r="T154" s="81"/>
      <c r="U154" s="272">
        <f t="shared" si="21"/>
        <v>0</v>
      </c>
      <c r="V154" s="272">
        <f t="shared" si="21"/>
        <v>0</v>
      </c>
      <c r="W154" s="272">
        <f t="shared" si="21"/>
        <v>0</v>
      </c>
      <c r="X154" s="272">
        <f t="shared" si="21"/>
        <v>0</v>
      </c>
      <c r="Y154" s="272">
        <f t="shared" si="21"/>
        <v>0</v>
      </c>
      <c r="Z154" s="272">
        <f t="shared" si="21"/>
        <v>0</v>
      </c>
      <c r="AA154" s="272">
        <f t="shared" si="21"/>
        <v>0</v>
      </c>
      <c r="AB154" s="27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674</v>
      </c>
      <c r="G155" s="78"/>
      <c r="H155" s="81" t="s">
        <v>675</v>
      </c>
      <c r="I155" s="101" t="s">
        <v>676</v>
      </c>
      <c r="J155" s="101"/>
      <c r="K155" s="102">
        <v>10.5</v>
      </c>
      <c r="L155" s="102">
        <v>10.5</v>
      </c>
      <c r="M155" s="102">
        <v>10.5</v>
      </c>
      <c r="N155" s="102">
        <v>10.5</v>
      </c>
      <c r="O155" s="102">
        <v>10.5</v>
      </c>
      <c r="P155" s="102">
        <v>10.5</v>
      </c>
      <c r="Q155" s="81"/>
      <c r="R155" s="81" t="s">
        <v>677</v>
      </c>
      <c r="S155" s="81" t="s">
        <v>668</v>
      </c>
      <c r="T155" s="81"/>
      <c r="U155" s="272">
        <f t="shared" si="21"/>
        <v>10.5</v>
      </c>
      <c r="V155" s="272">
        <f t="shared" si="21"/>
        <v>10.5</v>
      </c>
      <c r="W155" s="272">
        <f t="shared" si="21"/>
        <v>10.5</v>
      </c>
      <c r="X155" s="272">
        <f t="shared" si="21"/>
        <v>10.5</v>
      </c>
      <c r="Y155" s="272">
        <f t="shared" si="21"/>
        <v>10.5</v>
      </c>
      <c r="Z155" s="272">
        <f t="shared" si="21"/>
        <v>10.5</v>
      </c>
      <c r="AA155" s="272">
        <f t="shared" si="21"/>
        <v>10.5</v>
      </c>
      <c r="AB155" s="27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678</v>
      </c>
      <c r="G156" s="78"/>
      <c r="H156" s="81" t="s">
        <v>679</v>
      </c>
      <c r="I156" s="101" t="s">
        <v>582</v>
      </c>
      <c r="J156" s="101"/>
      <c r="K156" s="102">
        <v>1</v>
      </c>
      <c r="L156" s="102">
        <v>1</v>
      </c>
      <c r="M156" s="102">
        <v>1</v>
      </c>
      <c r="N156" s="102">
        <v>1</v>
      </c>
      <c r="O156" s="102">
        <v>1</v>
      </c>
      <c r="P156" s="102">
        <v>1</v>
      </c>
      <c r="Q156" s="81"/>
      <c r="R156" s="81" t="s">
        <v>668</v>
      </c>
      <c r="S156" s="81" t="s">
        <v>668</v>
      </c>
      <c r="T156" s="81"/>
      <c r="U156" s="272">
        <f t="shared" si="21"/>
        <v>1</v>
      </c>
      <c r="V156" s="272">
        <f t="shared" si="21"/>
        <v>1</v>
      </c>
      <c r="W156" s="272">
        <f t="shared" si="21"/>
        <v>1</v>
      </c>
      <c r="X156" s="272">
        <f t="shared" si="21"/>
        <v>1</v>
      </c>
      <c r="Y156" s="272">
        <f t="shared" si="21"/>
        <v>1</v>
      </c>
      <c r="Z156" s="272">
        <f t="shared" si="21"/>
        <v>1</v>
      </c>
      <c r="AA156" s="272">
        <f t="shared" si="21"/>
        <v>1</v>
      </c>
      <c r="AB156" s="27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680</v>
      </c>
      <c r="G157" s="78"/>
      <c r="H157" s="81" t="s">
        <v>681</v>
      </c>
      <c r="I157" s="101" t="s">
        <v>582</v>
      </c>
      <c r="J157" s="101"/>
      <c r="K157" s="102">
        <v>0.35</v>
      </c>
      <c r="L157" s="102">
        <v>0.35</v>
      </c>
      <c r="M157" s="102">
        <v>0.35</v>
      </c>
      <c r="N157" s="102">
        <v>0.35</v>
      </c>
      <c r="O157" s="102">
        <v>0.35</v>
      </c>
      <c r="P157" s="102">
        <v>0.35</v>
      </c>
      <c r="Q157" s="81"/>
      <c r="R157" s="81" t="s">
        <v>668</v>
      </c>
      <c r="S157" s="81" t="s">
        <v>668</v>
      </c>
      <c r="T157" s="81"/>
      <c r="U157" s="272">
        <f t="shared" si="21"/>
        <v>0.35</v>
      </c>
      <c r="V157" s="272">
        <f t="shared" si="21"/>
        <v>0.35</v>
      </c>
      <c r="W157" s="272">
        <f t="shared" si="21"/>
        <v>0.35</v>
      </c>
      <c r="X157" s="272">
        <f t="shared" si="21"/>
        <v>0.35</v>
      </c>
      <c r="Y157" s="272">
        <f t="shared" si="21"/>
        <v>0.35</v>
      </c>
      <c r="Z157" s="272">
        <f t="shared" si="21"/>
        <v>0.35</v>
      </c>
      <c r="AA157" s="272">
        <f t="shared" si="21"/>
        <v>0.35</v>
      </c>
      <c r="AB157" s="27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682</v>
      </c>
      <c r="G158" s="78"/>
      <c r="H158" s="81" t="s">
        <v>683</v>
      </c>
      <c r="I158" s="101" t="s">
        <v>582</v>
      </c>
      <c r="J158" s="101"/>
      <c r="K158" s="102">
        <v>1</v>
      </c>
      <c r="L158" s="102">
        <v>1</v>
      </c>
      <c r="M158" s="102">
        <v>1</v>
      </c>
      <c r="N158" s="102">
        <v>1</v>
      </c>
      <c r="O158" s="102">
        <v>1</v>
      </c>
      <c r="P158" s="102">
        <v>1</v>
      </c>
      <c r="Q158" s="81"/>
      <c r="R158" s="81" t="s">
        <v>668</v>
      </c>
      <c r="S158" s="81" t="s">
        <v>668</v>
      </c>
      <c r="T158" s="81"/>
      <c r="U158" s="272">
        <f t="shared" si="21"/>
        <v>1</v>
      </c>
      <c r="V158" s="272">
        <f t="shared" si="21"/>
        <v>1</v>
      </c>
      <c r="W158" s="272">
        <f t="shared" si="21"/>
        <v>1</v>
      </c>
      <c r="X158" s="272">
        <f t="shared" si="21"/>
        <v>1</v>
      </c>
      <c r="Y158" s="272">
        <f t="shared" si="21"/>
        <v>1</v>
      </c>
      <c r="Z158" s="272">
        <f t="shared" si="21"/>
        <v>1</v>
      </c>
      <c r="AA158" s="272">
        <f t="shared" si="21"/>
        <v>1</v>
      </c>
      <c r="AB158" s="27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684</v>
      </c>
      <c r="G159" s="78"/>
      <c r="H159" s="81" t="s">
        <v>685</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686</v>
      </c>
      <c r="G160" s="78"/>
      <c r="H160" s="81" t="s">
        <v>685</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687</v>
      </c>
      <c r="G161" s="78"/>
      <c r="H161" s="81" t="s">
        <v>685</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688</v>
      </c>
      <c r="G162" s="78"/>
      <c r="H162" s="81" t="s">
        <v>685</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689</v>
      </c>
      <c r="G163" s="78"/>
      <c r="H163" s="81" t="s">
        <v>685</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690</v>
      </c>
      <c r="G164" s="78"/>
      <c r="H164" s="81" t="s">
        <v>691</v>
      </c>
      <c r="I164" s="101" t="s">
        <v>676</v>
      </c>
      <c r="J164" s="101"/>
      <c r="K164" s="102">
        <v>11.5</v>
      </c>
      <c r="L164" s="102">
        <v>11.5</v>
      </c>
      <c r="M164" s="102">
        <v>11.5</v>
      </c>
      <c r="N164" s="102">
        <v>11.5</v>
      </c>
      <c r="O164" s="102">
        <v>11.5</v>
      </c>
      <c r="P164" s="102">
        <v>11.5</v>
      </c>
      <c r="Q164" s="81"/>
      <c r="R164" s="81" t="s">
        <v>692</v>
      </c>
      <c r="S164" s="81"/>
      <c r="T164" s="81"/>
      <c r="U164" s="272">
        <f t="shared" ref="U164:AB166" si="22">INDEX($K164:$Q164,1,U$54)</f>
        <v>11.5</v>
      </c>
      <c r="V164" s="272">
        <f t="shared" si="22"/>
        <v>11.5</v>
      </c>
      <c r="W164" s="272">
        <f t="shared" si="22"/>
        <v>11.5</v>
      </c>
      <c r="X164" s="272">
        <f t="shared" si="22"/>
        <v>11.5</v>
      </c>
      <c r="Y164" s="272">
        <f t="shared" si="22"/>
        <v>11.5</v>
      </c>
      <c r="Z164" s="272">
        <f t="shared" si="22"/>
        <v>11.5</v>
      </c>
      <c r="AA164" s="272">
        <f t="shared" si="22"/>
        <v>11.5</v>
      </c>
      <c r="AB164" s="27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693</v>
      </c>
      <c r="G165" s="78"/>
      <c r="H165" s="81" t="s">
        <v>694</v>
      </c>
      <c r="I165" s="101" t="s">
        <v>676</v>
      </c>
      <c r="J165" s="101"/>
      <c r="K165" s="102">
        <v>0</v>
      </c>
      <c r="L165" s="102">
        <v>0</v>
      </c>
      <c r="M165" s="102">
        <v>0</v>
      </c>
      <c r="N165" s="102">
        <v>0</v>
      </c>
      <c r="O165" s="102">
        <v>0</v>
      </c>
      <c r="P165" s="102">
        <v>0</v>
      </c>
      <c r="Q165" s="81"/>
      <c r="R165" s="81" t="s">
        <v>695</v>
      </c>
      <c r="S165" s="81" t="s">
        <v>695</v>
      </c>
      <c r="T165" s="81"/>
      <c r="U165" s="272">
        <f t="shared" si="22"/>
        <v>0</v>
      </c>
      <c r="V165" s="272">
        <f t="shared" si="22"/>
        <v>0</v>
      </c>
      <c r="W165" s="272">
        <f t="shared" si="22"/>
        <v>0</v>
      </c>
      <c r="X165" s="272">
        <f t="shared" si="22"/>
        <v>0</v>
      </c>
      <c r="Y165" s="272">
        <f t="shared" si="22"/>
        <v>0</v>
      </c>
      <c r="Z165" s="272">
        <f t="shared" si="22"/>
        <v>0</v>
      </c>
      <c r="AA165" s="272">
        <f t="shared" si="22"/>
        <v>0</v>
      </c>
      <c r="AB165" s="27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696</v>
      </c>
      <c r="G166" s="78"/>
      <c r="H166" s="81" t="s">
        <v>697</v>
      </c>
      <c r="I166" s="101" t="s">
        <v>676</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698</v>
      </c>
      <c r="S166" s="81" t="s">
        <v>698</v>
      </c>
      <c r="T166" s="81"/>
      <c r="U166" s="272">
        <f t="shared" si="22"/>
        <v>0.21176470588235297</v>
      </c>
      <c r="V166" s="272">
        <f t="shared" si="22"/>
        <v>0.21176470588235297</v>
      </c>
      <c r="W166" s="272">
        <f t="shared" si="22"/>
        <v>0.21176470588235297</v>
      </c>
      <c r="X166" s="272">
        <f t="shared" si="22"/>
        <v>0.21176470588235297</v>
      </c>
      <c r="Y166" s="272">
        <f t="shared" si="22"/>
        <v>0.21176470588235297</v>
      </c>
      <c r="Z166" s="272">
        <f t="shared" si="22"/>
        <v>0.21176470588235297</v>
      </c>
      <c r="AA166" s="272">
        <f t="shared" si="22"/>
        <v>0.21176470588235297</v>
      </c>
      <c r="AB166" s="27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275" t="s">
        <v>699</v>
      </c>
      <c r="G167" s="78"/>
      <c r="H167" s="265" t="s">
        <v>700</v>
      </c>
      <c r="I167" s="101"/>
      <c r="J167" s="101" t="s">
        <v>600</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701</v>
      </c>
      <c r="F168" s="73" t="s">
        <v>702</v>
      </c>
      <c r="G168" s="78"/>
      <c r="H168" s="81" t="s">
        <v>575</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703</v>
      </c>
      <c r="G169" s="78"/>
      <c r="H169" s="81" t="s">
        <v>704</v>
      </c>
      <c r="I169" s="101" t="s">
        <v>582</v>
      </c>
      <c r="J169" s="101"/>
      <c r="K169" s="102">
        <v>0.5</v>
      </c>
      <c r="L169" s="102">
        <v>0.5</v>
      </c>
      <c r="M169" s="102">
        <v>0.5</v>
      </c>
      <c r="N169" s="102">
        <v>0.5</v>
      </c>
      <c r="O169" s="102">
        <v>0.5</v>
      </c>
      <c r="P169" s="102">
        <v>0.5</v>
      </c>
      <c r="Q169" s="81"/>
      <c r="R169" s="81" t="s">
        <v>705</v>
      </c>
      <c r="S169" s="81" t="s">
        <v>705</v>
      </c>
      <c r="T169" s="81"/>
      <c r="U169" s="272">
        <f t="shared" ref="U169:AB185" si="25">INDEX($K169:$Q169,1,U$54)</f>
        <v>0.5</v>
      </c>
      <c r="V169" s="272">
        <f t="shared" si="25"/>
        <v>0.5</v>
      </c>
      <c r="W169" s="272">
        <f t="shared" si="25"/>
        <v>0.5</v>
      </c>
      <c r="X169" s="272">
        <f t="shared" si="25"/>
        <v>0.5</v>
      </c>
      <c r="Y169" s="272">
        <f t="shared" si="25"/>
        <v>0.5</v>
      </c>
      <c r="Z169" s="272">
        <f t="shared" si="25"/>
        <v>0.5</v>
      </c>
      <c r="AA169" s="272">
        <f t="shared" si="25"/>
        <v>0.5</v>
      </c>
      <c r="AB169" s="27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706</v>
      </c>
      <c r="G170" s="78"/>
      <c r="H170" s="81" t="s">
        <v>707</v>
      </c>
      <c r="I170" s="101" t="s">
        <v>708</v>
      </c>
      <c r="J170" s="101"/>
      <c r="K170" s="102">
        <v>0.02</v>
      </c>
      <c r="L170" s="102">
        <v>0.02</v>
      </c>
      <c r="M170" s="102">
        <v>0.02</v>
      </c>
      <c r="N170" s="102">
        <v>0.02</v>
      </c>
      <c r="O170" s="102">
        <v>0.02</v>
      </c>
      <c r="P170" s="102">
        <v>0.02</v>
      </c>
      <c r="Q170" s="81"/>
      <c r="R170" s="81" t="s">
        <v>709</v>
      </c>
      <c r="S170" s="81" t="s">
        <v>709</v>
      </c>
      <c r="T170" s="81"/>
      <c r="U170" s="272">
        <f t="shared" si="25"/>
        <v>0.02</v>
      </c>
      <c r="V170" s="272">
        <f t="shared" si="25"/>
        <v>0.02</v>
      </c>
      <c r="W170" s="272">
        <f t="shared" si="25"/>
        <v>0.02</v>
      </c>
      <c r="X170" s="272">
        <f t="shared" si="25"/>
        <v>0.02</v>
      </c>
      <c r="Y170" s="272">
        <f t="shared" si="25"/>
        <v>0.02</v>
      </c>
      <c r="Z170" s="272">
        <f t="shared" si="25"/>
        <v>0.02</v>
      </c>
      <c r="AA170" s="272">
        <f t="shared" si="25"/>
        <v>0.02</v>
      </c>
      <c r="AB170" s="27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710</v>
      </c>
      <c r="G171" s="78"/>
      <c r="H171" s="81" t="s">
        <v>711</v>
      </c>
      <c r="I171" s="101" t="s">
        <v>582</v>
      </c>
      <c r="J171" s="101"/>
      <c r="K171" s="102">
        <v>0.85</v>
      </c>
      <c r="L171" s="102">
        <v>0.85</v>
      </c>
      <c r="M171" s="102">
        <v>0.85</v>
      </c>
      <c r="N171" s="102">
        <v>0.85</v>
      </c>
      <c r="O171" s="102">
        <v>0.85</v>
      </c>
      <c r="P171" s="102">
        <v>0.85</v>
      </c>
      <c r="Q171" s="81"/>
      <c r="R171" s="81" t="s">
        <v>709</v>
      </c>
      <c r="S171" s="81" t="s">
        <v>709</v>
      </c>
      <c r="T171" s="81"/>
      <c r="U171" s="272">
        <f t="shared" si="25"/>
        <v>0.85</v>
      </c>
      <c r="V171" s="272">
        <f t="shared" si="25"/>
        <v>0.85</v>
      </c>
      <c r="W171" s="272">
        <f t="shared" si="25"/>
        <v>0.85</v>
      </c>
      <c r="X171" s="272">
        <f t="shared" si="25"/>
        <v>0.85</v>
      </c>
      <c r="Y171" s="272">
        <f t="shared" si="25"/>
        <v>0.85</v>
      </c>
      <c r="Z171" s="272">
        <f t="shared" si="25"/>
        <v>0.85</v>
      </c>
      <c r="AA171" s="272">
        <f t="shared" si="25"/>
        <v>0.85</v>
      </c>
      <c r="AB171" s="27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712</v>
      </c>
      <c r="G172" s="78"/>
      <c r="H172" s="81" t="s">
        <v>713</v>
      </c>
      <c r="I172" s="101" t="s">
        <v>655</v>
      </c>
      <c r="J172" s="101"/>
      <c r="K172" s="102">
        <v>0.7</v>
      </c>
      <c r="L172" s="102">
        <v>0.7</v>
      </c>
      <c r="M172" s="102">
        <v>0.7</v>
      </c>
      <c r="N172" s="102">
        <v>0.7</v>
      </c>
      <c r="O172" s="102">
        <v>0.7</v>
      </c>
      <c r="P172" s="102">
        <v>0.7</v>
      </c>
      <c r="Q172" s="81"/>
      <c r="R172" s="81"/>
      <c r="S172" s="81"/>
      <c r="T172" s="81"/>
      <c r="U172" s="272">
        <f t="shared" si="25"/>
        <v>0.7</v>
      </c>
      <c r="V172" s="272">
        <f t="shared" si="25"/>
        <v>0.7</v>
      </c>
      <c r="W172" s="272">
        <f t="shared" si="25"/>
        <v>0.7</v>
      </c>
      <c r="X172" s="272">
        <f t="shared" si="25"/>
        <v>0.7</v>
      </c>
      <c r="Y172" s="272">
        <f t="shared" si="25"/>
        <v>0.7</v>
      </c>
      <c r="Z172" s="272">
        <f t="shared" si="25"/>
        <v>0.7</v>
      </c>
      <c r="AA172" s="272">
        <f t="shared" si="25"/>
        <v>0.7</v>
      </c>
      <c r="AB172" s="27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714</v>
      </c>
      <c r="G173" s="78"/>
      <c r="H173" s="81" t="s">
        <v>715</v>
      </c>
      <c r="I173" s="101" t="s">
        <v>582</v>
      </c>
      <c r="J173" s="101"/>
      <c r="K173" s="102">
        <v>0.4</v>
      </c>
      <c r="L173" s="102">
        <v>0.4</v>
      </c>
      <c r="M173" s="102">
        <v>0.4</v>
      </c>
      <c r="N173" s="102">
        <v>0.4</v>
      </c>
      <c r="O173" s="102">
        <v>0.4</v>
      </c>
      <c r="P173" s="102">
        <v>0.4</v>
      </c>
      <c r="Q173" s="81"/>
      <c r="R173" s="81" t="s">
        <v>709</v>
      </c>
      <c r="S173" s="81" t="s">
        <v>709</v>
      </c>
      <c r="T173" s="81"/>
      <c r="U173" s="272">
        <f t="shared" si="25"/>
        <v>0.4</v>
      </c>
      <c r="V173" s="272">
        <f t="shared" si="25"/>
        <v>0.4</v>
      </c>
      <c r="W173" s="272">
        <f t="shared" si="25"/>
        <v>0.4</v>
      </c>
      <c r="X173" s="272">
        <f t="shared" si="25"/>
        <v>0.4</v>
      </c>
      <c r="Y173" s="272">
        <f t="shared" si="25"/>
        <v>0.4</v>
      </c>
      <c r="Z173" s="272">
        <f t="shared" si="25"/>
        <v>0.4</v>
      </c>
      <c r="AA173" s="272">
        <f t="shared" si="25"/>
        <v>0.4</v>
      </c>
      <c r="AB173" s="27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716</v>
      </c>
      <c r="G174" s="78"/>
      <c r="H174" s="81" t="s">
        <v>717</v>
      </c>
      <c r="I174" s="101" t="s">
        <v>708</v>
      </c>
      <c r="J174" s="101"/>
      <c r="K174" s="102">
        <v>0.02</v>
      </c>
      <c r="L174" s="102">
        <v>0.02</v>
      </c>
      <c r="M174" s="102">
        <v>0.02</v>
      </c>
      <c r="N174" s="102">
        <v>0.02</v>
      </c>
      <c r="O174" s="102">
        <v>0.02</v>
      </c>
      <c r="P174" s="102">
        <v>0.02</v>
      </c>
      <c r="Q174" s="81"/>
      <c r="R174" s="81" t="s">
        <v>709</v>
      </c>
      <c r="S174" s="81" t="s">
        <v>709</v>
      </c>
      <c r="T174" s="81"/>
      <c r="U174" s="272">
        <f t="shared" si="25"/>
        <v>0.02</v>
      </c>
      <c r="V174" s="272">
        <f t="shared" si="25"/>
        <v>0.02</v>
      </c>
      <c r="W174" s="272">
        <f t="shared" si="25"/>
        <v>0.02</v>
      </c>
      <c r="X174" s="272">
        <f t="shared" si="25"/>
        <v>0.02</v>
      </c>
      <c r="Y174" s="272">
        <f t="shared" si="25"/>
        <v>0.02</v>
      </c>
      <c r="Z174" s="272">
        <f t="shared" si="25"/>
        <v>0.02</v>
      </c>
      <c r="AA174" s="272">
        <f t="shared" si="25"/>
        <v>0.02</v>
      </c>
      <c r="AB174" s="27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718</v>
      </c>
      <c r="G175" s="78"/>
      <c r="H175" s="81" t="s">
        <v>719</v>
      </c>
      <c r="I175" s="101" t="s">
        <v>655</v>
      </c>
      <c r="J175" s="101"/>
      <c r="K175" s="102">
        <v>0.6</v>
      </c>
      <c r="L175" s="102">
        <v>0.6</v>
      </c>
      <c r="M175" s="102">
        <v>0.6</v>
      </c>
      <c r="N175" s="102">
        <v>0.6</v>
      </c>
      <c r="O175" s="102">
        <v>0.6</v>
      </c>
      <c r="P175" s="102">
        <v>0.6</v>
      </c>
      <c r="Q175" s="81"/>
      <c r="R175" s="81" t="s">
        <v>709</v>
      </c>
      <c r="S175" s="81" t="s">
        <v>709</v>
      </c>
      <c r="T175" s="81"/>
      <c r="U175" s="272">
        <f t="shared" si="25"/>
        <v>0.6</v>
      </c>
      <c r="V175" s="272">
        <f t="shared" si="25"/>
        <v>0.6</v>
      </c>
      <c r="W175" s="272">
        <f t="shared" si="25"/>
        <v>0.6</v>
      </c>
      <c r="X175" s="272">
        <f t="shared" si="25"/>
        <v>0.6</v>
      </c>
      <c r="Y175" s="272">
        <f t="shared" si="25"/>
        <v>0.6</v>
      </c>
      <c r="Z175" s="272">
        <f t="shared" si="25"/>
        <v>0.6</v>
      </c>
      <c r="AA175" s="272">
        <f t="shared" si="25"/>
        <v>0.6</v>
      </c>
      <c r="AB175" s="27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720</v>
      </c>
      <c r="G176" s="78"/>
      <c r="H176" s="81" t="s">
        <v>721</v>
      </c>
      <c r="I176" s="101" t="s">
        <v>655</v>
      </c>
      <c r="J176" s="101"/>
      <c r="K176" s="102">
        <v>0.13300000000000001</v>
      </c>
      <c r="L176" s="102">
        <v>0.13300000000000001</v>
      </c>
      <c r="M176" s="102">
        <v>0.13300000000000001</v>
      </c>
      <c r="N176" s="102">
        <v>0.13300000000000001</v>
      </c>
      <c r="O176" s="102">
        <v>0.13300000000000001</v>
      </c>
      <c r="P176" s="102">
        <v>0.13300000000000001</v>
      </c>
      <c r="Q176" s="81"/>
      <c r="R176" s="81" t="s">
        <v>593</v>
      </c>
      <c r="S176" s="81" t="s">
        <v>593</v>
      </c>
      <c r="T176" s="81"/>
      <c r="U176" s="272">
        <f t="shared" si="25"/>
        <v>0.13300000000000001</v>
      </c>
      <c r="V176" s="272">
        <f t="shared" si="25"/>
        <v>0.13300000000000001</v>
      </c>
      <c r="W176" s="272">
        <f t="shared" si="25"/>
        <v>0.13300000000000001</v>
      </c>
      <c r="X176" s="272">
        <f t="shared" si="25"/>
        <v>0.13300000000000001</v>
      </c>
      <c r="Y176" s="272">
        <f t="shared" si="25"/>
        <v>0.13300000000000001</v>
      </c>
      <c r="Z176" s="272">
        <f t="shared" si="25"/>
        <v>0.13300000000000001</v>
      </c>
      <c r="AA176" s="272">
        <f t="shared" si="25"/>
        <v>0.13300000000000001</v>
      </c>
      <c r="AB176" s="27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722</v>
      </c>
      <c r="G177" s="78"/>
      <c r="H177" s="81" t="s">
        <v>723</v>
      </c>
      <c r="I177" s="101" t="s">
        <v>582</v>
      </c>
      <c r="J177" s="101"/>
      <c r="K177" s="102">
        <v>0.95</v>
      </c>
      <c r="L177" s="102">
        <v>0.95</v>
      </c>
      <c r="M177" s="102">
        <v>0.95</v>
      </c>
      <c r="N177" s="102">
        <v>0.95</v>
      </c>
      <c r="O177" s="102">
        <v>0.95</v>
      </c>
      <c r="P177" s="102">
        <v>0.95</v>
      </c>
      <c r="Q177" s="81"/>
      <c r="R177" s="81" t="s">
        <v>709</v>
      </c>
      <c r="S177" s="81" t="s">
        <v>709</v>
      </c>
      <c r="T177" s="81"/>
      <c r="U177" s="272">
        <f t="shared" si="25"/>
        <v>0.95</v>
      </c>
      <c r="V177" s="272">
        <f t="shared" si="25"/>
        <v>0.95</v>
      </c>
      <c r="W177" s="272">
        <f t="shared" si="25"/>
        <v>0.95</v>
      </c>
      <c r="X177" s="272">
        <f t="shared" si="25"/>
        <v>0.95</v>
      </c>
      <c r="Y177" s="272">
        <f t="shared" si="25"/>
        <v>0.95</v>
      </c>
      <c r="Z177" s="272">
        <f t="shared" si="25"/>
        <v>0.95</v>
      </c>
      <c r="AA177" s="272">
        <f t="shared" si="25"/>
        <v>0.95</v>
      </c>
      <c r="AB177" s="27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724</v>
      </c>
      <c r="G178" s="78"/>
      <c r="H178" s="81" t="s">
        <v>725</v>
      </c>
      <c r="I178" s="101" t="s">
        <v>655</v>
      </c>
      <c r="J178" s="101"/>
      <c r="K178" s="102">
        <v>0.84</v>
      </c>
      <c r="L178" s="102">
        <v>0.84</v>
      </c>
      <c r="M178" s="102">
        <v>0.84</v>
      </c>
      <c r="N178" s="102">
        <v>0.84</v>
      </c>
      <c r="O178" s="102">
        <v>0.84</v>
      </c>
      <c r="P178" s="102">
        <v>0.84</v>
      </c>
      <c r="Q178" s="81"/>
      <c r="R178" s="81" t="s">
        <v>709</v>
      </c>
      <c r="S178" s="81" t="s">
        <v>709</v>
      </c>
      <c r="T178" s="81"/>
      <c r="U178" s="272">
        <f t="shared" si="25"/>
        <v>0.84</v>
      </c>
      <c r="V178" s="272">
        <f t="shared" si="25"/>
        <v>0.84</v>
      </c>
      <c r="W178" s="272">
        <f t="shared" si="25"/>
        <v>0.84</v>
      </c>
      <c r="X178" s="272">
        <f t="shared" si="25"/>
        <v>0.84</v>
      </c>
      <c r="Y178" s="272">
        <f t="shared" si="25"/>
        <v>0.84</v>
      </c>
      <c r="Z178" s="272">
        <f t="shared" si="25"/>
        <v>0.84</v>
      </c>
      <c r="AA178" s="272">
        <f t="shared" si="25"/>
        <v>0.84</v>
      </c>
      <c r="AB178" s="27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726</v>
      </c>
      <c r="G179" s="78"/>
      <c r="H179" s="81" t="s">
        <v>727</v>
      </c>
      <c r="I179" s="101" t="s">
        <v>655</v>
      </c>
      <c r="J179" s="101"/>
      <c r="K179" s="102">
        <v>0.8</v>
      </c>
      <c r="L179" s="102">
        <v>0.8</v>
      </c>
      <c r="M179" s="102">
        <v>0.8</v>
      </c>
      <c r="N179" s="102">
        <v>0.8</v>
      </c>
      <c r="O179" s="102">
        <v>0.8</v>
      </c>
      <c r="P179" s="102">
        <v>0.8</v>
      </c>
      <c r="Q179" s="81"/>
      <c r="R179" s="81" t="s">
        <v>593</v>
      </c>
      <c r="S179" s="81" t="s">
        <v>593</v>
      </c>
      <c r="T179" s="81"/>
      <c r="U179" s="272">
        <f t="shared" si="25"/>
        <v>0.8</v>
      </c>
      <c r="V179" s="272">
        <f t="shared" si="25"/>
        <v>0.8</v>
      </c>
      <c r="W179" s="272">
        <f t="shared" si="25"/>
        <v>0.8</v>
      </c>
      <c r="X179" s="272">
        <f t="shared" si="25"/>
        <v>0.8</v>
      </c>
      <c r="Y179" s="272">
        <f t="shared" si="25"/>
        <v>0.8</v>
      </c>
      <c r="Z179" s="272">
        <f t="shared" si="25"/>
        <v>0.8</v>
      </c>
      <c r="AA179" s="272">
        <f t="shared" si="25"/>
        <v>0.8</v>
      </c>
      <c r="AB179" s="27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728</v>
      </c>
      <c r="G180" s="78"/>
      <c r="H180" s="81" t="s">
        <v>729</v>
      </c>
      <c r="I180" s="101" t="s">
        <v>582</v>
      </c>
      <c r="J180" s="101"/>
      <c r="K180" s="102">
        <v>0.7</v>
      </c>
      <c r="L180" s="102">
        <v>0.7</v>
      </c>
      <c r="M180" s="102">
        <v>0.7</v>
      </c>
      <c r="N180" s="102">
        <v>0.7</v>
      </c>
      <c r="O180" s="102">
        <v>0.7</v>
      </c>
      <c r="P180" s="102">
        <v>0.7</v>
      </c>
      <c r="Q180" s="81"/>
      <c r="R180" s="81" t="s">
        <v>709</v>
      </c>
      <c r="S180" s="81" t="s">
        <v>709</v>
      </c>
      <c r="T180" s="81"/>
      <c r="U180" s="272">
        <f t="shared" si="25"/>
        <v>0.7</v>
      </c>
      <c r="V180" s="272">
        <f t="shared" si="25"/>
        <v>0.7</v>
      </c>
      <c r="W180" s="272">
        <f t="shared" si="25"/>
        <v>0.7</v>
      </c>
      <c r="X180" s="272">
        <f t="shared" si="25"/>
        <v>0.7</v>
      </c>
      <c r="Y180" s="272">
        <f t="shared" si="25"/>
        <v>0.7</v>
      </c>
      <c r="Z180" s="272">
        <f t="shared" si="25"/>
        <v>0.7</v>
      </c>
      <c r="AA180" s="272">
        <f t="shared" si="25"/>
        <v>0.7</v>
      </c>
      <c r="AB180" s="27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730</v>
      </c>
      <c r="G181" s="78"/>
      <c r="H181" s="81" t="s">
        <v>731</v>
      </c>
      <c r="I181" s="101" t="s">
        <v>708</v>
      </c>
      <c r="J181" s="101"/>
      <c r="K181" s="102">
        <v>3.5000000000000003E-2</v>
      </c>
      <c r="L181" s="102">
        <v>3.5000000000000003E-2</v>
      </c>
      <c r="M181" s="102">
        <v>3.5000000000000003E-2</v>
      </c>
      <c r="N181" s="102">
        <v>3.5000000000000003E-2</v>
      </c>
      <c r="O181" s="102">
        <v>3.5000000000000003E-2</v>
      </c>
      <c r="P181" s="102">
        <v>3.5000000000000003E-2</v>
      </c>
      <c r="Q181" s="81"/>
      <c r="R181" s="81" t="s">
        <v>593</v>
      </c>
      <c r="S181" s="81" t="s">
        <v>593</v>
      </c>
      <c r="T181" s="81"/>
      <c r="U181" s="272">
        <f t="shared" si="25"/>
        <v>3.5000000000000003E-2</v>
      </c>
      <c r="V181" s="272">
        <f t="shared" si="25"/>
        <v>3.5000000000000003E-2</v>
      </c>
      <c r="W181" s="272">
        <f t="shared" si="25"/>
        <v>3.5000000000000003E-2</v>
      </c>
      <c r="X181" s="272">
        <f t="shared" si="25"/>
        <v>3.5000000000000003E-2</v>
      </c>
      <c r="Y181" s="272">
        <f t="shared" si="25"/>
        <v>3.5000000000000003E-2</v>
      </c>
      <c r="Z181" s="272">
        <f t="shared" si="25"/>
        <v>3.5000000000000003E-2</v>
      </c>
      <c r="AA181" s="272">
        <f t="shared" si="25"/>
        <v>3.5000000000000003E-2</v>
      </c>
      <c r="AB181" s="27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732</v>
      </c>
      <c r="G182" s="78"/>
      <c r="H182" s="81" t="s">
        <v>731</v>
      </c>
      <c r="I182" s="101" t="s">
        <v>708</v>
      </c>
      <c r="J182" s="101"/>
      <c r="K182" s="102">
        <v>0.33</v>
      </c>
      <c r="L182" s="102">
        <v>0.33</v>
      </c>
      <c r="M182" s="102">
        <v>0.33</v>
      </c>
      <c r="N182" s="102">
        <v>0.33</v>
      </c>
      <c r="O182" s="102">
        <v>0.33</v>
      </c>
      <c r="P182" s="102">
        <v>0.33</v>
      </c>
      <c r="Q182" s="81"/>
      <c r="R182" s="81" t="s">
        <v>593</v>
      </c>
      <c r="S182" s="81" t="s">
        <v>593</v>
      </c>
      <c r="T182" s="81"/>
      <c r="U182" s="272">
        <f t="shared" si="25"/>
        <v>0.33</v>
      </c>
      <c r="V182" s="272">
        <f t="shared" si="25"/>
        <v>0.33</v>
      </c>
      <c r="W182" s="272">
        <f t="shared" si="25"/>
        <v>0.33</v>
      </c>
      <c r="X182" s="272">
        <f t="shared" si="25"/>
        <v>0.33</v>
      </c>
      <c r="Y182" s="272">
        <f t="shared" si="25"/>
        <v>0.33</v>
      </c>
      <c r="Z182" s="272">
        <f t="shared" si="25"/>
        <v>0.33</v>
      </c>
      <c r="AA182" s="272">
        <f t="shared" si="25"/>
        <v>0.33</v>
      </c>
      <c r="AB182" s="27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733</v>
      </c>
      <c r="G183" s="78"/>
      <c r="H183" s="81" t="s">
        <v>734</v>
      </c>
      <c r="I183" s="101" t="s">
        <v>708</v>
      </c>
      <c r="J183" s="101"/>
      <c r="K183" s="102">
        <v>0.12</v>
      </c>
      <c r="L183" s="102">
        <v>0.12</v>
      </c>
      <c r="M183" s="102">
        <v>0.12</v>
      </c>
      <c r="N183" s="102">
        <v>0.12</v>
      </c>
      <c r="O183" s="102">
        <v>0.12</v>
      </c>
      <c r="P183" s="102">
        <v>0.12</v>
      </c>
      <c r="Q183" s="81"/>
      <c r="R183" s="81" t="s">
        <v>593</v>
      </c>
      <c r="S183" s="81" t="s">
        <v>593</v>
      </c>
      <c r="T183" s="81"/>
      <c r="U183" s="272">
        <f t="shared" si="25"/>
        <v>0.12</v>
      </c>
      <c r="V183" s="272">
        <f t="shared" si="25"/>
        <v>0.12</v>
      </c>
      <c r="W183" s="272">
        <f t="shared" si="25"/>
        <v>0.12</v>
      </c>
      <c r="X183" s="272">
        <f t="shared" si="25"/>
        <v>0.12</v>
      </c>
      <c r="Y183" s="272">
        <f t="shared" si="25"/>
        <v>0.12</v>
      </c>
      <c r="Z183" s="272">
        <f t="shared" si="25"/>
        <v>0.12</v>
      </c>
      <c r="AA183" s="272">
        <f t="shared" si="25"/>
        <v>0.12</v>
      </c>
      <c r="AB183" s="27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735</v>
      </c>
      <c r="G184" s="78"/>
      <c r="H184" s="81" t="s">
        <v>736</v>
      </c>
      <c r="I184" s="101" t="s">
        <v>708</v>
      </c>
      <c r="J184" s="101"/>
      <c r="K184" s="102">
        <v>4.2999999999999997E-2</v>
      </c>
      <c r="L184" s="102">
        <v>4.2999999999999997E-2</v>
      </c>
      <c r="M184" s="102">
        <v>4.2999999999999997E-2</v>
      </c>
      <c r="N184" s="102">
        <v>4.2999999999999997E-2</v>
      </c>
      <c r="O184" s="102">
        <v>4.2999999999999997E-2</v>
      </c>
      <c r="P184" s="102">
        <v>4.2999999999999997E-2</v>
      </c>
      <c r="Q184" s="81"/>
      <c r="R184" s="81" t="s">
        <v>709</v>
      </c>
      <c r="S184" s="81" t="s">
        <v>593</v>
      </c>
      <c r="T184" s="81"/>
      <c r="U184" s="272">
        <f t="shared" si="25"/>
        <v>4.2999999999999997E-2</v>
      </c>
      <c r="V184" s="272">
        <f t="shared" si="25"/>
        <v>4.2999999999999997E-2</v>
      </c>
      <c r="W184" s="272">
        <f t="shared" si="25"/>
        <v>4.2999999999999997E-2</v>
      </c>
      <c r="X184" s="272">
        <f t="shared" si="25"/>
        <v>4.2999999999999997E-2</v>
      </c>
      <c r="Y184" s="272">
        <f t="shared" si="25"/>
        <v>4.2999999999999997E-2</v>
      </c>
      <c r="Z184" s="272">
        <f t="shared" si="25"/>
        <v>4.2999999999999997E-2</v>
      </c>
      <c r="AA184" s="272">
        <f t="shared" si="25"/>
        <v>4.2999999999999997E-2</v>
      </c>
      <c r="AB184" s="27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737</v>
      </c>
      <c r="G185" s="78"/>
      <c r="H185" s="81" t="s">
        <v>738</v>
      </c>
      <c r="I185" s="101" t="s">
        <v>708</v>
      </c>
      <c r="J185" s="101"/>
      <c r="K185" s="102">
        <v>0.18</v>
      </c>
      <c r="L185" s="102">
        <v>0.18</v>
      </c>
      <c r="M185" s="81"/>
      <c r="N185" s="81"/>
      <c r="O185" s="81"/>
      <c r="P185" s="81"/>
      <c r="Q185" s="81"/>
      <c r="R185" s="81" t="s">
        <v>593</v>
      </c>
      <c r="S185" s="81"/>
      <c r="T185" s="81"/>
      <c r="U185" s="272">
        <f t="shared" si="25"/>
        <v>0.18</v>
      </c>
      <c r="V185" s="272">
        <f t="shared" si="25"/>
        <v>0.18</v>
      </c>
      <c r="W185" s="272">
        <f t="shared" si="25"/>
        <v>0.18</v>
      </c>
      <c r="X185" s="272">
        <f t="shared" si="25"/>
        <v>0.18</v>
      </c>
      <c r="Y185" s="272">
        <f t="shared" si="25"/>
        <v>0.18</v>
      </c>
      <c r="Z185" s="272">
        <f t="shared" si="25"/>
        <v>0.18</v>
      </c>
      <c r="AA185" s="272">
        <f t="shared" si="25"/>
        <v>0.18</v>
      </c>
      <c r="AB185" s="27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275" t="s">
        <v>739</v>
      </c>
      <c r="G186" s="78"/>
      <c r="H186" s="265" t="s">
        <v>740</v>
      </c>
      <c r="I186" s="101"/>
      <c r="J186" s="101" t="s">
        <v>600</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741</v>
      </c>
      <c r="F187" s="73" t="s">
        <v>742</v>
      </c>
      <c r="G187" s="78"/>
      <c r="H187" s="81" t="s">
        <v>743</v>
      </c>
      <c r="I187" s="101" t="s">
        <v>744</v>
      </c>
      <c r="J187" s="101"/>
      <c r="K187" s="102">
        <v>25</v>
      </c>
      <c r="L187" s="102">
        <v>25</v>
      </c>
      <c r="M187" s="102">
        <v>25</v>
      </c>
      <c r="N187" s="102">
        <v>25</v>
      </c>
      <c r="O187" s="102">
        <v>25</v>
      </c>
      <c r="P187" s="102">
        <v>25</v>
      </c>
      <c r="Q187" s="81"/>
      <c r="R187" s="81" t="s">
        <v>745</v>
      </c>
      <c r="S187" s="81"/>
      <c r="T187" s="81"/>
      <c r="U187" s="272">
        <f t="shared" ref="U187:AB201" si="27">INDEX($K187:$Q187,1,U$54)</f>
        <v>25</v>
      </c>
      <c r="V187" s="272">
        <f t="shared" si="27"/>
        <v>25</v>
      </c>
      <c r="W187" s="272">
        <f t="shared" si="27"/>
        <v>25</v>
      </c>
      <c r="X187" s="272">
        <f t="shared" si="27"/>
        <v>25</v>
      </c>
      <c r="Y187" s="272">
        <f t="shared" si="27"/>
        <v>25</v>
      </c>
      <c r="Z187" s="272">
        <f t="shared" si="27"/>
        <v>25</v>
      </c>
      <c r="AA187" s="272">
        <f t="shared" si="27"/>
        <v>25</v>
      </c>
      <c r="AB187" s="27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746</v>
      </c>
      <c r="G188" s="78"/>
      <c r="H188" s="81" t="s">
        <v>747</v>
      </c>
      <c r="I188" s="101" t="s">
        <v>582</v>
      </c>
      <c r="J188" s="101"/>
      <c r="K188" s="102">
        <v>0.09</v>
      </c>
      <c r="L188" s="102">
        <v>0.09</v>
      </c>
      <c r="M188" s="102">
        <v>0.09</v>
      </c>
      <c r="N188" s="102">
        <v>0.09</v>
      </c>
      <c r="O188" s="102">
        <v>0.09</v>
      </c>
      <c r="P188" s="102">
        <v>0.09</v>
      </c>
      <c r="Q188" s="81"/>
      <c r="R188" s="81" t="s">
        <v>593</v>
      </c>
      <c r="S188" s="81" t="s">
        <v>593</v>
      </c>
      <c r="T188" s="81"/>
      <c r="U188" s="272">
        <f t="shared" si="27"/>
        <v>0.09</v>
      </c>
      <c r="V188" s="272">
        <f t="shared" si="27"/>
        <v>0.09</v>
      </c>
      <c r="W188" s="272">
        <f t="shared" si="27"/>
        <v>0.09</v>
      </c>
      <c r="X188" s="272">
        <f t="shared" si="27"/>
        <v>0.09</v>
      </c>
      <c r="Y188" s="272">
        <f t="shared" si="27"/>
        <v>0.09</v>
      </c>
      <c r="Z188" s="272">
        <f t="shared" si="27"/>
        <v>0.09</v>
      </c>
      <c r="AA188" s="272">
        <f t="shared" si="27"/>
        <v>0.09</v>
      </c>
      <c r="AB188" s="27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748</v>
      </c>
      <c r="G189" s="78"/>
      <c r="H189" s="81" t="s">
        <v>749</v>
      </c>
      <c r="I189" s="101" t="s">
        <v>750</v>
      </c>
      <c r="J189" s="101"/>
      <c r="K189" s="102">
        <v>0.26</v>
      </c>
      <c r="L189" s="102">
        <v>0.26</v>
      </c>
      <c r="M189" s="102">
        <v>0.36</v>
      </c>
      <c r="N189" s="102">
        <v>0.31</v>
      </c>
      <c r="O189" s="102">
        <v>0.36</v>
      </c>
      <c r="P189" s="102">
        <v>0.36</v>
      </c>
      <c r="Q189" s="81"/>
      <c r="R189" s="81" t="s">
        <v>593</v>
      </c>
      <c r="S189" s="81" t="s">
        <v>593</v>
      </c>
      <c r="T189" s="81"/>
      <c r="U189" s="272">
        <f t="shared" si="27"/>
        <v>0.26</v>
      </c>
      <c r="V189" s="272">
        <f t="shared" si="27"/>
        <v>0.26</v>
      </c>
      <c r="W189" s="272">
        <f t="shared" si="27"/>
        <v>0.26</v>
      </c>
      <c r="X189" s="272">
        <f t="shared" si="27"/>
        <v>0.26</v>
      </c>
      <c r="Y189" s="272">
        <f t="shared" si="27"/>
        <v>0.26</v>
      </c>
      <c r="Z189" s="272">
        <f t="shared" si="27"/>
        <v>0.26</v>
      </c>
      <c r="AA189" s="272">
        <f t="shared" si="27"/>
        <v>0.26</v>
      </c>
      <c r="AB189" s="27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751</v>
      </c>
      <c r="G190" s="78"/>
      <c r="H190" s="81" t="s">
        <v>752</v>
      </c>
      <c r="I190" s="101" t="s">
        <v>610</v>
      </c>
      <c r="J190" s="101"/>
      <c r="K190" s="102">
        <v>8.0000000000000007E-5</v>
      </c>
      <c r="L190" s="102">
        <v>8.0000000000000007E-5</v>
      </c>
      <c r="M190" s="102">
        <v>8.0000000000000007E-5</v>
      </c>
      <c r="N190" s="102">
        <v>8.0000000000000007E-5</v>
      </c>
      <c r="O190" s="102">
        <v>8.0000000000000007E-5</v>
      </c>
      <c r="P190" s="102">
        <v>8.0000000000000007E-5</v>
      </c>
      <c r="Q190" s="81"/>
      <c r="R190" s="81" t="s">
        <v>593</v>
      </c>
      <c r="S190" s="81" t="s">
        <v>593</v>
      </c>
      <c r="T190" s="81"/>
      <c r="U190" s="272">
        <f t="shared" si="27"/>
        <v>8.0000000000000007E-5</v>
      </c>
      <c r="V190" s="272">
        <f t="shared" si="27"/>
        <v>8.0000000000000007E-5</v>
      </c>
      <c r="W190" s="272">
        <f t="shared" si="27"/>
        <v>8.0000000000000007E-5</v>
      </c>
      <c r="X190" s="272">
        <f t="shared" si="27"/>
        <v>8.0000000000000007E-5</v>
      </c>
      <c r="Y190" s="272">
        <f t="shared" si="27"/>
        <v>8.0000000000000007E-5</v>
      </c>
      <c r="Z190" s="272">
        <f t="shared" si="27"/>
        <v>8.0000000000000007E-5</v>
      </c>
      <c r="AA190" s="272">
        <f t="shared" si="27"/>
        <v>8.0000000000000007E-5</v>
      </c>
      <c r="AB190" s="27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753</v>
      </c>
      <c r="G191" s="78"/>
      <c r="H191" s="81" t="s">
        <v>754</v>
      </c>
      <c r="I191" s="101" t="s">
        <v>582</v>
      </c>
      <c r="J191" s="101"/>
      <c r="K191" s="102">
        <v>0.84</v>
      </c>
      <c r="L191" s="102">
        <v>0.84</v>
      </c>
      <c r="M191" s="102">
        <v>0.84</v>
      </c>
      <c r="N191" s="102">
        <v>0.84</v>
      </c>
      <c r="O191" s="102">
        <v>0.84</v>
      </c>
      <c r="P191" s="102">
        <v>0.84</v>
      </c>
      <c r="Q191" s="81"/>
      <c r="R191" s="81" t="s">
        <v>593</v>
      </c>
      <c r="S191" s="81" t="s">
        <v>593</v>
      </c>
      <c r="T191" s="81"/>
      <c r="U191" s="272">
        <f t="shared" si="27"/>
        <v>0.84</v>
      </c>
      <c r="V191" s="272">
        <f t="shared" si="27"/>
        <v>0.84</v>
      </c>
      <c r="W191" s="272">
        <f t="shared" si="27"/>
        <v>0.84</v>
      </c>
      <c r="X191" s="272">
        <f t="shared" si="27"/>
        <v>0.84</v>
      </c>
      <c r="Y191" s="272">
        <f t="shared" si="27"/>
        <v>0.84</v>
      </c>
      <c r="Z191" s="272">
        <f t="shared" si="27"/>
        <v>0.84</v>
      </c>
      <c r="AA191" s="272">
        <f t="shared" si="27"/>
        <v>0.84</v>
      </c>
      <c r="AB191" s="27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755</v>
      </c>
      <c r="G192" s="78"/>
      <c r="H192" s="81" t="s">
        <v>756</v>
      </c>
      <c r="I192" s="101" t="s">
        <v>582</v>
      </c>
      <c r="J192" s="101"/>
      <c r="K192" s="102">
        <v>0.23</v>
      </c>
      <c r="L192" s="102">
        <v>0.23</v>
      </c>
      <c r="M192" s="102">
        <v>0.23</v>
      </c>
      <c r="N192" s="102">
        <v>0.23</v>
      </c>
      <c r="O192" s="102">
        <v>0.23</v>
      </c>
      <c r="P192" s="102">
        <v>0.23</v>
      </c>
      <c r="Q192" s="81"/>
      <c r="R192" s="81" t="s">
        <v>757</v>
      </c>
      <c r="S192" s="81" t="s">
        <v>593</v>
      </c>
      <c r="T192" s="81"/>
      <c r="U192" s="272">
        <f t="shared" si="27"/>
        <v>0.23</v>
      </c>
      <c r="V192" s="272">
        <f t="shared" si="27"/>
        <v>0.23</v>
      </c>
      <c r="W192" s="272">
        <f t="shared" si="27"/>
        <v>0.23</v>
      </c>
      <c r="X192" s="272">
        <f t="shared" si="27"/>
        <v>0.23</v>
      </c>
      <c r="Y192" s="272">
        <f t="shared" si="27"/>
        <v>0.23</v>
      </c>
      <c r="Z192" s="272">
        <f t="shared" si="27"/>
        <v>0.23</v>
      </c>
      <c r="AA192" s="272">
        <f t="shared" si="27"/>
        <v>0.23</v>
      </c>
      <c r="AB192" s="27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758</v>
      </c>
      <c r="G193" s="78"/>
      <c r="H193" s="81" t="s">
        <v>759</v>
      </c>
      <c r="I193" s="101" t="s">
        <v>760</v>
      </c>
      <c r="J193" s="101"/>
      <c r="K193" s="102">
        <v>0.02</v>
      </c>
      <c r="L193" s="102">
        <v>0.02</v>
      </c>
      <c r="M193" s="102">
        <v>2.5000000000000001E-3</v>
      </c>
      <c r="N193" s="102">
        <v>2.5000000000000001E-3</v>
      </c>
      <c r="O193" s="102">
        <v>2.5000000000000001E-3</v>
      </c>
      <c r="P193" s="102">
        <v>2.5000000000000001E-3</v>
      </c>
      <c r="Q193" s="81"/>
      <c r="R193" s="81" t="s">
        <v>757</v>
      </c>
      <c r="S193" s="81" t="s">
        <v>761</v>
      </c>
      <c r="T193" s="81"/>
      <c r="U193" s="272">
        <f t="shared" si="27"/>
        <v>0.02</v>
      </c>
      <c r="V193" s="272">
        <f t="shared" si="27"/>
        <v>0.02</v>
      </c>
      <c r="W193" s="272">
        <f t="shared" si="27"/>
        <v>0.02</v>
      </c>
      <c r="X193" s="272">
        <f t="shared" si="27"/>
        <v>0.02</v>
      </c>
      <c r="Y193" s="272">
        <f t="shared" si="27"/>
        <v>0.02</v>
      </c>
      <c r="Z193" s="272">
        <f t="shared" si="27"/>
        <v>0.02</v>
      </c>
      <c r="AA193" s="272">
        <f t="shared" si="27"/>
        <v>0.02</v>
      </c>
      <c r="AB193" s="27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762</v>
      </c>
      <c r="G194" s="78"/>
      <c r="H194" s="81" t="s">
        <v>763</v>
      </c>
      <c r="I194" s="101" t="s">
        <v>655</v>
      </c>
      <c r="J194" s="101"/>
      <c r="K194" s="102">
        <v>0.9</v>
      </c>
      <c r="L194" s="102">
        <v>0.9</v>
      </c>
      <c r="M194" s="102">
        <v>0.9</v>
      </c>
      <c r="N194" s="102">
        <v>0.9</v>
      </c>
      <c r="O194" s="102">
        <v>0.9</v>
      </c>
      <c r="P194" s="102">
        <v>0.9</v>
      </c>
      <c r="Q194" s="81"/>
      <c r="R194" s="81" t="s">
        <v>593</v>
      </c>
      <c r="S194" s="81" t="s">
        <v>761</v>
      </c>
      <c r="T194" s="81"/>
      <c r="U194" s="272">
        <f t="shared" si="27"/>
        <v>0.9</v>
      </c>
      <c r="V194" s="272">
        <f t="shared" si="27"/>
        <v>0.9</v>
      </c>
      <c r="W194" s="272">
        <f t="shared" si="27"/>
        <v>0.9</v>
      </c>
      <c r="X194" s="272">
        <f t="shared" si="27"/>
        <v>0.9</v>
      </c>
      <c r="Y194" s="272">
        <f t="shared" si="27"/>
        <v>0.9</v>
      </c>
      <c r="Z194" s="272">
        <f t="shared" si="27"/>
        <v>0.9</v>
      </c>
      <c r="AA194" s="272">
        <f t="shared" si="27"/>
        <v>0.9</v>
      </c>
      <c r="AB194" s="27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764</v>
      </c>
      <c r="G195" s="78"/>
      <c r="H195" s="81" t="s">
        <v>765</v>
      </c>
      <c r="I195" s="101" t="s">
        <v>2424</v>
      </c>
      <c r="J195" s="101"/>
      <c r="K195" s="102">
        <v>5.7000000000000003E-5</v>
      </c>
      <c r="L195" s="102">
        <v>5.7000000000000003E-5</v>
      </c>
      <c r="M195" s="102">
        <v>5.7000000000000003E-5</v>
      </c>
      <c r="N195" s="102">
        <v>5.7000000000000003E-5</v>
      </c>
      <c r="O195" s="102">
        <v>5.7000000000000003E-5</v>
      </c>
      <c r="P195" s="102">
        <v>5.7000000000000003E-5</v>
      </c>
      <c r="Q195" s="81"/>
      <c r="R195" s="81" t="s">
        <v>757</v>
      </c>
      <c r="S195" s="81" t="s">
        <v>761</v>
      </c>
      <c r="T195" s="81"/>
      <c r="U195" s="272">
        <f t="shared" si="27"/>
        <v>5.7000000000000003E-5</v>
      </c>
      <c r="V195" s="272">
        <f t="shared" si="27"/>
        <v>5.7000000000000003E-5</v>
      </c>
      <c r="W195" s="272">
        <f t="shared" si="27"/>
        <v>5.7000000000000003E-5</v>
      </c>
      <c r="X195" s="272">
        <f t="shared" si="27"/>
        <v>5.7000000000000003E-5</v>
      </c>
      <c r="Y195" s="272">
        <f t="shared" si="27"/>
        <v>5.7000000000000003E-5</v>
      </c>
      <c r="Z195" s="272">
        <f t="shared" si="27"/>
        <v>5.7000000000000003E-5</v>
      </c>
      <c r="AA195" s="272">
        <f t="shared" si="27"/>
        <v>5.7000000000000003E-5</v>
      </c>
      <c r="AB195" s="27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766</v>
      </c>
      <c r="G196" s="78"/>
      <c r="H196" s="81" t="s">
        <v>767</v>
      </c>
      <c r="I196" s="101" t="s">
        <v>708</v>
      </c>
      <c r="J196" s="101"/>
      <c r="K196" s="102">
        <v>0.16</v>
      </c>
      <c r="L196" s="102">
        <v>0.16</v>
      </c>
      <c r="M196" s="102">
        <v>0.16</v>
      </c>
      <c r="N196" s="102">
        <v>0.16</v>
      </c>
      <c r="O196" s="102">
        <v>0.16</v>
      </c>
      <c r="P196" s="102">
        <v>0.16</v>
      </c>
      <c r="Q196" s="81"/>
      <c r="R196" s="81" t="s">
        <v>757</v>
      </c>
      <c r="S196" s="81" t="s">
        <v>761</v>
      </c>
      <c r="T196" s="81"/>
      <c r="U196" s="272">
        <f t="shared" si="27"/>
        <v>0.16</v>
      </c>
      <c r="V196" s="272">
        <f t="shared" si="27"/>
        <v>0.16</v>
      </c>
      <c r="W196" s="272">
        <f t="shared" si="27"/>
        <v>0.16</v>
      </c>
      <c r="X196" s="272">
        <f t="shared" si="27"/>
        <v>0.16</v>
      </c>
      <c r="Y196" s="272">
        <f t="shared" si="27"/>
        <v>0.16</v>
      </c>
      <c r="Z196" s="272">
        <f t="shared" si="27"/>
        <v>0.16</v>
      </c>
      <c r="AA196" s="272">
        <f t="shared" si="27"/>
        <v>0.16</v>
      </c>
      <c r="AB196" s="27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768</v>
      </c>
      <c r="G197" s="78"/>
      <c r="H197" s="81" t="s">
        <v>769</v>
      </c>
      <c r="I197" s="101" t="s">
        <v>605</v>
      </c>
      <c r="J197" s="101"/>
      <c r="K197" s="102">
        <v>1.52E-2</v>
      </c>
      <c r="L197" s="102">
        <v>1.52E-2</v>
      </c>
      <c r="M197" s="102">
        <v>1.52E-2</v>
      </c>
      <c r="N197" s="102">
        <v>1.52E-2</v>
      </c>
      <c r="O197" s="102">
        <v>1.52E-2</v>
      </c>
      <c r="P197" s="102">
        <v>1.52E-2</v>
      </c>
      <c r="Q197" s="81"/>
      <c r="R197" s="81" t="s">
        <v>593</v>
      </c>
      <c r="S197" s="81" t="s">
        <v>593</v>
      </c>
      <c r="T197" s="81"/>
      <c r="U197" s="272">
        <f t="shared" si="27"/>
        <v>1.52E-2</v>
      </c>
      <c r="V197" s="272">
        <f t="shared" si="27"/>
        <v>1.52E-2</v>
      </c>
      <c r="W197" s="272">
        <f t="shared" si="27"/>
        <v>1.52E-2</v>
      </c>
      <c r="X197" s="272">
        <f t="shared" si="27"/>
        <v>1.52E-2</v>
      </c>
      <c r="Y197" s="272">
        <f t="shared" si="27"/>
        <v>1.52E-2</v>
      </c>
      <c r="Z197" s="272">
        <f t="shared" si="27"/>
        <v>1.52E-2</v>
      </c>
      <c r="AA197" s="272">
        <f t="shared" si="27"/>
        <v>1.52E-2</v>
      </c>
      <c r="AB197" s="27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770</v>
      </c>
      <c r="G198" s="78"/>
      <c r="H198" s="81" t="s">
        <v>771</v>
      </c>
      <c r="I198" s="101" t="s">
        <v>708</v>
      </c>
      <c r="J198" s="101"/>
      <c r="K198" s="277">
        <v>4.6000000000000001E-4</v>
      </c>
      <c r="L198" s="277">
        <v>4.6000000000000001E-4</v>
      </c>
      <c r="M198" s="102">
        <v>5.2599999999999999E-4</v>
      </c>
      <c r="N198" s="102">
        <v>5.2599999999999999E-4</v>
      </c>
      <c r="O198" s="102">
        <v>5.2599999999999999E-4</v>
      </c>
      <c r="P198" s="102">
        <v>5.2599999999999999E-4</v>
      </c>
      <c r="Q198" s="81"/>
      <c r="R198" s="81" t="s">
        <v>772</v>
      </c>
      <c r="S198" s="81" t="s">
        <v>772</v>
      </c>
      <c r="T198" s="81"/>
      <c r="U198" s="272">
        <f t="shared" si="27"/>
        <v>4.6000000000000001E-4</v>
      </c>
      <c r="V198" s="272">
        <f t="shared" si="27"/>
        <v>4.6000000000000001E-4</v>
      </c>
      <c r="W198" s="272">
        <f t="shared" si="27"/>
        <v>4.6000000000000001E-4</v>
      </c>
      <c r="X198" s="272">
        <f t="shared" si="27"/>
        <v>4.6000000000000001E-4</v>
      </c>
      <c r="Y198" s="272">
        <f t="shared" si="27"/>
        <v>4.6000000000000001E-4</v>
      </c>
      <c r="Z198" s="272">
        <f t="shared" si="27"/>
        <v>4.6000000000000001E-4</v>
      </c>
      <c r="AA198" s="272">
        <f t="shared" si="27"/>
        <v>4.6000000000000001E-4</v>
      </c>
      <c r="AB198" s="27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773</v>
      </c>
      <c r="G199" s="78"/>
      <c r="H199" s="81" t="s">
        <v>774</v>
      </c>
      <c r="I199" s="101" t="s">
        <v>582</v>
      </c>
      <c r="J199" s="101"/>
      <c r="K199" s="277">
        <v>1.47E-4</v>
      </c>
      <c r="L199" s="277">
        <v>1.47E-4</v>
      </c>
      <c r="M199" s="102">
        <v>1.61E-2</v>
      </c>
      <c r="N199" s="102">
        <v>1.29E-2</v>
      </c>
      <c r="O199" s="102">
        <v>1.61E-2</v>
      </c>
      <c r="P199" s="102">
        <v>1.61E-2</v>
      </c>
      <c r="Q199" s="81"/>
      <c r="R199" s="81" t="s">
        <v>772</v>
      </c>
      <c r="S199" s="81" t="s">
        <v>772</v>
      </c>
      <c r="T199" s="81"/>
      <c r="U199" s="272">
        <f t="shared" si="27"/>
        <v>1.47E-4</v>
      </c>
      <c r="V199" s="272">
        <f t="shared" si="27"/>
        <v>1.47E-4</v>
      </c>
      <c r="W199" s="272">
        <f t="shared" si="27"/>
        <v>1.47E-4</v>
      </c>
      <c r="X199" s="272">
        <f t="shared" si="27"/>
        <v>1.47E-4</v>
      </c>
      <c r="Y199" s="272">
        <f t="shared" si="27"/>
        <v>1.47E-4</v>
      </c>
      <c r="Z199" s="272">
        <f t="shared" si="27"/>
        <v>1.47E-4</v>
      </c>
      <c r="AA199" s="272">
        <f t="shared" si="27"/>
        <v>1.47E-4</v>
      </c>
      <c r="AB199" s="27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775</v>
      </c>
      <c r="G200" s="78"/>
      <c r="H200" s="81" t="s">
        <v>776</v>
      </c>
      <c r="I200" s="101" t="s">
        <v>777</v>
      </c>
      <c r="J200" s="101"/>
      <c r="K200" s="102">
        <v>3.375E-3</v>
      </c>
      <c r="L200" s="102">
        <v>3.375E-3</v>
      </c>
      <c r="M200" s="102">
        <v>4.2200000000000001E-2</v>
      </c>
      <c r="N200" s="102">
        <v>3.3799999999999997E-2</v>
      </c>
      <c r="O200" s="102">
        <v>4.2200000000000001E-2</v>
      </c>
      <c r="P200" s="102">
        <v>4.2200000000000001E-2</v>
      </c>
      <c r="Q200" s="81"/>
      <c r="R200" s="81" t="s">
        <v>772</v>
      </c>
      <c r="S200" s="81" t="s">
        <v>772</v>
      </c>
      <c r="T200" s="81"/>
      <c r="U200" s="272">
        <f t="shared" si="27"/>
        <v>3.375E-3</v>
      </c>
      <c r="V200" s="272">
        <f t="shared" si="27"/>
        <v>3.375E-3</v>
      </c>
      <c r="W200" s="272">
        <f t="shared" si="27"/>
        <v>3.375E-3</v>
      </c>
      <c r="X200" s="272">
        <f t="shared" si="27"/>
        <v>3.375E-3</v>
      </c>
      <c r="Y200" s="272">
        <f t="shared" si="27"/>
        <v>3.375E-3</v>
      </c>
      <c r="Z200" s="272">
        <f t="shared" si="27"/>
        <v>3.375E-3</v>
      </c>
      <c r="AA200" s="272">
        <f t="shared" si="27"/>
        <v>3.375E-3</v>
      </c>
      <c r="AB200" s="27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778</v>
      </c>
      <c r="G201" s="78"/>
      <c r="H201" s="81" t="s">
        <v>779</v>
      </c>
      <c r="I201" s="101" t="s">
        <v>780</v>
      </c>
      <c r="J201" s="101"/>
      <c r="K201" s="81"/>
      <c r="L201" s="81"/>
      <c r="M201" s="102">
        <v>1.1E-4</v>
      </c>
      <c r="N201" s="102">
        <v>1.1E-4</v>
      </c>
      <c r="O201" s="102">
        <v>1.1E-4</v>
      </c>
      <c r="P201" s="102">
        <v>1.1E-4</v>
      </c>
      <c r="Q201" s="81"/>
      <c r="R201" s="81"/>
      <c r="S201" s="81" t="s">
        <v>593</v>
      </c>
      <c r="T201" s="81"/>
      <c r="U201" s="272">
        <f t="shared" si="27"/>
        <v>0</v>
      </c>
      <c r="V201" s="272">
        <f t="shared" si="27"/>
        <v>0</v>
      </c>
      <c r="W201" s="272">
        <f t="shared" si="27"/>
        <v>0</v>
      </c>
      <c r="X201" s="272">
        <f t="shared" si="27"/>
        <v>0</v>
      </c>
      <c r="Y201" s="272">
        <f t="shared" si="27"/>
        <v>0</v>
      </c>
      <c r="Z201" s="272">
        <f t="shared" si="27"/>
        <v>0</v>
      </c>
      <c r="AA201" s="272">
        <f t="shared" si="27"/>
        <v>0</v>
      </c>
      <c r="AB201" s="27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781</v>
      </c>
      <c r="G202" s="78"/>
      <c r="H202" s="81" t="s">
        <v>782</v>
      </c>
      <c r="I202" s="101" t="s">
        <v>582</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783</v>
      </c>
      <c r="G203" s="78"/>
      <c r="H203" s="81" t="s">
        <v>784</v>
      </c>
      <c r="I203" s="101" t="s">
        <v>2423</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593</v>
      </c>
      <c r="T203" s="81"/>
      <c r="U203" s="272">
        <f t="shared" ref="U203:AB206" si="28">INDEX($K203:$Q203,1,U$54)</f>
        <v>2.5999999999999999E-3</v>
      </c>
      <c r="V203" s="272">
        <f t="shared" si="28"/>
        <v>2.5999999999999999E-3</v>
      </c>
      <c r="W203" s="272">
        <f t="shared" si="28"/>
        <v>2.5999999999999999E-3</v>
      </c>
      <c r="X203" s="272">
        <f t="shared" si="28"/>
        <v>2.5999999999999999E-3</v>
      </c>
      <c r="Y203" s="272">
        <f t="shared" si="28"/>
        <v>2.5999999999999999E-3</v>
      </c>
      <c r="Z203" s="272">
        <f t="shared" si="28"/>
        <v>2.5999999999999999E-3</v>
      </c>
      <c r="AA203" s="272">
        <f t="shared" si="28"/>
        <v>2.5999999999999999E-3</v>
      </c>
      <c r="AB203" s="27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785</v>
      </c>
      <c r="G204" s="78"/>
      <c r="H204" s="81" t="s">
        <v>786</v>
      </c>
      <c r="I204" s="101" t="s">
        <v>787</v>
      </c>
      <c r="J204" s="101"/>
      <c r="K204" s="102">
        <v>40</v>
      </c>
      <c r="L204" s="102">
        <v>40</v>
      </c>
      <c r="M204" s="102">
        <v>5</v>
      </c>
      <c r="N204" s="102">
        <v>5</v>
      </c>
      <c r="O204" s="102">
        <v>5</v>
      </c>
      <c r="P204" s="102">
        <v>5</v>
      </c>
      <c r="Q204" s="81"/>
      <c r="R204" s="81" t="s">
        <v>593</v>
      </c>
      <c r="S204" s="81"/>
      <c r="T204" s="81"/>
      <c r="U204" s="272">
        <f t="shared" si="28"/>
        <v>40</v>
      </c>
      <c r="V204" s="272">
        <f t="shared" si="28"/>
        <v>40</v>
      </c>
      <c r="W204" s="272">
        <f t="shared" si="28"/>
        <v>40</v>
      </c>
      <c r="X204" s="272">
        <f t="shared" si="28"/>
        <v>40</v>
      </c>
      <c r="Y204" s="272">
        <f t="shared" si="28"/>
        <v>40</v>
      </c>
      <c r="Z204" s="272">
        <f t="shared" si="28"/>
        <v>40</v>
      </c>
      <c r="AA204" s="272">
        <f t="shared" si="28"/>
        <v>40</v>
      </c>
      <c r="AB204" s="27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788</v>
      </c>
      <c r="G205" s="78"/>
      <c r="H205" s="81" t="s">
        <v>789</v>
      </c>
      <c r="I205" s="101" t="s">
        <v>790</v>
      </c>
      <c r="J205" s="101"/>
      <c r="K205" s="102">
        <v>100</v>
      </c>
      <c r="L205" s="102">
        <v>100</v>
      </c>
      <c r="M205" s="102">
        <v>100</v>
      </c>
      <c r="N205" s="102">
        <v>100</v>
      </c>
      <c r="O205" s="102">
        <v>100</v>
      </c>
      <c r="P205" s="102">
        <v>100</v>
      </c>
      <c r="Q205" s="81"/>
      <c r="R205" s="81" t="s">
        <v>593</v>
      </c>
      <c r="S205" s="81"/>
      <c r="T205" s="81"/>
      <c r="U205" s="272">
        <f t="shared" si="28"/>
        <v>100</v>
      </c>
      <c r="V205" s="272">
        <f t="shared" si="28"/>
        <v>100</v>
      </c>
      <c r="W205" s="272">
        <f t="shared" si="28"/>
        <v>100</v>
      </c>
      <c r="X205" s="272">
        <f t="shared" si="28"/>
        <v>100</v>
      </c>
      <c r="Y205" s="272">
        <f t="shared" si="28"/>
        <v>100</v>
      </c>
      <c r="Z205" s="272">
        <f t="shared" si="28"/>
        <v>100</v>
      </c>
      <c r="AA205" s="272">
        <f t="shared" si="28"/>
        <v>100</v>
      </c>
      <c r="AB205" s="27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791</v>
      </c>
      <c r="G206" s="78"/>
      <c r="H206" s="81" t="s">
        <v>792</v>
      </c>
      <c r="I206" s="101" t="s">
        <v>790</v>
      </c>
      <c r="J206" s="101"/>
      <c r="K206" s="102">
        <v>100</v>
      </c>
      <c r="L206" s="102">
        <v>100</v>
      </c>
      <c r="M206" s="102">
        <v>100</v>
      </c>
      <c r="N206" s="102">
        <v>100</v>
      </c>
      <c r="O206" s="102">
        <v>100</v>
      </c>
      <c r="P206" s="102">
        <v>100</v>
      </c>
      <c r="Q206" s="81"/>
      <c r="R206" s="81" t="s">
        <v>593</v>
      </c>
      <c r="S206" s="81"/>
      <c r="T206" s="81"/>
      <c r="U206" s="272">
        <f t="shared" si="28"/>
        <v>100</v>
      </c>
      <c r="V206" s="272">
        <f t="shared" si="28"/>
        <v>100</v>
      </c>
      <c r="W206" s="272">
        <f t="shared" si="28"/>
        <v>100</v>
      </c>
      <c r="X206" s="272">
        <f t="shared" si="28"/>
        <v>100</v>
      </c>
      <c r="Y206" s="272">
        <f t="shared" si="28"/>
        <v>100</v>
      </c>
      <c r="Z206" s="272">
        <f t="shared" si="28"/>
        <v>100</v>
      </c>
      <c r="AA206" s="272">
        <f t="shared" si="28"/>
        <v>100</v>
      </c>
      <c r="AB206" s="27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275" t="s">
        <v>793</v>
      </c>
      <c r="G207" s="78"/>
      <c r="H207" s="265" t="s">
        <v>794</v>
      </c>
      <c r="I207" s="101"/>
      <c r="J207" s="101" t="s">
        <v>600</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795</v>
      </c>
      <c r="F208" s="73" t="s">
        <v>796</v>
      </c>
      <c r="G208" s="78"/>
      <c r="H208" s="81" t="s">
        <v>575</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797</v>
      </c>
      <c r="G209" s="78"/>
      <c r="H209" s="81" t="s">
        <v>798</v>
      </c>
      <c r="I209" s="101" t="s">
        <v>582</v>
      </c>
      <c r="J209" s="101"/>
      <c r="K209" s="102">
        <v>0.3</v>
      </c>
      <c r="L209" s="102">
        <v>0.3</v>
      </c>
      <c r="M209" s="102">
        <v>0.3</v>
      </c>
      <c r="N209" s="102">
        <v>0.3</v>
      </c>
      <c r="O209" s="102">
        <v>0.3</v>
      </c>
      <c r="P209" s="102">
        <v>0.3</v>
      </c>
      <c r="Q209" s="81"/>
      <c r="R209" s="81" t="s">
        <v>799</v>
      </c>
      <c r="S209" s="81" t="s">
        <v>799</v>
      </c>
      <c r="T209" s="81"/>
      <c r="U209" s="272">
        <f t="shared" ref="U209:AB215" si="30">INDEX($K209:$Q209,1,U$54)</f>
        <v>0.3</v>
      </c>
      <c r="V209" s="272">
        <f t="shared" si="30"/>
        <v>0.3</v>
      </c>
      <c r="W209" s="272">
        <f t="shared" si="30"/>
        <v>0.3</v>
      </c>
      <c r="X209" s="272">
        <f t="shared" si="30"/>
        <v>0.3</v>
      </c>
      <c r="Y209" s="272">
        <f t="shared" si="30"/>
        <v>0.3</v>
      </c>
      <c r="Z209" s="272">
        <f t="shared" si="30"/>
        <v>0.3</v>
      </c>
      <c r="AA209" s="272">
        <f t="shared" si="30"/>
        <v>0.3</v>
      </c>
      <c r="AB209" s="27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800</v>
      </c>
      <c r="G210" s="78"/>
      <c r="H210" s="81" t="s">
        <v>801</v>
      </c>
      <c r="I210" s="101" t="s">
        <v>582</v>
      </c>
      <c r="J210" s="101"/>
      <c r="K210" s="102">
        <v>0.25</v>
      </c>
      <c r="L210" s="102">
        <v>0.25</v>
      </c>
      <c r="M210" s="102">
        <v>0.25</v>
      </c>
      <c r="N210" s="102">
        <v>0.25</v>
      </c>
      <c r="O210" s="102">
        <v>0.25</v>
      </c>
      <c r="P210" s="102">
        <v>0.25</v>
      </c>
      <c r="Q210" s="81"/>
      <c r="R210" s="81" t="s">
        <v>799</v>
      </c>
      <c r="S210" s="81" t="s">
        <v>799</v>
      </c>
      <c r="T210" s="81"/>
      <c r="U210" s="272">
        <f t="shared" si="30"/>
        <v>0.25</v>
      </c>
      <c r="V210" s="272">
        <f t="shared" si="30"/>
        <v>0.25</v>
      </c>
      <c r="W210" s="272">
        <f t="shared" si="30"/>
        <v>0.25</v>
      </c>
      <c r="X210" s="272">
        <f t="shared" si="30"/>
        <v>0.25</v>
      </c>
      <c r="Y210" s="272">
        <f t="shared" si="30"/>
        <v>0.25</v>
      </c>
      <c r="Z210" s="272">
        <f t="shared" si="30"/>
        <v>0.25</v>
      </c>
      <c r="AA210" s="272">
        <f t="shared" si="30"/>
        <v>0.25</v>
      </c>
      <c r="AB210" s="27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802</v>
      </c>
      <c r="G211" s="78"/>
      <c r="H211" s="81" t="s">
        <v>803</v>
      </c>
      <c r="I211" s="101" t="s">
        <v>582</v>
      </c>
      <c r="J211" s="101"/>
      <c r="K211" s="102">
        <v>0.1</v>
      </c>
      <c r="L211" s="102">
        <v>0.1</v>
      </c>
      <c r="M211" s="102">
        <v>0.1</v>
      </c>
      <c r="N211" s="102">
        <v>0.1</v>
      </c>
      <c r="O211" s="102">
        <v>0.1</v>
      </c>
      <c r="P211" s="102">
        <v>0.1</v>
      </c>
      <c r="Q211" s="81"/>
      <c r="R211" s="81" t="s">
        <v>799</v>
      </c>
      <c r="S211" s="81" t="s">
        <v>799</v>
      </c>
      <c r="T211" s="81"/>
      <c r="U211" s="272">
        <f t="shared" si="30"/>
        <v>0.1</v>
      </c>
      <c r="V211" s="272">
        <f t="shared" si="30"/>
        <v>0.1</v>
      </c>
      <c r="W211" s="272">
        <f t="shared" si="30"/>
        <v>0.1</v>
      </c>
      <c r="X211" s="272">
        <f t="shared" si="30"/>
        <v>0.1</v>
      </c>
      <c r="Y211" s="272">
        <f t="shared" si="30"/>
        <v>0.1</v>
      </c>
      <c r="Z211" s="272">
        <f t="shared" si="30"/>
        <v>0.1</v>
      </c>
      <c r="AA211" s="272">
        <f t="shared" si="30"/>
        <v>0.1</v>
      </c>
      <c r="AB211" s="27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804</v>
      </c>
      <c r="G212" s="78"/>
      <c r="H212" s="81" t="s">
        <v>805</v>
      </c>
      <c r="I212" s="101" t="s">
        <v>627</v>
      </c>
      <c r="J212" s="101"/>
      <c r="K212" s="102">
        <v>7.0000000000000001E-3</v>
      </c>
      <c r="L212" s="102">
        <v>7.0000000000000001E-3</v>
      </c>
      <c r="M212" s="102">
        <v>7.0000000000000001E-3</v>
      </c>
      <c r="N212" s="102">
        <v>7.0000000000000001E-3</v>
      </c>
      <c r="O212" s="102">
        <v>7.0000000000000001E-3</v>
      </c>
      <c r="P212" s="102">
        <v>7.0000000000000001E-3</v>
      </c>
      <c r="Q212" s="81"/>
      <c r="R212" s="81" t="s">
        <v>799</v>
      </c>
      <c r="S212" s="81" t="s">
        <v>799</v>
      </c>
      <c r="T212" s="81"/>
      <c r="U212" s="272">
        <f t="shared" si="30"/>
        <v>7.0000000000000001E-3</v>
      </c>
      <c r="V212" s="272">
        <f t="shared" si="30"/>
        <v>7.0000000000000001E-3</v>
      </c>
      <c r="W212" s="272">
        <f t="shared" si="30"/>
        <v>7.0000000000000001E-3</v>
      </c>
      <c r="X212" s="272">
        <f t="shared" si="30"/>
        <v>7.0000000000000001E-3</v>
      </c>
      <c r="Y212" s="272">
        <f t="shared" si="30"/>
        <v>7.0000000000000001E-3</v>
      </c>
      <c r="Z212" s="272">
        <f t="shared" si="30"/>
        <v>7.0000000000000001E-3</v>
      </c>
      <c r="AA212" s="272">
        <f t="shared" si="30"/>
        <v>7.0000000000000001E-3</v>
      </c>
      <c r="AB212" s="27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806</v>
      </c>
      <c r="G213" s="78"/>
      <c r="H213" s="81" t="s">
        <v>807</v>
      </c>
      <c r="I213" s="101" t="s">
        <v>627</v>
      </c>
      <c r="J213" s="101"/>
      <c r="K213" s="102">
        <v>5.0000000000000001E-3</v>
      </c>
      <c r="L213" s="102">
        <v>5.0000000000000001E-3</v>
      </c>
      <c r="M213" s="102">
        <v>5.0000000000000001E-3</v>
      </c>
      <c r="N213" s="102">
        <v>5.0000000000000001E-3</v>
      </c>
      <c r="O213" s="102">
        <v>5.0000000000000001E-3</v>
      </c>
      <c r="P213" s="102">
        <v>5.0000000000000001E-3</v>
      </c>
      <c r="Q213" s="81"/>
      <c r="R213" s="81" t="s">
        <v>799</v>
      </c>
      <c r="S213" s="81" t="s">
        <v>799</v>
      </c>
      <c r="T213" s="81"/>
      <c r="U213" s="272">
        <f t="shared" si="30"/>
        <v>5.0000000000000001E-3</v>
      </c>
      <c r="V213" s="272">
        <f t="shared" si="30"/>
        <v>5.0000000000000001E-3</v>
      </c>
      <c r="W213" s="272">
        <f t="shared" si="30"/>
        <v>5.0000000000000001E-3</v>
      </c>
      <c r="X213" s="272">
        <f t="shared" si="30"/>
        <v>5.0000000000000001E-3</v>
      </c>
      <c r="Y213" s="272">
        <f t="shared" si="30"/>
        <v>5.0000000000000001E-3</v>
      </c>
      <c r="Z213" s="272">
        <f t="shared" si="30"/>
        <v>5.0000000000000001E-3</v>
      </c>
      <c r="AA213" s="272">
        <f t="shared" si="30"/>
        <v>5.0000000000000001E-3</v>
      </c>
      <c r="AB213" s="27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808</v>
      </c>
      <c r="G214" s="78"/>
      <c r="H214" s="81" t="s">
        <v>809</v>
      </c>
      <c r="I214" s="101" t="s">
        <v>582</v>
      </c>
      <c r="J214" s="101"/>
      <c r="K214" s="102">
        <v>0.35</v>
      </c>
      <c r="L214" s="102">
        <v>0.35</v>
      </c>
      <c r="M214" s="102">
        <v>0.35</v>
      </c>
      <c r="N214" s="102">
        <v>0.35</v>
      </c>
      <c r="O214" s="102">
        <v>0.35</v>
      </c>
      <c r="P214" s="102">
        <v>0.35</v>
      </c>
      <c r="Q214" s="81"/>
      <c r="R214" s="81" t="s">
        <v>799</v>
      </c>
      <c r="S214" s="81" t="s">
        <v>799</v>
      </c>
      <c r="T214" s="81"/>
      <c r="U214" s="272">
        <f t="shared" si="30"/>
        <v>0.35</v>
      </c>
      <c r="V214" s="272">
        <f t="shared" si="30"/>
        <v>0.35</v>
      </c>
      <c r="W214" s="272">
        <f t="shared" si="30"/>
        <v>0.35</v>
      </c>
      <c r="X214" s="272">
        <f t="shared" si="30"/>
        <v>0.35</v>
      </c>
      <c r="Y214" s="272">
        <f t="shared" si="30"/>
        <v>0.35</v>
      </c>
      <c r="Z214" s="272">
        <f t="shared" si="30"/>
        <v>0.35</v>
      </c>
      <c r="AA214" s="272">
        <f t="shared" si="30"/>
        <v>0.35</v>
      </c>
      <c r="AB214" s="27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810</v>
      </c>
      <c r="G215" s="78"/>
      <c r="H215" s="81" t="s">
        <v>811</v>
      </c>
      <c r="I215" s="101" t="s">
        <v>582</v>
      </c>
      <c r="J215" s="101"/>
      <c r="K215" s="102">
        <v>0.1</v>
      </c>
      <c r="L215" s="102">
        <v>0.1</v>
      </c>
      <c r="M215" s="102">
        <v>0.1</v>
      </c>
      <c r="N215" s="102">
        <v>0.1</v>
      </c>
      <c r="O215" s="102">
        <v>0.1</v>
      </c>
      <c r="P215" s="102">
        <v>0.1</v>
      </c>
      <c r="Q215" s="81"/>
      <c r="R215" s="81" t="s">
        <v>757</v>
      </c>
      <c r="S215" s="81" t="s">
        <v>799</v>
      </c>
      <c r="T215" s="81"/>
      <c r="U215" s="272">
        <f t="shared" si="30"/>
        <v>0.1</v>
      </c>
      <c r="V215" s="272">
        <f t="shared" si="30"/>
        <v>0.1</v>
      </c>
      <c r="W215" s="272">
        <f t="shared" si="30"/>
        <v>0.1</v>
      </c>
      <c r="X215" s="272">
        <f t="shared" si="30"/>
        <v>0.1</v>
      </c>
      <c r="Y215" s="272">
        <f t="shared" si="30"/>
        <v>0.1</v>
      </c>
      <c r="Z215" s="272">
        <f t="shared" si="30"/>
        <v>0.1</v>
      </c>
      <c r="AA215" s="272">
        <f t="shared" si="30"/>
        <v>0.1</v>
      </c>
      <c r="AB215" s="27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275" t="s">
        <v>812</v>
      </c>
      <c r="G216" s="78"/>
      <c r="H216" s="265" t="s">
        <v>813</v>
      </c>
      <c r="I216" s="101"/>
      <c r="J216" s="101" t="s">
        <v>600</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814</v>
      </c>
      <c r="F217" s="73" t="s">
        <v>815</v>
      </c>
      <c r="G217" s="78"/>
      <c r="H217" s="81" t="s">
        <v>575</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816</v>
      </c>
      <c r="G218" s="78"/>
      <c r="H218" s="81" t="s">
        <v>817</v>
      </c>
      <c r="I218" s="101" t="s">
        <v>582</v>
      </c>
      <c r="J218" s="101"/>
      <c r="K218" s="102">
        <v>0.05</v>
      </c>
      <c r="L218" s="102">
        <v>0.05</v>
      </c>
      <c r="M218" s="102">
        <v>0.05</v>
      </c>
      <c r="N218" s="102">
        <v>0.05</v>
      </c>
      <c r="O218" s="102">
        <v>0.05</v>
      </c>
      <c r="P218" s="102">
        <v>0.05</v>
      </c>
      <c r="Q218" s="81"/>
      <c r="R218" s="81" t="s">
        <v>818</v>
      </c>
      <c r="S218" s="81" t="s">
        <v>818</v>
      </c>
      <c r="T218" s="81"/>
      <c r="U218" s="272">
        <f t="shared" ref="U218:AB226" si="32">INDEX($K218:$Q218,1,U$54)</f>
        <v>0.05</v>
      </c>
      <c r="V218" s="272">
        <f t="shared" si="32"/>
        <v>0.05</v>
      </c>
      <c r="W218" s="272">
        <f t="shared" si="32"/>
        <v>0.05</v>
      </c>
      <c r="X218" s="272">
        <f t="shared" si="32"/>
        <v>0.05</v>
      </c>
      <c r="Y218" s="272">
        <f t="shared" si="32"/>
        <v>0.05</v>
      </c>
      <c r="Z218" s="272">
        <f t="shared" si="32"/>
        <v>0.05</v>
      </c>
      <c r="AA218" s="272">
        <f t="shared" si="32"/>
        <v>0.05</v>
      </c>
      <c r="AB218" s="27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819</v>
      </c>
      <c r="G219" s="78"/>
      <c r="H219" s="81" t="s">
        <v>820</v>
      </c>
      <c r="I219" s="101" t="s">
        <v>582</v>
      </c>
      <c r="J219" s="101"/>
      <c r="K219" s="102">
        <v>0.85</v>
      </c>
      <c r="L219" s="102">
        <v>0.85</v>
      </c>
      <c r="M219" s="102">
        <v>0.85</v>
      </c>
      <c r="N219" s="102">
        <v>0.85</v>
      </c>
      <c r="O219" s="102">
        <v>0.85</v>
      </c>
      <c r="P219" s="102">
        <v>0.85</v>
      </c>
      <c r="Q219" s="81"/>
      <c r="R219" s="81" t="s">
        <v>818</v>
      </c>
      <c r="S219" s="81" t="s">
        <v>818</v>
      </c>
      <c r="T219" s="81"/>
      <c r="U219" s="272">
        <f t="shared" si="32"/>
        <v>0.85</v>
      </c>
      <c r="V219" s="272">
        <f t="shared" si="32"/>
        <v>0.85</v>
      </c>
      <c r="W219" s="272">
        <f t="shared" si="32"/>
        <v>0.85</v>
      </c>
      <c r="X219" s="272">
        <f t="shared" si="32"/>
        <v>0.85</v>
      </c>
      <c r="Y219" s="272">
        <f t="shared" si="32"/>
        <v>0.85</v>
      </c>
      <c r="Z219" s="272">
        <f t="shared" si="32"/>
        <v>0.85</v>
      </c>
      <c r="AA219" s="272">
        <f t="shared" si="32"/>
        <v>0.85</v>
      </c>
      <c r="AB219" s="27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821</v>
      </c>
      <c r="G220" s="78"/>
      <c r="H220" s="81" t="s">
        <v>822</v>
      </c>
      <c r="I220" s="101" t="s">
        <v>582</v>
      </c>
      <c r="J220" s="101"/>
      <c r="K220" s="102">
        <v>5.5</v>
      </c>
      <c r="L220" s="102">
        <v>5.5</v>
      </c>
      <c r="M220" s="102">
        <v>5.5</v>
      </c>
      <c r="N220" s="102">
        <v>5.5</v>
      </c>
      <c r="O220" s="102">
        <v>5.5</v>
      </c>
      <c r="P220" s="102">
        <v>5.5</v>
      </c>
      <c r="Q220" s="81"/>
      <c r="R220" s="81" t="s">
        <v>818</v>
      </c>
      <c r="S220" s="81" t="s">
        <v>818</v>
      </c>
      <c r="T220" s="81"/>
      <c r="U220" s="272">
        <f t="shared" si="32"/>
        <v>5.5</v>
      </c>
      <c r="V220" s="272">
        <f t="shared" si="32"/>
        <v>5.5</v>
      </c>
      <c r="W220" s="272">
        <f t="shared" si="32"/>
        <v>5.5</v>
      </c>
      <c r="X220" s="272">
        <f t="shared" si="32"/>
        <v>5.5</v>
      </c>
      <c r="Y220" s="272">
        <f t="shared" si="32"/>
        <v>5.5</v>
      </c>
      <c r="Z220" s="272">
        <f t="shared" si="32"/>
        <v>5.5</v>
      </c>
      <c r="AA220" s="272">
        <f t="shared" si="32"/>
        <v>5.5</v>
      </c>
      <c r="AB220" s="27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823</v>
      </c>
      <c r="G221" s="78"/>
      <c r="H221" s="81" t="s">
        <v>824</v>
      </c>
      <c r="I221" s="101" t="s">
        <v>582</v>
      </c>
      <c r="J221" s="101"/>
      <c r="K221" s="102">
        <v>0.17799999999999999</v>
      </c>
      <c r="L221" s="102">
        <v>0.17799999999999999</v>
      </c>
      <c r="M221" s="102">
        <v>0.17799999999999999</v>
      </c>
      <c r="N221" s="102">
        <v>0.17799999999999999</v>
      </c>
      <c r="O221" s="102">
        <v>0.17799999999999999</v>
      </c>
      <c r="P221" s="102">
        <v>0.17799999999999999</v>
      </c>
      <c r="Q221" s="81"/>
      <c r="R221" s="81" t="s">
        <v>818</v>
      </c>
      <c r="S221" s="81" t="s">
        <v>818</v>
      </c>
      <c r="T221" s="81"/>
      <c r="U221" s="272">
        <f t="shared" si="32"/>
        <v>0.17799999999999999</v>
      </c>
      <c r="V221" s="272">
        <f t="shared" si="32"/>
        <v>0.17799999999999999</v>
      </c>
      <c r="W221" s="272">
        <f t="shared" si="32"/>
        <v>0.17799999999999999</v>
      </c>
      <c r="X221" s="272">
        <f t="shared" si="32"/>
        <v>0.17799999999999999</v>
      </c>
      <c r="Y221" s="272">
        <f t="shared" si="32"/>
        <v>0.17799999999999999</v>
      </c>
      <c r="Z221" s="272">
        <f t="shared" si="32"/>
        <v>0.17799999999999999</v>
      </c>
      <c r="AA221" s="272">
        <f t="shared" si="32"/>
        <v>0.17799999999999999</v>
      </c>
      <c r="AB221" s="27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825</v>
      </c>
      <c r="G222" s="78"/>
      <c r="H222" s="81" t="s">
        <v>826</v>
      </c>
      <c r="I222" s="101" t="s">
        <v>655</v>
      </c>
      <c r="J222" s="101"/>
      <c r="K222" s="102">
        <v>0.92</v>
      </c>
      <c r="L222" s="102">
        <v>0.92</v>
      </c>
      <c r="M222" s="102">
        <v>0.92</v>
      </c>
      <c r="N222" s="102">
        <v>0.92</v>
      </c>
      <c r="O222" s="102">
        <v>0.92</v>
      </c>
      <c r="P222" s="102">
        <v>0.92</v>
      </c>
      <c r="Q222" s="81"/>
      <c r="R222" s="81" t="s">
        <v>709</v>
      </c>
      <c r="S222" s="81" t="s">
        <v>709</v>
      </c>
      <c r="T222" s="81"/>
      <c r="U222" s="272">
        <f t="shared" si="32"/>
        <v>0.92</v>
      </c>
      <c r="V222" s="272">
        <f t="shared" si="32"/>
        <v>0.92</v>
      </c>
      <c r="W222" s="272">
        <f t="shared" si="32"/>
        <v>0.92</v>
      </c>
      <c r="X222" s="272">
        <f t="shared" si="32"/>
        <v>0.92</v>
      </c>
      <c r="Y222" s="272">
        <f t="shared" si="32"/>
        <v>0.92</v>
      </c>
      <c r="Z222" s="272">
        <f t="shared" si="32"/>
        <v>0.92</v>
      </c>
      <c r="AA222" s="272">
        <f t="shared" si="32"/>
        <v>0.92</v>
      </c>
      <c r="AB222" s="27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827</v>
      </c>
      <c r="G223" s="78"/>
      <c r="H223" s="81" t="s">
        <v>828</v>
      </c>
      <c r="I223" s="101" t="s">
        <v>582</v>
      </c>
      <c r="J223" s="101"/>
      <c r="K223" s="102">
        <v>1</v>
      </c>
      <c r="L223" s="102">
        <v>1</v>
      </c>
      <c r="M223" s="102">
        <v>1</v>
      </c>
      <c r="N223" s="102">
        <v>1</v>
      </c>
      <c r="O223" s="102">
        <v>1</v>
      </c>
      <c r="P223" s="102">
        <v>1</v>
      </c>
      <c r="Q223" s="81"/>
      <c r="R223" s="81" t="s">
        <v>772</v>
      </c>
      <c r="S223" s="81" t="s">
        <v>772</v>
      </c>
      <c r="T223" s="81"/>
      <c r="U223" s="272">
        <f t="shared" si="32"/>
        <v>1</v>
      </c>
      <c r="V223" s="272">
        <f t="shared" si="32"/>
        <v>1</v>
      </c>
      <c r="W223" s="272">
        <f t="shared" si="32"/>
        <v>1</v>
      </c>
      <c r="X223" s="272">
        <f t="shared" si="32"/>
        <v>1</v>
      </c>
      <c r="Y223" s="272">
        <f t="shared" si="32"/>
        <v>1</v>
      </c>
      <c r="Z223" s="272">
        <f t="shared" si="32"/>
        <v>1</v>
      </c>
      <c r="AA223" s="272">
        <f t="shared" si="32"/>
        <v>1</v>
      </c>
      <c r="AB223" s="27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829</v>
      </c>
      <c r="G224" s="78"/>
      <c r="H224" s="81" t="s">
        <v>830</v>
      </c>
      <c r="I224" s="101" t="s">
        <v>582</v>
      </c>
      <c r="J224" s="101"/>
      <c r="K224" s="102">
        <v>0.6</v>
      </c>
      <c r="L224" s="102">
        <v>0.6</v>
      </c>
      <c r="M224" s="102">
        <v>0.6</v>
      </c>
      <c r="N224" s="102">
        <v>0.6</v>
      </c>
      <c r="O224" s="102">
        <v>0.6</v>
      </c>
      <c r="P224" s="102">
        <v>0.6</v>
      </c>
      <c r="Q224" s="81"/>
      <c r="R224" s="81" t="s">
        <v>772</v>
      </c>
      <c r="S224" s="81" t="s">
        <v>772</v>
      </c>
      <c r="T224" s="81"/>
      <c r="U224" s="272">
        <f t="shared" si="32"/>
        <v>0.6</v>
      </c>
      <c r="V224" s="272">
        <f t="shared" si="32"/>
        <v>0.6</v>
      </c>
      <c r="W224" s="272">
        <f t="shared" si="32"/>
        <v>0.6</v>
      </c>
      <c r="X224" s="272">
        <f t="shared" si="32"/>
        <v>0.6</v>
      </c>
      <c r="Y224" s="272">
        <f t="shared" si="32"/>
        <v>0.6</v>
      </c>
      <c r="Z224" s="272">
        <f t="shared" si="32"/>
        <v>0.6</v>
      </c>
      <c r="AA224" s="272">
        <f t="shared" si="32"/>
        <v>0.6</v>
      </c>
      <c r="AB224" s="27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831</v>
      </c>
      <c r="G225" s="78"/>
      <c r="H225" s="81" t="s">
        <v>832</v>
      </c>
      <c r="I225" s="101" t="s">
        <v>582</v>
      </c>
      <c r="J225" s="101"/>
      <c r="K225" s="102">
        <v>0.25</v>
      </c>
      <c r="L225" s="102">
        <v>0.25</v>
      </c>
      <c r="M225" s="102">
        <v>0.25</v>
      </c>
      <c r="N225" s="102">
        <v>0.25</v>
      </c>
      <c r="O225" s="102">
        <v>0.25</v>
      </c>
      <c r="P225" s="102">
        <v>0.25</v>
      </c>
      <c r="Q225" s="81"/>
      <c r="R225" s="81" t="s">
        <v>772</v>
      </c>
      <c r="S225" s="81" t="s">
        <v>772</v>
      </c>
      <c r="T225" s="81"/>
      <c r="U225" s="272">
        <f t="shared" si="32"/>
        <v>0.25</v>
      </c>
      <c r="V225" s="272">
        <f t="shared" si="32"/>
        <v>0.25</v>
      </c>
      <c r="W225" s="272">
        <f t="shared" si="32"/>
        <v>0.25</v>
      </c>
      <c r="X225" s="272">
        <f t="shared" si="32"/>
        <v>0.25</v>
      </c>
      <c r="Y225" s="272">
        <f t="shared" si="32"/>
        <v>0.25</v>
      </c>
      <c r="Z225" s="272">
        <f t="shared" si="32"/>
        <v>0.25</v>
      </c>
      <c r="AA225" s="272">
        <f t="shared" si="32"/>
        <v>0.25</v>
      </c>
      <c r="AB225" s="27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833</v>
      </c>
      <c r="G226" s="78"/>
      <c r="H226" s="81" t="s">
        <v>834</v>
      </c>
      <c r="I226" s="101" t="s">
        <v>582</v>
      </c>
      <c r="J226" s="101"/>
      <c r="K226" s="102">
        <v>0.9</v>
      </c>
      <c r="L226" s="102">
        <v>0.9</v>
      </c>
      <c r="M226" s="102">
        <v>0.9</v>
      </c>
      <c r="N226" s="102">
        <v>0.9</v>
      </c>
      <c r="O226" s="102">
        <v>0.9</v>
      </c>
      <c r="P226" s="102">
        <v>0.9</v>
      </c>
      <c r="Q226" s="81"/>
      <c r="R226" s="81" t="s">
        <v>835</v>
      </c>
      <c r="S226" s="81" t="s">
        <v>835</v>
      </c>
      <c r="T226" s="81"/>
      <c r="U226" s="272">
        <f t="shared" si="32"/>
        <v>0.9</v>
      </c>
      <c r="V226" s="272">
        <f t="shared" si="32"/>
        <v>0.9</v>
      </c>
      <c r="W226" s="272">
        <f t="shared" si="32"/>
        <v>0.9</v>
      </c>
      <c r="X226" s="272">
        <f t="shared" si="32"/>
        <v>0.9</v>
      </c>
      <c r="Y226" s="272">
        <f t="shared" si="32"/>
        <v>0.9</v>
      </c>
      <c r="Z226" s="272">
        <f t="shared" si="32"/>
        <v>0.9</v>
      </c>
      <c r="AA226" s="272">
        <f t="shared" si="32"/>
        <v>0.9</v>
      </c>
      <c r="AB226" s="27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275" t="s">
        <v>836</v>
      </c>
      <c r="G227" s="78"/>
      <c r="H227" s="265" t="s">
        <v>837</v>
      </c>
      <c r="I227" s="101"/>
      <c r="J227" s="101" t="s">
        <v>600</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838</v>
      </c>
      <c r="F228" s="73" t="s">
        <v>839</v>
      </c>
      <c r="G228" s="78"/>
      <c r="H228" s="81" t="s">
        <v>840</v>
      </c>
      <c r="I228" s="101" t="s">
        <v>612</v>
      </c>
      <c r="J228" s="101"/>
      <c r="K228" s="102">
        <v>90</v>
      </c>
      <c r="L228" s="102">
        <v>90</v>
      </c>
      <c r="M228" s="102">
        <v>0</v>
      </c>
      <c r="N228" s="102">
        <v>0</v>
      </c>
      <c r="O228" s="102">
        <v>0</v>
      </c>
      <c r="P228" s="102">
        <v>0</v>
      </c>
      <c r="Q228" s="81"/>
      <c r="R228" s="81" t="s">
        <v>841</v>
      </c>
      <c r="S228" s="81"/>
      <c r="T228" s="81"/>
      <c r="U228" s="272">
        <f t="shared" ref="U228:AB241" si="33">INDEX($K228:$Q228,1,U$54)</f>
        <v>90</v>
      </c>
      <c r="V228" s="272">
        <f t="shared" si="33"/>
        <v>90</v>
      </c>
      <c r="W228" s="272">
        <f t="shared" si="33"/>
        <v>90</v>
      </c>
      <c r="X228" s="272">
        <f t="shared" si="33"/>
        <v>90</v>
      </c>
      <c r="Y228" s="272">
        <f t="shared" si="33"/>
        <v>90</v>
      </c>
      <c r="Z228" s="272">
        <f t="shared" si="33"/>
        <v>90</v>
      </c>
      <c r="AA228" s="272">
        <f t="shared" si="33"/>
        <v>90</v>
      </c>
      <c r="AB228" s="27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842</v>
      </c>
      <c r="G229" s="78"/>
      <c r="H229" s="81" t="s">
        <v>843</v>
      </c>
      <c r="I229" s="101" t="s">
        <v>612</v>
      </c>
      <c r="J229" s="101"/>
      <c r="K229" s="102">
        <v>150</v>
      </c>
      <c r="L229" s="102">
        <v>150</v>
      </c>
      <c r="M229" s="102">
        <v>285</v>
      </c>
      <c r="N229" s="102">
        <v>285</v>
      </c>
      <c r="O229" s="102">
        <v>285</v>
      </c>
      <c r="P229" s="102">
        <v>285</v>
      </c>
      <c r="Q229" s="81"/>
      <c r="R229" s="81" t="s">
        <v>844</v>
      </c>
      <c r="S229" s="81" t="s">
        <v>844</v>
      </c>
      <c r="T229" s="81"/>
      <c r="U229" s="272">
        <f t="shared" si="33"/>
        <v>150</v>
      </c>
      <c r="V229" s="272">
        <f t="shared" si="33"/>
        <v>150</v>
      </c>
      <c r="W229" s="272">
        <f t="shared" si="33"/>
        <v>150</v>
      </c>
      <c r="X229" s="272">
        <f t="shared" si="33"/>
        <v>150</v>
      </c>
      <c r="Y229" s="272">
        <f t="shared" si="33"/>
        <v>150</v>
      </c>
      <c r="Z229" s="272">
        <f t="shared" si="33"/>
        <v>150</v>
      </c>
      <c r="AA229" s="272">
        <f t="shared" si="33"/>
        <v>150</v>
      </c>
      <c r="AB229" s="27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845</v>
      </c>
      <c r="G230" s="78"/>
      <c r="H230" s="81" t="s">
        <v>846</v>
      </c>
      <c r="I230" s="101" t="s">
        <v>582</v>
      </c>
      <c r="J230" s="101"/>
      <c r="K230" s="102">
        <v>1.304</v>
      </c>
      <c r="L230" s="102">
        <v>1.304</v>
      </c>
      <c r="M230" s="102">
        <v>2.2000000000000002</v>
      </c>
      <c r="N230" s="102">
        <v>2.2000000000000002</v>
      </c>
      <c r="O230" s="102">
        <v>2.2000000000000002</v>
      </c>
      <c r="P230" s="102">
        <v>2.2000000000000002</v>
      </c>
      <c r="Q230" s="81"/>
      <c r="R230" s="81" t="s">
        <v>844</v>
      </c>
      <c r="S230" s="81" t="s">
        <v>844</v>
      </c>
      <c r="T230" s="81"/>
      <c r="U230" s="272">
        <f t="shared" si="33"/>
        <v>1.304</v>
      </c>
      <c r="V230" s="272">
        <f t="shared" si="33"/>
        <v>1.304</v>
      </c>
      <c r="W230" s="272">
        <f t="shared" si="33"/>
        <v>1.304</v>
      </c>
      <c r="X230" s="272">
        <f t="shared" si="33"/>
        <v>1.304</v>
      </c>
      <c r="Y230" s="272">
        <f t="shared" si="33"/>
        <v>1.304</v>
      </c>
      <c r="Z230" s="272">
        <f t="shared" si="33"/>
        <v>1.304</v>
      </c>
      <c r="AA230" s="272">
        <f t="shared" si="33"/>
        <v>1.304</v>
      </c>
      <c r="AB230" s="27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847</v>
      </c>
      <c r="G231" s="78"/>
      <c r="H231" s="81" t="s">
        <v>846</v>
      </c>
      <c r="I231" s="101" t="s">
        <v>582</v>
      </c>
      <c r="J231" s="101"/>
      <c r="K231" s="102">
        <v>2.625</v>
      </c>
      <c r="L231" s="102">
        <v>2.625</v>
      </c>
      <c r="M231" s="102">
        <v>1.77</v>
      </c>
      <c r="N231" s="102">
        <v>1.77</v>
      </c>
      <c r="O231" s="102">
        <v>1.77</v>
      </c>
      <c r="P231" s="102">
        <v>1.77</v>
      </c>
      <c r="Q231" s="81"/>
      <c r="R231" s="81" t="s">
        <v>844</v>
      </c>
      <c r="S231" s="81" t="s">
        <v>844</v>
      </c>
      <c r="T231" s="81"/>
      <c r="U231" s="272">
        <f t="shared" si="33"/>
        <v>2.625</v>
      </c>
      <c r="V231" s="272">
        <f t="shared" si="33"/>
        <v>2.625</v>
      </c>
      <c r="W231" s="272">
        <f t="shared" si="33"/>
        <v>2.625</v>
      </c>
      <c r="X231" s="272">
        <f t="shared" si="33"/>
        <v>2.625</v>
      </c>
      <c r="Y231" s="272">
        <f t="shared" si="33"/>
        <v>2.625</v>
      </c>
      <c r="Z231" s="272">
        <f t="shared" si="33"/>
        <v>2.625</v>
      </c>
      <c r="AA231" s="272">
        <f t="shared" si="33"/>
        <v>2.625</v>
      </c>
      <c r="AB231" s="27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848</v>
      </c>
      <c r="G232" s="78"/>
      <c r="H232" s="81" t="s">
        <v>849</v>
      </c>
      <c r="I232" s="101" t="s">
        <v>582</v>
      </c>
      <c r="J232" s="101"/>
      <c r="K232" s="102">
        <v>0.33</v>
      </c>
      <c r="L232" s="102">
        <v>0.33</v>
      </c>
      <c r="M232" s="102">
        <v>0.33</v>
      </c>
      <c r="N232" s="102">
        <v>0.33</v>
      </c>
      <c r="O232" s="102">
        <v>0.33</v>
      </c>
      <c r="P232" s="102">
        <v>0.33</v>
      </c>
      <c r="Q232" s="81"/>
      <c r="R232" s="81" t="s">
        <v>844</v>
      </c>
      <c r="S232" s="81" t="s">
        <v>844</v>
      </c>
      <c r="T232" s="81"/>
      <c r="U232" s="272">
        <f t="shared" si="33"/>
        <v>0.33</v>
      </c>
      <c r="V232" s="272">
        <f t="shared" si="33"/>
        <v>0.33</v>
      </c>
      <c r="W232" s="272">
        <f t="shared" si="33"/>
        <v>0.33</v>
      </c>
      <c r="X232" s="272">
        <f t="shared" si="33"/>
        <v>0.33</v>
      </c>
      <c r="Y232" s="272">
        <f t="shared" si="33"/>
        <v>0.33</v>
      </c>
      <c r="Z232" s="272">
        <f t="shared" si="33"/>
        <v>0.33</v>
      </c>
      <c r="AA232" s="272">
        <f t="shared" si="33"/>
        <v>0.33</v>
      </c>
      <c r="AB232" s="27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850</v>
      </c>
      <c r="G233" s="78"/>
      <c r="H233" s="81" t="s">
        <v>851</v>
      </c>
      <c r="I233" s="101" t="s">
        <v>852</v>
      </c>
      <c r="J233" s="101"/>
      <c r="K233" s="102">
        <v>1.43</v>
      </c>
      <c r="L233" s="102">
        <v>1.43</v>
      </c>
      <c r="M233" s="102">
        <v>1.8</v>
      </c>
      <c r="N233" s="102">
        <v>1.8</v>
      </c>
      <c r="O233" s="102">
        <v>1.8</v>
      </c>
      <c r="P233" s="102">
        <v>1.8</v>
      </c>
      <c r="Q233" s="81"/>
      <c r="R233" s="81" t="s">
        <v>844</v>
      </c>
      <c r="S233" s="81" t="s">
        <v>844</v>
      </c>
      <c r="T233" s="81"/>
      <c r="U233" s="272">
        <f t="shared" si="33"/>
        <v>1.43</v>
      </c>
      <c r="V233" s="272">
        <f t="shared" si="33"/>
        <v>1.43</v>
      </c>
      <c r="W233" s="272">
        <f t="shared" si="33"/>
        <v>1.43</v>
      </c>
      <c r="X233" s="272">
        <f t="shared" si="33"/>
        <v>1.43</v>
      </c>
      <c r="Y233" s="272">
        <f t="shared" si="33"/>
        <v>1.43</v>
      </c>
      <c r="Z233" s="272">
        <f t="shared" si="33"/>
        <v>1.43</v>
      </c>
      <c r="AA233" s="272">
        <f t="shared" si="33"/>
        <v>1.43</v>
      </c>
      <c r="AB233" s="27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853</v>
      </c>
      <c r="G234" s="78"/>
      <c r="H234" s="81" t="s">
        <v>854</v>
      </c>
      <c r="I234" s="101" t="s">
        <v>582</v>
      </c>
      <c r="J234" s="101"/>
      <c r="K234" s="102">
        <v>3.38</v>
      </c>
      <c r="L234" s="102">
        <v>3.38</v>
      </c>
      <c r="M234" s="102">
        <v>2.42</v>
      </c>
      <c r="N234" s="102">
        <v>2.42</v>
      </c>
      <c r="O234" s="102">
        <v>2.42</v>
      </c>
      <c r="P234" s="102">
        <v>2.42</v>
      </c>
      <c r="Q234" s="81"/>
      <c r="R234" s="81" t="s">
        <v>844</v>
      </c>
      <c r="S234" s="81" t="s">
        <v>844</v>
      </c>
      <c r="T234" s="81"/>
      <c r="U234" s="272">
        <f t="shared" si="33"/>
        <v>3.38</v>
      </c>
      <c r="V234" s="272">
        <f t="shared" si="33"/>
        <v>3.38</v>
      </c>
      <c r="W234" s="272">
        <f t="shared" si="33"/>
        <v>3.38</v>
      </c>
      <c r="X234" s="272">
        <f t="shared" si="33"/>
        <v>3.38</v>
      </c>
      <c r="Y234" s="272">
        <f t="shared" si="33"/>
        <v>3.38</v>
      </c>
      <c r="Z234" s="272">
        <f t="shared" si="33"/>
        <v>3.38</v>
      </c>
      <c r="AA234" s="272">
        <f t="shared" si="33"/>
        <v>3.38</v>
      </c>
      <c r="AB234" s="27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855</v>
      </c>
      <c r="G235" s="78"/>
      <c r="H235" s="81" t="s">
        <v>856</v>
      </c>
      <c r="I235" s="101" t="s">
        <v>582</v>
      </c>
      <c r="J235" s="101"/>
      <c r="K235" s="102">
        <v>0.91</v>
      </c>
      <c r="L235" s="102">
        <v>0.91</v>
      </c>
      <c r="M235" s="102">
        <v>1.1599999999999999</v>
      </c>
      <c r="N235" s="102">
        <v>1.1599999999999999</v>
      </c>
      <c r="O235" s="102">
        <v>1.1599999999999999</v>
      </c>
      <c r="P235" s="102">
        <v>1.1599999999999999</v>
      </c>
      <c r="Q235" s="81"/>
      <c r="R235" s="81" t="s">
        <v>844</v>
      </c>
      <c r="S235" s="81" t="s">
        <v>844</v>
      </c>
      <c r="T235" s="81"/>
      <c r="U235" s="272">
        <f t="shared" si="33"/>
        <v>0.91</v>
      </c>
      <c r="V235" s="272">
        <f t="shared" si="33"/>
        <v>0.91</v>
      </c>
      <c r="W235" s="272">
        <f t="shared" si="33"/>
        <v>0.91</v>
      </c>
      <c r="X235" s="272">
        <f t="shared" si="33"/>
        <v>0.91</v>
      </c>
      <c r="Y235" s="272">
        <f t="shared" si="33"/>
        <v>0.91</v>
      </c>
      <c r="Z235" s="272">
        <f t="shared" si="33"/>
        <v>0.91</v>
      </c>
      <c r="AA235" s="272">
        <f t="shared" si="33"/>
        <v>0.91</v>
      </c>
      <c r="AB235" s="27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857</v>
      </c>
      <c r="G236" s="78"/>
      <c r="H236" s="81" t="s">
        <v>858</v>
      </c>
      <c r="I236" s="101" t="s">
        <v>859</v>
      </c>
      <c r="J236" s="101"/>
      <c r="K236" s="102">
        <v>4.33</v>
      </c>
      <c r="L236" s="102">
        <v>4.33</v>
      </c>
      <c r="M236" s="102">
        <v>4.1100000000000003</v>
      </c>
      <c r="N236" s="102">
        <v>4.1100000000000003</v>
      </c>
      <c r="O236" s="102">
        <v>4.1100000000000003</v>
      </c>
      <c r="P236" s="102">
        <v>4.1100000000000003</v>
      </c>
      <c r="Q236" s="81"/>
      <c r="R236" s="81" t="s">
        <v>844</v>
      </c>
      <c r="S236" s="81" t="s">
        <v>844</v>
      </c>
      <c r="T236" s="81"/>
      <c r="U236" s="272">
        <f t="shared" si="33"/>
        <v>4.33</v>
      </c>
      <c r="V236" s="272">
        <f t="shared" si="33"/>
        <v>4.33</v>
      </c>
      <c r="W236" s="272">
        <f t="shared" si="33"/>
        <v>4.33</v>
      </c>
      <c r="X236" s="272">
        <f t="shared" si="33"/>
        <v>4.33</v>
      </c>
      <c r="Y236" s="272">
        <f t="shared" si="33"/>
        <v>4.33</v>
      </c>
      <c r="Z236" s="272">
        <f t="shared" si="33"/>
        <v>4.33</v>
      </c>
      <c r="AA236" s="272">
        <f t="shared" si="33"/>
        <v>4.33</v>
      </c>
      <c r="AB236" s="27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860</v>
      </c>
      <c r="G237" s="78"/>
      <c r="H237" s="81" t="s">
        <v>861</v>
      </c>
      <c r="I237" s="101" t="s">
        <v>582</v>
      </c>
      <c r="J237" s="101"/>
      <c r="K237" s="102">
        <v>4.37</v>
      </c>
      <c r="L237" s="102">
        <v>4.37</v>
      </c>
      <c r="M237" s="102">
        <v>343.5</v>
      </c>
      <c r="N237" s="102">
        <v>343.5</v>
      </c>
      <c r="O237" s="102">
        <v>343.5</v>
      </c>
      <c r="P237" s="102">
        <v>343.5</v>
      </c>
      <c r="Q237" s="81"/>
      <c r="R237" s="81" t="s">
        <v>844</v>
      </c>
      <c r="S237" s="81" t="s">
        <v>844</v>
      </c>
      <c r="T237" s="81"/>
      <c r="U237" s="272">
        <f t="shared" si="33"/>
        <v>4.37</v>
      </c>
      <c r="V237" s="272">
        <f t="shared" si="33"/>
        <v>4.37</v>
      </c>
      <c r="W237" s="272">
        <f t="shared" si="33"/>
        <v>4.37</v>
      </c>
      <c r="X237" s="272">
        <f t="shared" si="33"/>
        <v>4.37</v>
      </c>
      <c r="Y237" s="272">
        <f t="shared" si="33"/>
        <v>4.37</v>
      </c>
      <c r="Z237" s="272">
        <f t="shared" si="33"/>
        <v>4.37</v>
      </c>
      <c r="AA237" s="272">
        <f t="shared" si="33"/>
        <v>4.37</v>
      </c>
      <c r="AB237" s="27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862</v>
      </c>
      <c r="G238" s="78"/>
      <c r="H238" s="81" t="s">
        <v>863</v>
      </c>
      <c r="I238" s="101" t="s">
        <v>582</v>
      </c>
      <c r="J238" s="101"/>
      <c r="K238" s="102">
        <v>0.96499999999999997</v>
      </c>
      <c r="L238" s="102">
        <v>0.96499999999999997</v>
      </c>
      <c r="M238" s="102">
        <v>1.6400000000000001E-2</v>
      </c>
      <c r="N238" s="102">
        <v>1.6400000000000001E-2</v>
      </c>
      <c r="O238" s="102">
        <v>1.6400000000000001E-2</v>
      </c>
      <c r="P238" s="102">
        <v>1.6400000000000001E-2</v>
      </c>
      <c r="Q238" s="81"/>
      <c r="R238" s="81" t="s">
        <v>844</v>
      </c>
      <c r="S238" s="81" t="s">
        <v>844</v>
      </c>
      <c r="T238" s="81"/>
      <c r="U238" s="272">
        <f t="shared" si="33"/>
        <v>0.96499999999999997</v>
      </c>
      <c r="V238" s="272">
        <f t="shared" si="33"/>
        <v>0.96499999999999997</v>
      </c>
      <c r="W238" s="272">
        <f t="shared" si="33"/>
        <v>0.96499999999999997</v>
      </c>
      <c r="X238" s="272">
        <f t="shared" si="33"/>
        <v>0.96499999999999997</v>
      </c>
      <c r="Y238" s="272">
        <f t="shared" si="33"/>
        <v>0.96499999999999997</v>
      </c>
      <c r="Z238" s="272">
        <f t="shared" si="33"/>
        <v>0.96499999999999997</v>
      </c>
      <c r="AA238" s="272">
        <f t="shared" si="33"/>
        <v>0.96499999999999997</v>
      </c>
      <c r="AB238" s="27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864</v>
      </c>
      <c r="G239" s="78"/>
      <c r="H239" s="81" t="s">
        <v>865</v>
      </c>
      <c r="I239" s="101" t="s">
        <v>852</v>
      </c>
      <c r="J239" s="101"/>
      <c r="K239" s="102">
        <v>0.14499999999999999</v>
      </c>
      <c r="L239" s="102">
        <v>0.14499999999999999</v>
      </c>
      <c r="M239" s="102">
        <v>0.13400000000000001</v>
      </c>
      <c r="N239" s="102">
        <v>0.13400000000000001</v>
      </c>
      <c r="O239" s="102">
        <v>0.13400000000000001</v>
      </c>
      <c r="P239" s="102">
        <v>0.13400000000000001</v>
      </c>
      <c r="Q239" s="81"/>
      <c r="R239" s="81" t="s">
        <v>844</v>
      </c>
      <c r="S239" s="81" t="s">
        <v>844</v>
      </c>
      <c r="T239" s="81"/>
      <c r="U239" s="272">
        <f t="shared" si="33"/>
        <v>0.14499999999999999</v>
      </c>
      <c r="V239" s="272">
        <f t="shared" si="33"/>
        <v>0.14499999999999999</v>
      </c>
      <c r="W239" s="272">
        <f t="shared" si="33"/>
        <v>0.14499999999999999</v>
      </c>
      <c r="X239" s="272">
        <f t="shared" si="33"/>
        <v>0.14499999999999999</v>
      </c>
      <c r="Y239" s="272">
        <f t="shared" si="33"/>
        <v>0.14499999999999999</v>
      </c>
      <c r="Z239" s="272">
        <f t="shared" si="33"/>
        <v>0.14499999999999999</v>
      </c>
      <c r="AA239" s="272">
        <f t="shared" si="33"/>
        <v>0.14499999999999999</v>
      </c>
      <c r="AB239" s="27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866</v>
      </c>
      <c r="G240" s="78"/>
      <c r="H240" s="81" t="s">
        <v>867</v>
      </c>
      <c r="I240" s="101" t="s">
        <v>582</v>
      </c>
      <c r="J240" s="101"/>
      <c r="K240" s="102">
        <v>4.5599999999999996</v>
      </c>
      <c r="L240" s="102">
        <v>4.5599999999999996</v>
      </c>
      <c r="M240" s="102">
        <v>6.22</v>
      </c>
      <c r="N240" s="102">
        <v>6.22</v>
      </c>
      <c r="O240" s="102">
        <v>6.22</v>
      </c>
      <c r="P240" s="102">
        <v>6.22</v>
      </c>
      <c r="Q240" s="81"/>
      <c r="R240" s="81" t="s">
        <v>844</v>
      </c>
      <c r="S240" s="81" t="s">
        <v>844</v>
      </c>
      <c r="T240" s="81"/>
      <c r="U240" s="272">
        <f t="shared" si="33"/>
        <v>4.5599999999999996</v>
      </c>
      <c r="V240" s="272">
        <f t="shared" si="33"/>
        <v>4.5599999999999996</v>
      </c>
      <c r="W240" s="272">
        <f t="shared" si="33"/>
        <v>4.5599999999999996</v>
      </c>
      <c r="X240" s="272">
        <f t="shared" si="33"/>
        <v>4.5599999999999996</v>
      </c>
      <c r="Y240" s="272">
        <f t="shared" si="33"/>
        <v>4.5599999999999996</v>
      </c>
      <c r="Z240" s="272">
        <f t="shared" si="33"/>
        <v>4.5599999999999996</v>
      </c>
      <c r="AA240" s="272">
        <f t="shared" si="33"/>
        <v>4.5599999999999996</v>
      </c>
      <c r="AB240" s="272">
        <f t="shared" si="33"/>
        <v>4.5599999999999996</v>
      </c>
      <c r="AC240" s="81"/>
      <c r="AD240" s="81"/>
      <c r="AE240" s="81"/>
      <c r="AF240" s="102">
        <v>1</v>
      </c>
      <c r="AG240" s="102">
        <v>1</v>
      </c>
      <c r="AH240" s="78"/>
      <c r="AI240" s="60"/>
      <c r="AJ240" s="48"/>
      <c r="AK240" s="48"/>
      <c r="AL240" s="48"/>
    </row>
    <row r="241" spans="1:38" outlineLevel="2" collapsed="1" x14ac:dyDescent="0.25">
      <c r="A241" s="48"/>
      <c r="B241" s="57"/>
      <c r="C241" s="50">
        <f t="shared" si="34"/>
        <v>3</v>
      </c>
      <c r="D241" s="78"/>
      <c r="E241" s="73"/>
      <c r="F241" s="73" t="s">
        <v>868</v>
      </c>
      <c r="G241" s="78"/>
      <c r="H241" s="81" t="s">
        <v>863</v>
      </c>
      <c r="I241" s="101" t="s">
        <v>610</v>
      </c>
      <c r="J241" s="101"/>
      <c r="K241" s="102">
        <v>0.9</v>
      </c>
      <c r="L241" s="102">
        <v>0.9</v>
      </c>
      <c r="M241" s="102">
        <v>0.747</v>
      </c>
      <c r="N241" s="102">
        <v>0.747</v>
      </c>
      <c r="O241" s="102">
        <v>0.747</v>
      </c>
      <c r="P241" s="102">
        <v>0.747</v>
      </c>
      <c r="Q241" s="81"/>
      <c r="R241" s="81" t="s">
        <v>844</v>
      </c>
      <c r="S241" s="81" t="s">
        <v>844</v>
      </c>
      <c r="T241" s="81"/>
      <c r="U241" s="272">
        <f t="shared" si="33"/>
        <v>0.9</v>
      </c>
      <c r="V241" s="272">
        <f t="shared" si="33"/>
        <v>0.9</v>
      </c>
      <c r="W241" s="272">
        <f t="shared" si="33"/>
        <v>0.9</v>
      </c>
      <c r="X241" s="272">
        <f t="shared" si="33"/>
        <v>0.9</v>
      </c>
      <c r="Y241" s="272">
        <f t="shared" si="33"/>
        <v>0.9</v>
      </c>
      <c r="Z241" s="272">
        <f t="shared" si="33"/>
        <v>0.9</v>
      </c>
      <c r="AA241" s="272">
        <f t="shared" si="33"/>
        <v>0.9</v>
      </c>
      <c r="AB241" s="27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869</v>
      </c>
      <c r="F242" s="73" t="s">
        <v>870</v>
      </c>
      <c r="G242" s="78"/>
      <c r="H242" s="81" t="s">
        <v>871</v>
      </c>
      <c r="I242" s="101" t="s">
        <v>582</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872</v>
      </c>
      <c r="F243" s="73" t="s">
        <v>781</v>
      </c>
      <c r="G243" s="78"/>
      <c r="H243" s="81" t="s">
        <v>873</v>
      </c>
      <c r="I243" s="101" t="s">
        <v>582</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275" t="s">
        <v>874</v>
      </c>
      <c r="G244" s="78"/>
      <c r="H244" s="265" t="s">
        <v>875</v>
      </c>
      <c r="I244" s="101"/>
      <c r="J244" s="101" t="s">
        <v>600</v>
      </c>
      <c r="K244" s="81"/>
      <c r="L244" s="81"/>
      <c r="M244" s="81"/>
      <c r="N244" s="81"/>
      <c r="O244" s="81"/>
      <c r="P244" s="81"/>
      <c r="Q244" s="81"/>
      <c r="R244" s="81"/>
      <c r="S244" s="81"/>
      <c r="T244" s="81"/>
      <c r="U244" s="84">
        <v>26</v>
      </c>
      <c r="V244" s="81"/>
      <c r="W244" s="27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876</v>
      </c>
      <c r="F245" s="73" t="s">
        <v>877</v>
      </c>
      <c r="G245" s="78"/>
      <c r="H245" s="81" t="s">
        <v>878</v>
      </c>
      <c r="I245" s="101" t="s">
        <v>750</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2563</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879</v>
      </c>
      <c r="G246" s="78"/>
      <c r="H246" s="81" t="s">
        <v>880</v>
      </c>
      <c r="I246" s="101" t="s">
        <v>612</v>
      </c>
      <c r="J246" s="101"/>
      <c r="K246" s="102">
        <v>2</v>
      </c>
      <c r="L246" s="102">
        <v>2</v>
      </c>
      <c r="M246" s="102">
        <v>4</v>
      </c>
      <c r="N246" s="102">
        <v>4</v>
      </c>
      <c r="O246" s="102">
        <v>4</v>
      </c>
      <c r="P246" s="102">
        <v>4</v>
      </c>
      <c r="Q246" s="81"/>
      <c r="R246" s="81" t="s">
        <v>757</v>
      </c>
      <c r="S246" s="81" t="s">
        <v>881</v>
      </c>
      <c r="T246" s="81"/>
      <c r="U246" s="272">
        <f t="shared" ref="U246:AB252" si="36">INDEX($K246:$Q246,1,U$54)</f>
        <v>2</v>
      </c>
      <c r="V246" s="272">
        <f t="shared" si="36"/>
        <v>2</v>
      </c>
      <c r="W246" s="272">
        <f t="shared" si="36"/>
        <v>2</v>
      </c>
      <c r="X246" s="272">
        <f t="shared" si="36"/>
        <v>2</v>
      </c>
      <c r="Y246" s="272">
        <f t="shared" si="36"/>
        <v>2</v>
      </c>
      <c r="Z246" s="272">
        <f t="shared" si="36"/>
        <v>2</v>
      </c>
      <c r="AA246" s="272">
        <f t="shared" si="36"/>
        <v>2</v>
      </c>
      <c r="AB246" s="27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882</v>
      </c>
      <c r="G247" s="78"/>
      <c r="H247" s="81" t="s">
        <v>883</v>
      </c>
      <c r="I247" s="101" t="s">
        <v>612</v>
      </c>
      <c r="J247" s="101"/>
      <c r="K247" s="102">
        <v>22</v>
      </c>
      <c r="L247" s="102">
        <v>22</v>
      </c>
      <c r="M247" s="102">
        <v>30</v>
      </c>
      <c r="N247" s="102">
        <v>30</v>
      </c>
      <c r="O247" s="102">
        <v>30</v>
      </c>
      <c r="P247" s="102">
        <v>30</v>
      </c>
      <c r="Q247" s="81"/>
      <c r="R247" s="81" t="s">
        <v>757</v>
      </c>
      <c r="S247" s="81" t="s">
        <v>881</v>
      </c>
      <c r="T247" s="81"/>
      <c r="U247" s="272">
        <f t="shared" si="36"/>
        <v>22</v>
      </c>
      <c r="V247" s="272">
        <f t="shared" si="36"/>
        <v>22</v>
      </c>
      <c r="W247" s="272">
        <f t="shared" si="36"/>
        <v>22</v>
      </c>
      <c r="X247" s="272">
        <f t="shared" si="36"/>
        <v>22</v>
      </c>
      <c r="Y247" s="272">
        <f t="shared" si="36"/>
        <v>22</v>
      </c>
      <c r="Z247" s="272">
        <f t="shared" si="36"/>
        <v>22</v>
      </c>
      <c r="AA247" s="272">
        <f t="shared" si="36"/>
        <v>22</v>
      </c>
      <c r="AB247" s="27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884</v>
      </c>
      <c r="G248" s="78"/>
      <c r="H248" s="81" t="s">
        <v>885</v>
      </c>
      <c r="I248" s="101" t="s">
        <v>582</v>
      </c>
      <c r="J248" s="101"/>
      <c r="K248" s="102">
        <v>1</v>
      </c>
      <c r="L248" s="102">
        <v>1</v>
      </c>
      <c r="M248" s="102">
        <v>0.6</v>
      </c>
      <c r="N248" s="102">
        <v>0.6</v>
      </c>
      <c r="O248" s="102">
        <v>0.6</v>
      </c>
      <c r="P248" s="102">
        <v>0.6</v>
      </c>
      <c r="Q248" s="81"/>
      <c r="R248" s="81" t="s">
        <v>757</v>
      </c>
      <c r="S248" s="81" t="s">
        <v>881</v>
      </c>
      <c r="T248" s="81"/>
      <c r="U248" s="272">
        <f t="shared" si="36"/>
        <v>1</v>
      </c>
      <c r="V248" s="272">
        <f t="shared" si="36"/>
        <v>1</v>
      </c>
      <c r="W248" s="272">
        <f t="shared" si="36"/>
        <v>1</v>
      </c>
      <c r="X248" s="272">
        <f t="shared" si="36"/>
        <v>1</v>
      </c>
      <c r="Y248" s="272">
        <f t="shared" si="36"/>
        <v>1</v>
      </c>
      <c r="Z248" s="272">
        <f t="shared" si="36"/>
        <v>1</v>
      </c>
      <c r="AA248" s="272">
        <f t="shared" si="36"/>
        <v>1</v>
      </c>
      <c r="AB248" s="27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886</v>
      </c>
      <c r="G249" s="78"/>
      <c r="H249" s="81" t="s">
        <v>887</v>
      </c>
      <c r="I249" s="101" t="s">
        <v>582</v>
      </c>
      <c r="J249" s="101"/>
      <c r="K249" s="81"/>
      <c r="L249" s="81"/>
      <c r="M249" s="102">
        <v>0.6</v>
      </c>
      <c r="N249" s="102">
        <v>0.6</v>
      </c>
      <c r="O249" s="102">
        <v>0.6</v>
      </c>
      <c r="P249" s="102">
        <v>0.105</v>
      </c>
      <c r="Q249" s="81"/>
      <c r="R249" s="81"/>
      <c r="S249" s="81" t="s">
        <v>881</v>
      </c>
      <c r="T249" s="81"/>
      <c r="U249" s="272">
        <f t="shared" si="36"/>
        <v>0</v>
      </c>
      <c r="V249" s="272">
        <f t="shared" si="36"/>
        <v>0</v>
      </c>
      <c r="W249" s="272">
        <f t="shared" si="36"/>
        <v>0</v>
      </c>
      <c r="X249" s="272">
        <f t="shared" si="36"/>
        <v>0</v>
      </c>
      <c r="Y249" s="272">
        <f t="shared" si="36"/>
        <v>0</v>
      </c>
      <c r="Z249" s="272">
        <f t="shared" si="36"/>
        <v>0</v>
      </c>
      <c r="AA249" s="272">
        <f t="shared" si="36"/>
        <v>0</v>
      </c>
      <c r="AB249" s="27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888</v>
      </c>
      <c r="G250" s="78"/>
      <c r="H250" s="81" t="s">
        <v>889</v>
      </c>
      <c r="I250" s="101" t="s">
        <v>655</v>
      </c>
      <c r="J250" s="101"/>
      <c r="K250" s="102">
        <v>0.94</v>
      </c>
      <c r="L250" s="102">
        <v>0.94</v>
      </c>
      <c r="M250" s="102">
        <v>0.94</v>
      </c>
      <c r="N250" s="102">
        <v>0.94</v>
      </c>
      <c r="O250" s="102">
        <v>0.94</v>
      </c>
      <c r="P250" s="102">
        <v>0.94</v>
      </c>
      <c r="Q250" s="81"/>
      <c r="R250" s="81" t="s">
        <v>709</v>
      </c>
      <c r="S250" s="81" t="s">
        <v>709</v>
      </c>
      <c r="T250" s="81"/>
      <c r="U250" s="272">
        <f t="shared" si="36"/>
        <v>0.94</v>
      </c>
      <c r="V250" s="272">
        <f t="shared" si="36"/>
        <v>0.94</v>
      </c>
      <c r="W250" s="272">
        <f t="shared" si="36"/>
        <v>0.94</v>
      </c>
      <c r="X250" s="272">
        <f t="shared" si="36"/>
        <v>0.94</v>
      </c>
      <c r="Y250" s="272">
        <f t="shared" si="36"/>
        <v>0.94</v>
      </c>
      <c r="Z250" s="272">
        <f t="shared" si="36"/>
        <v>0.94</v>
      </c>
      <c r="AA250" s="272">
        <f t="shared" si="36"/>
        <v>0.94</v>
      </c>
      <c r="AB250" s="27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890</v>
      </c>
      <c r="G251" s="78"/>
      <c r="H251" s="81" t="s">
        <v>891</v>
      </c>
      <c r="I251" s="101" t="s">
        <v>676</v>
      </c>
      <c r="J251" s="101"/>
      <c r="K251" s="102">
        <v>4.7</v>
      </c>
      <c r="L251" s="102">
        <v>4.7</v>
      </c>
      <c r="M251" s="102">
        <v>3.1</v>
      </c>
      <c r="N251" s="102">
        <v>3.1</v>
      </c>
      <c r="O251" s="102">
        <v>3.1</v>
      </c>
      <c r="P251" s="102">
        <v>3.1</v>
      </c>
      <c r="Q251" s="81"/>
      <c r="R251" s="81" t="s">
        <v>892</v>
      </c>
      <c r="S251" s="81" t="s">
        <v>593</v>
      </c>
      <c r="T251" s="81"/>
      <c r="U251" s="272">
        <f t="shared" si="36"/>
        <v>4.7</v>
      </c>
      <c r="V251" s="272">
        <f t="shared" si="36"/>
        <v>4.7</v>
      </c>
      <c r="W251" s="272">
        <f t="shared" si="36"/>
        <v>4.7</v>
      </c>
      <c r="X251" s="272">
        <f t="shared" si="36"/>
        <v>4.7</v>
      </c>
      <c r="Y251" s="272">
        <f t="shared" si="36"/>
        <v>4.7</v>
      </c>
      <c r="Z251" s="272">
        <f t="shared" si="36"/>
        <v>4.7</v>
      </c>
      <c r="AA251" s="272">
        <f t="shared" si="36"/>
        <v>4.7</v>
      </c>
      <c r="AB251" s="27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893</v>
      </c>
      <c r="G252" s="78"/>
      <c r="H252" s="81" t="s">
        <v>894</v>
      </c>
      <c r="I252" s="101" t="s">
        <v>582</v>
      </c>
      <c r="J252" s="101"/>
      <c r="K252" s="102">
        <v>1.17</v>
      </c>
      <c r="L252" s="102">
        <v>1.17</v>
      </c>
      <c r="M252" s="102">
        <v>1.17</v>
      </c>
      <c r="N252" s="102">
        <v>1.17</v>
      </c>
      <c r="O252" s="102">
        <v>1.17</v>
      </c>
      <c r="P252" s="102">
        <v>1.17</v>
      </c>
      <c r="Q252" s="81"/>
      <c r="R252" s="81" t="s">
        <v>757</v>
      </c>
      <c r="S252" s="81" t="s">
        <v>631</v>
      </c>
      <c r="T252" s="81"/>
      <c r="U252" s="272">
        <f t="shared" si="36"/>
        <v>1.17</v>
      </c>
      <c r="V252" s="272">
        <f t="shared" si="36"/>
        <v>1.17</v>
      </c>
      <c r="W252" s="272">
        <f t="shared" si="36"/>
        <v>1.17</v>
      </c>
      <c r="X252" s="272">
        <f t="shared" si="36"/>
        <v>1.17</v>
      </c>
      <c r="Y252" s="272">
        <f t="shared" si="36"/>
        <v>1.17</v>
      </c>
      <c r="Z252" s="272">
        <f t="shared" si="36"/>
        <v>1.17</v>
      </c>
      <c r="AA252" s="272">
        <f t="shared" si="36"/>
        <v>1.17</v>
      </c>
      <c r="AB252" s="27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895</v>
      </c>
      <c r="G253" s="78"/>
      <c r="H253" s="81" t="s">
        <v>637</v>
      </c>
      <c r="I253" s="101" t="s">
        <v>582</v>
      </c>
      <c r="J253" s="101"/>
      <c r="K253" s="102">
        <v>0.77</v>
      </c>
      <c r="L253" s="102">
        <v>0.77</v>
      </c>
      <c r="M253" s="81"/>
      <c r="N253" s="81"/>
      <c r="O253" s="81"/>
      <c r="P253" s="81"/>
      <c r="Q253" s="81"/>
      <c r="R253" s="81" t="s">
        <v>757</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896</v>
      </c>
      <c r="G254" s="78"/>
      <c r="H254" s="81" t="s">
        <v>637</v>
      </c>
      <c r="I254" s="101" t="s">
        <v>582</v>
      </c>
      <c r="J254" s="101"/>
      <c r="K254" s="102">
        <v>0</v>
      </c>
      <c r="L254" s="102">
        <v>0</v>
      </c>
      <c r="M254" s="81"/>
      <c r="N254" s="81"/>
      <c r="O254" s="81"/>
      <c r="P254" s="81"/>
      <c r="Q254" s="81"/>
      <c r="R254" s="81" t="s">
        <v>757</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897</v>
      </c>
      <c r="G255" s="78"/>
      <c r="H255" s="81" t="s">
        <v>637</v>
      </c>
      <c r="I255" s="101" t="s">
        <v>582</v>
      </c>
      <c r="J255" s="101"/>
      <c r="K255" s="102">
        <v>0.4</v>
      </c>
      <c r="L255" s="102">
        <v>0.4</v>
      </c>
      <c r="M255" s="102">
        <v>0.04</v>
      </c>
      <c r="N255" s="102">
        <v>0.04</v>
      </c>
      <c r="O255" s="102">
        <v>0.04</v>
      </c>
      <c r="P255" s="102">
        <v>0.04</v>
      </c>
      <c r="Q255" s="81"/>
      <c r="R255" s="81" t="s">
        <v>757</v>
      </c>
      <c r="S255" s="81" t="s">
        <v>631</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898</v>
      </c>
      <c r="G256" s="78"/>
      <c r="H256" s="81" t="s">
        <v>637</v>
      </c>
      <c r="I256" s="101" t="s">
        <v>582</v>
      </c>
      <c r="J256" s="101"/>
      <c r="K256" s="102">
        <v>30</v>
      </c>
      <c r="L256" s="102">
        <v>30</v>
      </c>
      <c r="M256" s="102">
        <v>90</v>
      </c>
      <c r="N256" s="102">
        <v>90</v>
      </c>
      <c r="O256" s="102">
        <v>90</v>
      </c>
      <c r="P256" s="102">
        <v>90</v>
      </c>
      <c r="Q256" s="81"/>
      <c r="R256" s="81" t="s">
        <v>631</v>
      </c>
      <c r="S256" s="81" t="s">
        <v>631</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899</v>
      </c>
      <c r="G257" s="78"/>
      <c r="H257" s="81" t="s">
        <v>900</v>
      </c>
      <c r="I257" s="101" t="s">
        <v>901</v>
      </c>
      <c r="J257" s="101"/>
      <c r="K257" s="102">
        <v>0.3</v>
      </c>
      <c r="L257" s="102">
        <v>0.3</v>
      </c>
      <c r="M257" s="102">
        <v>0.42</v>
      </c>
      <c r="N257" s="102">
        <v>0.42</v>
      </c>
      <c r="O257" s="102">
        <v>0.42</v>
      </c>
      <c r="P257" s="102">
        <v>0.42</v>
      </c>
      <c r="Q257" s="81"/>
      <c r="R257" s="81" t="s">
        <v>631</v>
      </c>
      <c r="S257" s="81" t="s">
        <v>631</v>
      </c>
      <c r="T257" s="81"/>
      <c r="U257" s="272">
        <f t="shared" ref="U257:AB270" si="37">INDEX($K257:$Q257,1,U$54)</f>
        <v>0.3</v>
      </c>
      <c r="V257" s="272">
        <f t="shared" si="37"/>
        <v>0.3</v>
      </c>
      <c r="W257" s="272">
        <f t="shared" si="37"/>
        <v>0.3</v>
      </c>
      <c r="X257" s="272">
        <f t="shared" si="37"/>
        <v>0.3</v>
      </c>
      <c r="Y257" s="272">
        <f t="shared" si="37"/>
        <v>0.3</v>
      </c>
      <c r="Z257" s="272">
        <f t="shared" si="37"/>
        <v>0.3</v>
      </c>
      <c r="AA257" s="272">
        <f t="shared" si="37"/>
        <v>0.3</v>
      </c>
      <c r="AB257" s="27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902</v>
      </c>
      <c r="G258" s="78"/>
      <c r="H258" s="81" t="s">
        <v>903</v>
      </c>
      <c r="I258" s="101" t="s">
        <v>901</v>
      </c>
      <c r="J258" s="101"/>
      <c r="K258" s="102">
        <v>0.41</v>
      </c>
      <c r="L258" s="102">
        <v>0.41</v>
      </c>
      <c r="M258" s="102">
        <v>0.57999999999999996</v>
      </c>
      <c r="N258" s="102">
        <v>0.57999999999999996</v>
      </c>
      <c r="O258" s="102">
        <v>0.57999999999999996</v>
      </c>
      <c r="P258" s="102">
        <v>0.57999999999999996</v>
      </c>
      <c r="Q258" s="81"/>
      <c r="R258" s="81" t="s">
        <v>904</v>
      </c>
      <c r="S258" s="81" t="s">
        <v>904</v>
      </c>
      <c r="T258" s="81"/>
      <c r="U258" s="272">
        <f t="shared" si="37"/>
        <v>0.41</v>
      </c>
      <c r="V258" s="272">
        <f t="shared" si="37"/>
        <v>0.41</v>
      </c>
      <c r="W258" s="272">
        <f t="shared" si="37"/>
        <v>0.41</v>
      </c>
      <c r="X258" s="272">
        <f t="shared" si="37"/>
        <v>0.41</v>
      </c>
      <c r="Y258" s="272">
        <f t="shared" si="37"/>
        <v>0.41</v>
      </c>
      <c r="Z258" s="272">
        <f t="shared" si="37"/>
        <v>0.41</v>
      </c>
      <c r="AA258" s="272">
        <f t="shared" si="37"/>
        <v>0.41</v>
      </c>
      <c r="AB258" s="27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905</v>
      </c>
      <c r="G259" s="78"/>
      <c r="H259" s="81" t="s">
        <v>906</v>
      </c>
      <c r="I259" s="101" t="s">
        <v>612</v>
      </c>
      <c r="J259" s="101"/>
      <c r="K259" s="102">
        <v>7.0999999999999994E-2</v>
      </c>
      <c r="L259" s="102">
        <v>7.0999999999999994E-2</v>
      </c>
      <c r="M259" s="102">
        <v>3.5999999999999997E-2</v>
      </c>
      <c r="N259" s="102">
        <v>3.5999999999999997E-2</v>
      </c>
      <c r="O259" s="102">
        <v>3.5999999999999997E-2</v>
      </c>
      <c r="P259" s="102">
        <v>3.5999999999999997E-2</v>
      </c>
      <c r="Q259" s="81"/>
      <c r="R259" s="81" t="s">
        <v>904</v>
      </c>
      <c r="S259" s="81" t="s">
        <v>904</v>
      </c>
      <c r="T259" s="81"/>
      <c r="U259" s="272">
        <f t="shared" si="37"/>
        <v>7.0999999999999994E-2</v>
      </c>
      <c r="V259" s="272">
        <f t="shared" si="37"/>
        <v>7.0999999999999994E-2</v>
      </c>
      <c r="W259" s="272">
        <f t="shared" si="37"/>
        <v>7.0999999999999994E-2</v>
      </c>
      <c r="X259" s="272">
        <f t="shared" si="37"/>
        <v>7.0999999999999994E-2</v>
      </c>
      <c r="Y259" s="272">
        <f t="shared" si="37"/>
        <v>7.0999999999999994E-2</v>
      </c>
      <c r="Z259" s="272">
        <f t="shared" si="37"/>
        <v>7.0999999999999994E-2</v>
      </c>
      <c r="AA259" s="272">
        <f t="shared" si="37"/>
        <v>7.0999999999999994E-2</v>
      </c>
      <c r="AB259" s="27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907</v>
      </c>
      <c r="G260" s="78"/>
      <c r="H260" s="81" t="s">
        <v>908</v>
      </c>
      <c r="I260" s="101" t="s">
        <v>655</v>
      </c>
      <c r="J260" s="101"/>
      <c r="K260" s="102">
        <v>4.4999999999999998E-2</v>
      </c>
      <c r="L260" s="102">
        <v>4.4999999999999998E-2</v>
      </c>
      <c r="M260" s="102">
        <v>3.2000000000000001E-2</v>
      </c>
      <c r="N260" s="102">
        <v>3.2000000000000001E-2</v>
      </c>
      <c r="O260" s="102">
        <v>3.2000000000000001E-2</v>
      </c>
      <c r="P260" s="102">
        <v>3.2000000000000001E-2</v>
      </c>
      <c r="Q260" s="81"/>
      <c r="R260" s="81" t="s">
        <v>892</v>
      </c>
      <c r="S260" s="81" t="s">
        <v>904</v>
      </c>
      <c r="T260" s="81"/>
      <c r="U260" s="272">
        <f t="shared" si="37"/>
        <v>4.4999999999999998E-2</v>
      </c>
      <c r="V260" s="272">
        <f t="shared" si="37"/>
        <v>4.4999999999999998E-2</v>
      </c>
      <c r="W260" s="272">
        <f t="shared" si="37"/>
        <v>4.4999999999999998E-2</v>
      </c>
      <c r="X260" s="272">
        <f t="shared" si="37"/>
        <v>4.4999999999999998E-2</v>
      </c>
      <c r="Y260" s="272">
        <f t="shared" si="37"/>
        <v>4.4999999999999998E-2</v>
      </c>
      <c r="Z260" s="272">
        <f t="shared" si="37"/>
        <v>4.4999999999999998E-2</v>
      </c>
      <c r="AA260" s="272">
        <f t="shared" si="37"/>
        <v>4.4999999999999998E-2</v>
      </c>
      <c r="AB260" s="27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909</v>
      </c>
      <c r="G261" s="78"/>
      <c r="H261" s="81" t="s">
        <v>910</v>
      </c>
      <c r="I261" s="101" t="s">
        <v>582</v>
      </c>
      <c r="J261" s="101"/>
      <c r="K261" s="102">
        <v>0.7</v>
      </c>
      <c r="L261" s="102">
        <v>0.7</v>
      </c>
      <c r="M261" s="102">
        <v>0.7</v>
      </c>
      <c r="N261" s="102">
        <v>0.7</v>
      </c>
      <c r="O261" s="102">
        <v>0.7</v>
      </c>
      <c r="P261" s="102">
        <v>0.7</v>
      </c>
      <c r="Q261" s="81"/>
      <c r="R261" s="81" t="s">
        <v>757</v>
      </c>
      <c r="S261" s="81" t="s">
        <v>631</v>
      </c>
      <c r="T261" s="81"/>
      <c r="U261" s="272">
        <f t="shared" si="37"/>
        <v>0.7</v>
      </c>
      <c r="V261" s="272">
        <f t="shared" si="37"/>
        <v>0.7</v>
      </c>
      <c r="W261" s="272">
        <f t="shared" si="37"/>
        <v>0.7</v>
      </c>
      <c r="X261" s="272">
        <f t="shared" si="37"/>
        <v>0.7</v>
      </c>
      <c r="Y261" s="272">
        <f t="shared" si="37"/>
        <v>0.7</v>
      </c>
      <c r="Z261" s="272">
        <f t="shared" si="37"/>
        <v>0.7</v>
      </c>
      <c r="AA261" s="272">
        <f t="shared" si="37"/>
        <v>0.7</v>
      </c>
      <c r="AB261" s="27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911</v>
      </c>
      <c r="G262" s="78"/>
      <c r="H262" s="81" t="s">
        <v>912</v>
      </c>
      <c r="I262" s="101" t="s">
        <v>582</v>
      </c>
      <c r="J262" s="101"/>
      <c r="K262" s="102">
        <v>0.01</v>
      </c>
      <c r="L262" s="102">
        <v>0.01</v>
      </c>
      <c r="M262" s="102">
        <v>0.01</v>
      </c>
      <c r="N262" s="102">
        <v>0.01</v>
      </c>
      <c r="O262" s="102">
        <v>0.01</v>
      </c>
      <c r="P262" s="102">
        <v>0.01</v>
      </c>
      <c r="Q262" s="81"/>
      <c r="R262" s="81" t="s">
        <v>757</v>
      </c>
      <c r="S262" s="81" t="s">
        <v>631</v>
      </c>
      <c r="T262" s="81"/>
      <c r="U262" s="272">
        <f t="shared" si="37"/>
        <v>0.01</v>
      </c>
      <c r="V262" s="272">
        <f t="shared" si="37"/>
        <v>0.01</v>
      </c>
      <c r="W262" s="272">
        <f t="shared" si="37"/>
        <v>0.01</v>
      </c>
      <c r="X262" s="272">
        <f t="shared" si="37"/>
        <v>0.01</v>
      </c>
      <c r="Y262" s="272">
        <f t="shared" si="37"/>
        <v>0.01</v>
      </c>
      <c r="Z262" s="272">
        <f t="shared" si="37"/>
        <v>0.01</v>
      </c>
      <c r="AA262" s="272">
        <f t="shared" si="37"/>
        <v>0.01</v>
      </c>
      <c r="AB262" s="27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913</v>
      </c>
      <c r="G263" s="78"/>
      <c r="H263" s="81" t="s">
        <v>912</v>
      </c>
      <c r="I263" s="101" t="s">
        <v>582</v>
      </c>
      <c r="J263" s="101"/>
      <c r="K263" s="102">
        <v>0.1</v>
      </c>
      <c r="L263" s="102">
        <v>0.1</v>
      </c>
      <c r="M263" s="102">
        <v>0.1</v>
      </c>
      <c r="N263" s="102">
        <v>0.1</v>
      </c>
      <c r="O263" s="102">
        <v>0.1</v>
      </c>
      <c r="P263" s="102">
        <v>0.1</v>
      </c>
      <c r="Q263" s="81"/>
      <c r="R263" s="81" t="s">
        <v>757</v>
      </c>
      <c r="S263" s="81" t="s">
        <v>631</v>
      </c>
      <c r="T263" s="81"/>
      <c r="U263" s="272">
        <f t="shared" si="37"/>
        <v>0.1</v>
      </c>
      <c r="V263" s="272">
        <f t="shared" si="37"/>
        <v>0.1</v>
      </c>
      <c r="W263" s="272">
        <f t="shared" si="37"/>
        <v>0.1</v>
      </c>
      <c r="X263" s="272">
        <f t="shared" si="37"/>
        <v>0.1</v>
      </c>
      <c r="Y263" s="272">
        <f t="shared" si="37"/>
        <v>0.1</v>
      </c>
      <c r="Z263" s="272">
        <f t="shared" si="37"/>
        <v>0.1</v>
      </c>
      <c r="AA263" s="272">
        <f t="shared" si="37"/>
        <v>0.1</v>
      </c>
      <c r="AB263" s="27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914</v>
      </c>
      <c r="G264" s="78"/>
      <c r="H264" s="81" t="s">
        <v>915</v>
      </c>
      <c r="I264" s="101" t="s">
        <v>582</v>
      </c>
      <c r="J264" s="101"/>
      <c r="K264" s="102">
        <v>1.6</v>
      </c>
      <c r="L264" s="102">
        <v>1.6</v>
      </c>
      <c r="M264" s="102">
        <v>1.6</v>
      </c>
      <c r="N264" s="102">
        <v>1.6</v>
      </c>
      <c r="O264" s="102">
        <v>1.6</v>
      </c>
      <c r="P264" s="102">
        <v>1.6</v>
      </c>
      <c r="Q264" s="81"/>
      <c r="R264" s="81" t="s">
        <v>757</v>
      </c>
      <c r="S264" s="81" t="s">
        <v>631</v>
      </c>
      <c r="T264" s="81"/>
      <c r="U264" s="272">
        <f t="shared" si="37"/>
        <v>1.6</v>
      </c>
      <c r="V264" s="272">
        <f t="shared" si="37"/>
        <v>1.6</v>
      </c>
      <c r="W264" s="272">
        <f t="shared" si="37"/>
        <v>1.6</v>
      </c>
      <c r="X264" s="272">
        <f t="shared" si="37"/>
        <v>1.6</v>
      </c>
      <c r="Y264" s="272">
        <f t="shared" si="37"/>
        <v>1.6</v>
      </c>
      <c r="Z264" s="272">
        <f t="shared" si="37"/>
        <v>1.6</v>
      </c>
      <c r="AA264" s="272">
        <f t="shared" si="37"/>
        <v>1.6</v>
      </c>
      <c r="AB264" s="27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916</v>
      </c>
      <c r="G265" s="78"/>
      <c r="H265" s="81" t="s">
        <v>917</v>
      </c>
      <c r="I265" s="101" t="s">
        <v>582</v>
      </c>
      <c r="J265" s="101"/>
      <c r="K265" s="102">
        <v>4</v>
      </c>
      <c r="L265" s="102">
        <v>4</v>
      </c>
      <c r="M265" s="102">
        <v>4</v>
      </c>
      <c r="N265" s="102">
        <v>4</v>
      </c>
      <c r="O265" s="102">
        <v>4</v>
      </c>
      <c r="P265" s="102">
        <v>4</v>
      </c>
      <c r="Q265" s="81"/>
      <c r="R265" s="81" t="s">
        <v>757</v>
      </c>
      <c r="S265" s="81" t="s">
        <v>631</v>
      </c>
      <c r="T265" s="81"/>
      <c r="U265" s="272">
        <f t="shared" si="37"/>
        <v>4</v>
      </c>
      <c r="V265" s="272">
        <f t="shared" si="37"/>
        <v>4</v>
      </c>
      <c r="W265" s="272">
        <f t="shared" si="37"/>
        <v>4</v>
      </c>
      <c r="X265" s="272">
        <f t="shared" si="37"/>
        <v>4</v>
      </c>
      <c r="Y265" s="272">
        <f t="shared" si="37"/>
        <v>4</v>
      </c>
      <c r="Z265" s="272">
        <f t="shared" si="37"/>
        <v>4</v>
      </c>
      <c r="AA265" s="272">
        <f t="shared" si="37"/>
        <v>4</v>
      </c>
      <c r="AB265" s="27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918</v>
      </c>
      <c r="G266" s="78"/>
      <c r="H266" s="81" t="s">
        <v>919</v>
      </c>
      <c r="I266" s="101" t="s">
        <v>582</v>
      </c>
      <c r="J266" s="101"/>
      <c r="K266" s="102">
        <v>8.0000000000000002E-3</v>
      </c>
      <c r="L266" s="102">
        <v>8.0000000000000002E-3</v>
      </c>
      <c r="M266" s="102">
        <v>4.0000000000000001E-3</v>
      </c>
      <c r="N266" s="102">
        <v>4.0000000000000001E-3</v>
      </c>
      <c r="O266" s="102">
        <v>4.0000000000000001E-3</v>
      </c>
      <c r="P266" s="102">
        <v>2.7000000000000001E-3</v>
      </c>
      <c r="Q266" s="81"/>
      <c r="R266" s="81" t="s">
        <v>757</v>
      </c>
      <c r="S266" s="81" t="s">
        <v>631</v>
      </c>
      <c r="T266" s="81"/>
      <c r="U266" s="272">
        <f t="shared" si="37"/>
        <v>8.0000000000000002E-3</v>
      </c>
      <c r="V266" s="272">
        <f t="shared" si="37"/>
        <v>8.0000000000000002E-3</v>
      </c>
      <c r="W266" s="272">
        <f t="shared" si="37"/>
        <v>8.0000000000000002E-3</v>
      </c>
      <c r="X266" s="272">
        <f t="shared" si="37"/>
        <v>8.0000000000000002E-3</v>
      </c>
      <c r="Y266" s="272">
        <f t="shared" si="37"/>
        <v>8.0000000000000002E-3</v>
      </c>
      <c r="Z266" s="272">
        <f t="shared" si="37"/>
        <v>8.0000000000000002E-3</v>
      </c>
      <c r="AA266" s="272">
        <f t="shared" si="37"/>
        <v>8.0000000000000002E-3</v>
      </c>
      <c r="AB266" s="27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920</v>
      </c>
      <c r="G267" s="78"/>
      <c r="H267" s="81" t="s">
        <v>919</v>
      </c>
      <c r="I267" s="101" t="s">
        <v>582</v>
      </c>
      <c r="J267" s="101"/>
      <c r="K267" s="102">
        <v>1.2E-2</v>
      </c>
      <c r="L267" s="102">
        <v>1.2E-2</v>
      </c>
      <c r="M267" s="102">
        <v>6.0000000000000001E-3</v>
      </c>
      <c r="N267" s="102">
        <v>6.0000000000000001E-3</v>
      </c>
      <c r="O267" s="102">
        <v>6.0000000000000001E-3</v>
      </c>
      <c r="P267" s="102">
        <v>4.0000000000000001E-3</v>
      </c>
      <c r="Q267" s="81"/>
      <c r="R267" s="81" t="s">
        <v>757</v>
      </c>
      <c r="S267" s="81" t="s">
        <v>631</v>
      </c>
      <c r="T267" s="81"/>
      <c r="U267" s="272">
        <f t="shared" si="37"/>
        <v>1.2E-2</v>
      </c>
      <c r="V267" s="272">
        <f t="shared" si="37"/>
        <v>1.2E-2</v>
      </c>
      <c r="W267" s="272">
        <f t="shared" si="37"/>
        <v>1.2E-2</v>
      </c>
      <c r="X267" s="272">
        <f t="shared" si="37"/>
        <v>1.2E-2</v>
      </c>
      <c r="Y267" s="272">
        <f t="shared" si="37"/>
        <v>1.2E-2</v>
      </c>
      <c r="Z267" s="272">
        <f t="shared" si="37"/>
        <v>1.2E-2</v>
      </c>
      <c r="AA267" s="272">
        <f t="shared" si="37"/>
        <v>1.2E-2</v>
      </c>
      <c r="AB267" s="27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921</v>
      </c>
      <c r="G268" s="78"/>
      <c r="H268" s="81" t="s">
        <v>922</v>
      </c>
      <c r="I268" s="101" t="s">
        <v>582</v>
      </c>
      <c r="J268" s="101"/>
      <c r="K268" s="102">
        <v>3</v>
      </c>
      <c r="L268" s="102">
        <v>3</v>
      </c>
      <c r="M268" s="102">
        <v>3</v>
      </c>
      <c r="N268" s="102">
        <v>3</v>
      </c>
      <c r="O268" s="102">
        <v>3</v>
      </c>
      <c r="P268" s="102">
        <v>3</v>
      </c>
      <c r="Q268" s="81"/>
      <c r="R268" s="81" t="s">
        <v>757</v>
      </c>
      <c r="S268" s="81" t="s">
        <v>631</v>
      </c>
      <c r="T268" s="81"/>
      <c r="U268" s="272">
        <f t="shared" si="37"/>
        <v>3</v>
      </c>
      <c r="V268" s="272">
        <f t="shared" si="37"/>
        <v>3</v>
      </c>
      <c r="W268" s="272">
        <f t="shared" si="37"/>
        <v>3</v>
      </c>
      <c r="X268" s="272">
        <f t="shared" si="37"/>
        <v>3</v>
      </c>
      <c r="Y268" s="272">
        <f t="shared" si="37"/>
        <v>3</v>
      </c>
      <c r="Z268" s="272">
        <f t="shared" si="37"/>
        <v>3</v>
      </c>
      <c r="AA268" s="272">
        <f t="shared" si="37"/>
        <v>3</v>
      </c>
      <c r="AB268" s="27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923</v>
      </c>
      <c r="G269" s="78"/>
      <c r="H269" s="81" t="s">
        <v>922</v>
      </c>
      <c r="I269" s="101" t="s">
        <v>582</v>
      </c>
      <c r="J269" s="101"/>
      <c r="K269" s="102">
        <v>0.6</v>
      </c>
      <c r="L269" s="102">
        <v>0.6</v>
      </c>
      <c r="M269" s="102">
        <v>0.6</v>
      </c>
      <c r="N269" s="102">
        <v>0.6</v>
      </c>
      <c r="O269" s="102">
        <v>0.6</v>
      </c>
      <c r="P269" s="102">
        <v>0.6</v>
      </c>
      <c r="Q269" s="81"/>
      <c r="R269" s="81" t="s">
        <v>924</v>
      </c>
      <c r="S269" s="81" t="s">
        <v>631</v>
      </c>
      <c r="T269" s="81"/>
      <c r="U269" s="272">
        <f t="shared" si="37"/>
        <v>0.6</v>
      </c>
      <c r="V269" s="272">
        <f t="shared" si="37"/>
        <v>0.6</v>
      </c>
      <c r="W269" s="272">
        <f t="shared" si="37"/>
        <v>0.6</v>
      </c>
      <c r="X269" s="272">
        <f t="shared" si="37"/>
        <v>0.6</v>
      </c>
      <c r="Y269" s="272">
        <f t="shared" si="37"/>
        <v>0.6</v>
      </c>
      <c r="Z269" s="272">
        <f t="shared" si="37"/>
        <v>0.6</v>
      </c>
      <c r="AA269" s="272">
        <f t="shared" si="37"/>
        <v>0.6</v>
      </c>
      <c r="AB269" s="27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925</v>
      </c>
      <c r="G270" s="78"/>
      <c r="H270" s="81" t="s">
        <v>926</v>
      </c>
      <c r="I270" s="101" t="s">
        <v>582</v>
      </c>
      <c r="J270" s="101"/>
      <c r="K270" s="102">
        <v>0.17</v>
      </c>
      <c r="L270" s="102">
        <v>0.17</v>
      </c>
      <c r="M270" s="102">
        <v>0.13</v>
      </c>
      <c r="N270" s="102">
        <v>0.13</v>
      </c>
      <c r="O270" s="102">
        <v>0.13</v>
      </c>
      <c r="P270" s="102">
        <v>0.13</v>
      </c>
      <c r="Q270" s="81"/>
      <c r="R270" s="81" t="s">
        <v>927</v>
      </c>
      <c r="S270" s="81"/>
      <c r="T270" s="81"/>
      <c r="U270" s="272">
        <f t="shared" si="37"/>
        <v>0.17</v>
      </c>
      <c r="V270" s="272">
        <f t="shared" si="37"/>
        <v>0.17</v>
      </c>
      <c r="W270" s="272">
        <f t="shared" si="37"/>
        <v>0.17</v>
      </c>
      <c r="X270" s="272">
        <f t="shared" si="37"/>
        <v>0.17</v>
      </c>
      <c r="Y270" s="272">
        <f t="shared" si="37"/>
        <v>0.17</v>
      </c>
      <c r="Z270" s="272">
        <f t="shared" si="37"/>
        <v>0.17</v>
      </c>
      <c r="AA270" s="272">
        <f t="shared" si="37"/>
        <v>0.17</v>
      </c>
      <c r="AB270" s="27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275" t="s">
        <v>505</v>
      </c>
      <c r="G271" s="78"/>
      <c r="H271" s="265" t="s">
        <v>928</v>
      </c>
      <c r="I271" s="101"/>
      <c r="J271" s="101" t="s">
        <v>600</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929</v>
      </c>
      <c r="F272" s="73" t="s">
        <v>930</v>
      </c>
      <c r="G272" s="78"/>
      <c r="H272" s="81" t="s">
        <v>575</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931</v>
      </c>
      <c r="G273" s="78"/>
      <c r="H273" s="81" t="s">
        <v>2421</v>
      </c>
      <c r="I273" s="101" t="s">
        <v>932</v>
      </c>
      <c r="J273" s="101"/>
      <c r="K273" s="102">
        <f>23*0.85</f>
        <v>19.55</v>
      </c>
      <c r="L273" s="102">
        <f>22*0.85</f>
        <v>18.7</v>
      </c>
      <c r="M273" s="81"/>
      <c r="N273" s="81"/>
      <c r="O273" s="81"/>
      <c r="P273" s="81"/>
      <c r="Q273" s="81"/>
      <c r="R273" s="81" t="s">
        <v>933</v>
      </c>
      <c r="S273" s="81"/>
      <c r="T273" s="81"/>
      <c r="U273" s="272">
        <f t="shared" ref="U273:AB274" si="39">INDEX($K273:$Q273,1,U$54)</f>
        <v>19.55</v>
      </c>
      <c r="V273" s="272">
        <f t="shared" si="39"/>
        <v>19.55</v>
      </c>
      <c r="W273" s="272">
        <f t="shared" si="39"/>
        <v>19.55</v>
      </c>
      <c r="X273" s="272">
        <f t="shared" si="39"/>
        <v>18.7</v>
      </c>
      <c r="Y273" s="272">
        <f t="shared" si="39"/>
        <v>18.7</v>
      </c>
      <c r="Z273" s="272">
        <f t="shared" si="39"/>
        <v>18.7</v>
      </c>
      <c r="AA273" s="272">
        <f t="shared" si="39"/>
        <v>18.7</v>
      </c>
      <c r="AB273" s="27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934</v>
      </c>
      <c r="G274" s="78"/>
      <c r="H274" s="81" t="s">
        <v>935</v>
      </c>
      <c r="I274" s="101" t="s">
        <v>936</v>
      </c>
      <c r="J274" s="101"/>
      <c r="K274" s="102">
        <v>4.0000000000000001E-3</v>
      </c>
      <c r="L274" s="102">
        <v>4.0000000000000001E-3</v>
      </c>
      <c r="M274" s="81"/>
      <c r="N274" s="81"/>
      <c r="O274" s="81"/>
      <c r="P274" s="81"/>
      <c r="Q274" s="81"/>
      <c r="R274" s="81" t="s">
        <v>593</v>
      </c>
      <c r="S274" s="81"/>
      <c r="T274" s="81"/>
      <c r="U274" s="272">
        <f t="shared" si="39"/>
        <v>4.0000000000000001E-3</v>
      </c>
      <c r="V274" s="272">
        <f t="shared" si="39"/>
        <v>4.0000000000000001E-3</v>
      </c>
      <c r="W274" s="272">
        <f t="shared" si="39"/>
        <v>4.0000000000000001E-3</v>
      </c>
      <c r="X274" s="272">
        <f t="shared" si="39"/>
        <v>4.0000000000000001E-3</v>
      </c>
      <c r="Y274" s="272">
        <f t="shared" si="39"/>
        <v>4.0000000000000001E-3</v>
      </c>
      <c r="Z274" s="272">
        <f t="shared" si="39"/>
        <v>4.0000000000000001E-3</v>
      </c>
      <c r="AA274" s="272">
        <f t="shared" si="39"/>
        <v>4.0000000000000001E-3</v>
      </c>
      <c r="AB274" s="27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937</v>
      </c>
      <c r="G275" s="78"/>
      <c r="H275" s="81" t="s">
        <v>2422</v>
      </c>
      <c r="I275" s="101" t="s">
        <v>655</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2395</v>
      </c>
      <c r="AE275" s="81"/>
      <c r="AF275" s="102">
        <v>1</v>
      </c>
      <c r="AG275" s="102">
        <v>1</v>
      </c>
      <c r="AH275" s="78"/>
      <c r="AI275" s="60"/>
      <c r="AJ275" s="48"/>
      <c r="AK275" s="48"/>
      <c r="AL275" s="48"/>
    </row>
    <row r="276" spans="1:38" outlineLevel="2" x14ac:dyDescent="0.25">
      <c r="A276" s="48"/>
      <c r="B276" s="57"/>
      <c r="C276" s="50">
        <f t="shared" si="38"/>
        <v>3</v>
      </c>
      <c r="D276" s="78"/>
      <c r="E276" s="73"/>
      <c r="F276" s="73" t="s">
        <v>938</v>
      </c>
      <c r="G276" s="78"/>
      <c r="H276" s="81" t="s">
        <v>939</v>
      </c>
      <c r="I276" s="101" t="s">
        <v>655</v>
      </c>
      <c r="J276" s="101"/>
      <c r="K276" s="102">
        <v>0.04</v>
      </c>
      <c r="L276" s="102">
        <v>0.04</v>
      </c>
      <c r="M276" s="81"/>
      <c r="N276" s="81"/>
      <c r="O276" s="81"/>
      <c r="P276" s="81"/>
      <c r="Q276" s="81"/>
      <c r="R276" s="81" t="s">
        <v>940</v>
      </c>
      <c r="S276" s="81"/>
      <c r="T276" s="81"/>
      <c r="U276" s="272">
        <f t="shared" ref="U276:AB277" si="40">INDEX($K276:$Q276,1,U$54)</f>
        <v>0.04</v>
      </c>
      <c r="V276" s="272">
        <f t="shared" si="40"/>
        <v>0.04</v>
      </c>
      <c r="W276" s="272">
        <f t="shared" si="40"/>
        <v>0.04</v>
      </c>
      <c r="X276" s="272">
        <f t="shared" si="40"/>
        <v>0.04</v>
      </c>
      <c r="Y276" s="272">
        <f t="shared" si="40"/>
        <v>0.04</v>
      </c>
      <c r="Z276" s="272">
        <f t="shared" si="40"/>
        <v>0.04</v>
      </c>
      <c r="AA276" s="272">
        <f t="shared" si="40"/>
        <v>0.04</v>
      </c>
      <c r="AB276" s="27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941</v>
      </c>
      <c r="G277" s="78"/>
      <c r="H277" s="81" t="s">
        <v>942</v>
      </c>
      <c r="I277" s="101" t="s">
        <v>610</v>
      </c>
      <c r="J277" s="101"/>
      <c r="K277" s="102">
        <v>0.25</v>
      </c>
      <c r="L277" s="102">
        <v>0.25</v>
      </c>
      <c r="M277" s="81"/>
      <c r="N277" s="81"/>
      <c r="O277" s="81"/>
      <c r="P277" s="81"/>
      <c r="Q277" s="81"/>
      <c r="R277" s="81" t="s">
        <v>943</v>
      </c>
      <c r="S277" s="81"/>
      <c r="T277" s="81"/>
      <c r="U277" s="272">
        <f t="shared" si="40"/>
        <v>0.25</v>
      </c>
      <c r="V277" s="272">
        <f t="shared" si="40"/>
        <v>0.25</v>
      </c>
      <c r="W277" s="272">
        <f t="shared" si="40"/>
        <v>0.25</v>
      </c>
      <c r="X277" s="272">
        <f t="shared" si="40"/>
        <v>0.25</v>
      </c>
      <c r="Y277" s="272">
        <f t="shared" si="40"/>
        <v>0.25</v>
      </c>
      <c r="Z277" s="272">
        <f t="shared" si="40"/>
        <v>0.25</v>
      </c>
      <c r="AA277" s="272">
        <f t="shared" si="40"/>
        <v>0.25</v>
      </c>
      <c r="AB277" s="27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944</v>
      </c>
      <c r="G278" s="78"/>
      <c r="H278" s="81" t="s">
        <v>945</v>
      </c>
      <c r="I278" s="101" t="s">
        <v>946</v>
      </c>
      <c r="J278" s="101"/>
      <c r="K278" s="81"/>
      <c r="L278" s="81"/>
      <c r="M278" s="81"/>
      <c r="N278" s="81"/>
      <c r="O278" s="81"/>
      <c r="P278" s="81"/>
      <c r="Q278" s="81"/>
      <c r="R278" s="81" t="s">
        <v>947</v>
      </c>
      <c r="S278" s="81"/>
      <c r="T278" s="81"/>
      <c r="U278" s="102">
        <v>0.03</v>
      </c>
      <c r="V278" s="102">
        <v>0.03</v>
      </c>
      <c r="W278" s="102">
        <v>0.03</v>
      </c>
      <c r="X278" s="102">
        <v>0.2</v>
      </c>
      <c r="Y278" s="102">
        <v>0.06</v>
      </c>
      <c r="Z278" s="102">
        <v>0.06</v>
      </c>
      <c r="AA278" s="102">
        <v>0.11</v>
      </c>
      <c r="AB278" s="102">
        <v>0.11</v>
      </c>
      <c r="AC278" s="81"/>
      <c r="AD278" s="102" t="s">
        <v>947</v>
      </c>
      <c r="AE278" s="81"/>
      <c r="AF278" s="102">
        <v>1</v>
      </c>
      <c r="AG278" s="102">
        <v>1</v>
      </c>
      <c r="AH278" s="78"/>
      <c r="AI278" s="60"/>
      <c r="AJ278" s="48"/>
      <c r="AK278" s="48"/>
      <c r="AL278" s="48"/>
    </row>
    <row r="279" spans="1:38" outlineLevel="2" x14ac:dyDescent="0.25">
      <c r="A279" s="48"/>
      <c r="B279" s="57"/>
      <c r="C279" s="50">
        <f t="shared" si="38"/>
        <v>3</v>
      </c>
      <c r="D279" s="78"/>
      <c r="E279" s="73"/>
      <c r="F279" s="73" t="s">
        <v>948</v>
      </c>
      <c r="G279" s="78"/>
      <c r="H279" s="81" t="s">
        <v>949</v>
      </c>
      <c r="I279" s="101" t="s">
        <v>605</v>
      </c>
      <c r="J279" s="101"/>
      <c r="K279" s="102">
        <v>1.35</v>
      </c>
      <c r="L279" s="102">
        <v>1.35</v>
      </c>
      <c r="M279" s="81"/>
      <c r="N279" s="81"/>
      <c r="O279" s="81"/>
      <c r="P279" s="81"/>
      <c r="Q279" s="81"/>
      <c r="R279" s="81" t="s">
        <v>950</v>
      </c>
      <c r="S279" s="81"/>
      <c r="T279" s="81"/>
      <c r="U279" s="272">
        <f t="shared" ref="U279:AB282" si="41">INDEX($K279:$Q279,1,U$54)</f>
        <v>1.35</v>
      </c>
      <c r="V279" s="272">
        <f t="shared" si="41"/>
        <v>1.35</v>
      </c>
      <c r="W279" s="272">
        <f t="shared" si="41"/>
        <v>1.35</v>
      </c>
      <c r="X279" s="272">
        <f t="shared" si="41"/>
        <v>1.35</v>
      </c>
      <c r="Y279" s="272">
        <f t="shared" si="41"/>
        <v>1.35</v>
      </c>
      <c r="Z279" s="272">
        <f t="shared" si="41"/>
        <v>1.35</v>
      </c>
      <c r="AA279" s="272">
        <f t="shared" si="41"/>
        <v>1.35</v>
      </c>
      <c r="AB279" s="27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951</v>
      </c>
      <c r="G280" s="78"/>
      <c r="H280" s="81" t="s">
        <v>952</v>
      </c>
      <c r="I280" s="101" t="s">
        <v>708</v>
      </c>
      <c r="J280" s="101"/>
      <c r="K280" s="102">
        <v>1.6E-2</v>
      </c>
      <c r="L280" s="102">
        <v>1.6E-2</v>
      </c>
      <c r="M280" s="81"/>
      <c r="N280" s="81"/>
      <c r="O280" s="81"/>
      <c r="P280" s="81"/>
      <c r="Q280" s="81"/>
      <c r="R280" s="81" t="s">
        <v>953</v>
      </c>
      <c r="S280" s="81"/>
      <c r="T280" s="81"/>
      <c r="U280" s="272">
        <f t="shared" si="41"/>
        <v>1.6E-2</v>
      </c>
      <c r="V280" s="272">
        <f t="shared" si="41"/>
        <v>1.6E-2</v>
      </c>
      <c r="W280" s="272">
        <f t="shared" si="41"/>
        <v>1.6E-2</v>
      </c>
      <c r="X280" s="272">
        <f t="shared" si="41"/>
        <v>1.6E-2</v>
      </c>
      <c r="Y280" s="272">
        <f t="shared" si="41"/>
        <v>1.6E-2</v>
      </c>
      <c r="Z280" s="272">
        <f t="shared" si="41"/>
        <v>1.6E-2</v>
      </c>
      <c r="AA280" s="272">
        <f t="shared" si="41"/>
        <v>1.6E-2</v>
      </c>
      <c r="AB280" s="27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954</v>
      </c>
      <c r="G281" s="78"/>
      <c r="H281" s="81" t="s">
        <v>955</v>
      </c>
      <c r="I281" s="101" t="s">
        <v>655</v>
      </c>
      <c r="J281" s="101"/>
      <c r="K281" s="102">
        <v>1</v>
      </c>
      <c r="L281" s="102">
        <v>1</v>
      </c>
      <c r="M281" s="81"/>
      <c r="N281" s="81"/>
      <c r="O281" s="81"/>
      <c r="P281" s="81"/>
      <c r="Q281" s="81"/>
      <c r="R281" s="81" t="s">
        <v>668</v>
      </c>
      <c r="S281" s="81"/>
      <c r="T281" s="81"/>
      <c r="U281" s="272">
        <f t="shared" si="41"/>
        <v>1</v>
      </c>
      <c r="V281" s="272">
        <f t="shared" si="41"/>
        <v>1</v>
      </c>
      <c r="W281" s="272">
        <f t="shared" si="41"/>
        <v>1</v>
      </c>
      <c r="X281" s="272">
        <f t="shared" si="41"/>
        <v>1</v>
      </c>
      <c r="Y281" s="272">
        <f t="shared" si="41"/>
        <v>1</v>
      </c>
      <c r="Z281" s="272">
        <f t="shared" si="41"/>
        <v>1</v>
      </c>
      <c r="AA281" s="272">
        <f t="shared" si="41"/>
        <v>1</v>
      </c>
      <c r="AB281" s="27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956</v>
      </c>
      <c r="G282" s="78"/>
      <c r="H282" s="81" t="s">
        <v>957</v>
      </c>
      <c r="I282" s="101" t="s">
        <v>958</v>
      </c>
      <c r="J282" s="101"/>
      <c r="K282" s="102">
        <v>1350</v>
      </c>
      <c r="L282" s="102">
        <v>1350</v>
      </c>
      <c r="M282" s="81"/>
      <c r="N282" s="81"/>
      <c r="O282" s="81"/>
      <c r="P282" s="81"/>
      <c r="Q282" s="81"/>
      <c r="R282" s="81"/>
      <c r="S282" s="81"/>
      <c r="T282" s="81"/>
      <c r="U282" s="272">
        <f t="shared" si="41"/>
        <v>1350</v>
      </c>
      <c r="V282" s="272">
        <f t="shared" si="41"/>
        <v>1350</v>
      </c>
      <c r="W282" s="272">
        <f t="shared" si="41"/>
        <v>1350</v>
      </c>
      <c r="X282" s="272">
        <f t="shared" si="41"/>
        <v>1350</v>
      </c>
      <c r="Y282" s="272">
        <f t="shared" si="41"/>
        <v>1350</v>
      </c>
      <c r="Z282" s="272">
        <f t="shared" si="41"/>
        <v>1350</v>
      </c>
      <c r="AA282" s="272">
        <f t="shared" si="41"/>
        <v>1350</v>
      </c>
      <c r="AB282" s="27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959</v>
      </c>
      <c r="G283" s="78"/>
      <c r="H283" s="81" t="s">
        <v>960</v>
      </c>
      <c r="I283" s="101" t="s">
        <v>961</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274">
        <f t="shared" si="42"/>
        <v>60000000</v>
      </c>
      <c r="Z283" s="274">
        <f t="shared" si="42"/>
        <v>60000000</v>
      </c>
      <c r="AA283" s="27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962</v>
      </c>
      <c r="G284" s="78"/>
      <c r="H284" s="81" t="s">
        <v>2516</v>
      </c>
      <c r="I284" s="101" t="s">
        <v>582</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274">
        <f t="shared" si="42"/>
        <v>2.5000000000000001E-2</v>
      </c>
      <c r="Z284" s="274">
        <f t="shared" si="42"/>
        <v>2.5000000000000001E-2</v>
      </c>
      <c r="AA284" s="274">
        <f t="shared" si="42"/>
        <v>2.5000000000000001E-2</v>
      </c>
      <c r="AB284" s="274">
        <f t="shared" si="42"/>
        <v>2.5000000000000001E-2</v>
      </c>
      <c r="AC284" s="81"/>
      <c r="AD284" s="102" t="s">
        <v>2517</v>
      </c>
      <c r="AE284" s="81"/>
      <c r="AF284" s="102">
        <v>1</v>
      </c>
      <c r="AG284" s="102">
        <v>1</v>
      </c>
      <c r="AH284" s="78"/>
      <c r="AI284" s="60"/>
      <c r="AJ284" s="48"/>
      <c r="AK284" s="48"/>
      <c r="AL284" s="48"/>
    </row>
    <row r="285" spans="1:38" outlineLevel="2" x14ac:dyDescent="0.25">
      <c r="A285" s="48"/>
      <c r="B285" s="57"/>
      <c r="C285" s="50">
        <f t="shared" si="38"/>
        <v>3</v>
      </c>
      <c r="D285" s="78"/>
      <c r="E285" s="73"/>
      <c r="F285" s="73" t="s">
        <v>963</v>
      </c>
      <c r="G285" s="78"/>
      <c r="H285" s="81" t="s">
        <v>964</v>
      </c>
      <c r="I285" s="101" t="s">
        <v>582</v>
      </c>
      <c r="J285" s="101"/>
      <c r="K285" s="81"/>
      <c r="L285" s="81"/>
      <c r="M285" s="81"/>
      <c r="N285" s="81"/>
      <c r="O285" s="81"/>
      <c r="P285" s="81"/>
      <c r="Q285" s="81"/>
      <c r="R285" s="81"/>
      <c r="S285" s="81"/>
      <c r="T285" s="81"/>
      <c r="U285" s="102">
        <v>0.18</v>
      </c>
      <c r="V285" s="102">
        <v>0.18</v>
      </c>
      <c r="W285" s="102">
        <v>0.18</v>
      </c>
      <c r="X285" s="102">
        <f t="shared" si="42"/>
        <v>0.18</v>
      </c>
      <c r="Y285" s="274">
        <f t="shared" si="42"/>
        <v>0.18</v>
      </c>
      <c r="Z285" s="274">
        <f t="shared" si="42"/>
        <v>0.18</v>
      </c>
      <c r="AA285" s="274">
        <f t="shared" si="42"/>
        <v>0.18</v>
      </c>
      <c r="AB285" s="274">
        <f t="shared" si="42"/>
        <v>0.18</v>
      </c>
      <c r="AC285" s="81"/>
      <c r="AD285" s="102" t="s">
        <v>692</v>
      </c>
      <c r="AE285" s="81"/>
      <c r="AF285" s="102">
        <v>1</v>
      </c>
      <c r="AG285" s="102">
        <v>1</v>
      </c>
      <c r="AH285" s="78"/>
      <c r="AI285" s="60"/>
      <c r="AJ285" s="48"/>
      <c r="AK285" s="48"/>
      <c r="AL285" s="48"/>
    </row>
    <row r="286" spans="1:38" outlineLevel="2" x14ac:dyDescent="0.25">
      <c r="A286" s="48"/>
      <c r="B286" s="57"/>
      <c r="C286" s="50">
        <f>INT($C$40)+2</f>
        <v>3</v>
      </c>
      <c r="D286" s="78"/>
      <c r="E286" s="73"/>
      <c r="F286" s="73" t="s">
        <v>965</v>
      </c>
      <c r="G286" s="78"/>
      <c r="H286" s="81" t="s">
        <v>966</v>
      </c>
      <c r="I286" s="101" t="s">
        <v>967</v>
      </c>
      <c r="J286" s="101"/>
      <c r="K286" s="102">
        <v>0.2</v>
      </c>
      <c r="L286" s="102">
        <v>0.2</v>
      </c>
      <c r="M286" s="81"/>
      <c r="N286" s="81"/>
      <c r="O286" s="81"/>
      <c r="P286" s="81"/>
      <c r="Q286" s="81"/>
      <c r="R286" s="81" t="s">
        <v>692</v>
      </c>
      <c r="S286" s="81"/>
      <c r="T286" s="81"/>
      <c r="U286" s="272">
        <f t="shared" ref="U286:AB288" si="43">INDEX($K286:$Q286,1,U$54)</f>
        <v>0.2</v>
      </c>
      <c r="V286" s="272">
        <f t="shared" si="43"/>
        <v>0.2</v>
      </c>
      <c r="W286" s="272">
        <f t="shared" si="43"/>
        <v>0.2</v>
      </c>
      <c r="X286" s="272">
        <f t="shared" si="43"/>
        <v>0.2</v>
      </c>
      <c r="Y286" s="272">
        <f t="shared" si="43"/>
        <v>0.2</v>
      </c>
      <c r="Z286" s="272">
        <f t="shared" si="43"/>
        <v>0.2</v>
      </c>
      <c r="AA286" s="272">
        <f t="shared" si="43"/>
        <v>0.2</v>
      </c>
      <c r="AB286" s="27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968</v>
      </c>
      <c r="G287" s="78"/>
      <c r="H287" s="81" t="s">
        <v>969</v>
      </c>
      <c r="I287" s="101" t="s">
        <v>970</v>
      </c>
      <c r="J287" s="101"/>
      <c r="K287" s="102">
        <f>1/1.17</f>
        <v>0.85470085470085477</v>
      </c>
      <c r="L287" s="102">
        <f>1/1.17</f>
        <v>0.85470085470085477</v>
      </c>
      <c r="M287" s="81"/>
      <c r="N287" s="81"/>
      <c r="O287" s="81"/>
      <c r="P287" s="81"/>
      <c r="Q287" s="81"/>
      <c r="R287" s="81" t="s">
        <v>971</v>
      </c>
      <c r="S287" s="81"/>
      <c r="T287" s="81"/>
      <c r="U287" s="272">
        <f t="shared" si="43"/>
        <v>0.85470085470085477</v>
      </c>
      <c r="V287" s="272">
        <f t="shared" si="43"/>
        <v>0.85470085470085477</v>
      </c>
      <c r="W287" s="272">
        <f t="shared" si="43"/>
        <v>0.85470085470085477</v>
      </c>
      <c r="X287" s="272">
        <f t="shared" si="43"/>
        <v>0.85470085470085477</v>
      </c>
      <c r="Y287" s="272">
        <f t="shared" si="43"/>
        <v>0.85470085470085477</v>
      </c>
      <c r="Z287" s="272">
        <f t="shared" si="43"/>
        <v>0.85470085470085477</v>
      </c>
      <c r="AA287" s="272">
        <f t="shared" si="43"/>
        <v>0.85470085470085477</v>
      </c>
      <c r="AB287" s="27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972</v>
      </c>
      <c r="G288" s="78"/>
      <c r="H288" s="81" t="s">
        <v>973</v>
      </c>
      <c r="I288" s="101" t="s">
        <v>974</v>
      </c>
      <c r="J288" s="101"/>
      <c r="K288" s="102">
        <v>51</v>
      </c>
      <c r="L288" s="102">
        <v>51</v>
      </c>
      <c r="M288" s="81"/>
      <c r="N288" s="81"/>
      <c r="O288" s="81"/>
      <c r="P288" s="81"/>
      <c r="Q288" s="81"/>
      <c r="R288" s="81" t="s">
        <v>975</v>
      </c>
      <c r="S288" s="81"/>
      <c r="T288" s="81"/>
      <c r="U288" s="272">
        <f t="shared" si="43"/>
        <v>51</v>
      </c>
      <c r="V288" s="272">
        <f t="shared" si="43"/>
        <v>51</v>
      </c>
      <c r="W288" s="272">
        <f t="shared" si="43"/>
        <v>51</v>
      </c>
      <c r="X288" s="272">
        <f t="shared" si="43"/>
        <v>51</v>
      </c>
      <c r="Y288" s="272">
        <f t="shared" si="43"/>
        <v>51</v>
      </c>
      <c r="Z288" s="272">
        <f t="shared" si="43"/>
        <v>51</v>
      </c>
      <c r="AA288" s="272">
        <f t="shared" si="43"/>
        <v>51</v>
      </c>
      <c r="AB288" s="27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2465</v>
      </c>
      <c r="G289" s="78"/>
      <c r="H289" s="81" t="s">
        <v>2469</v>
      </c>
      <c r="I289" s="101"/>
      <c r="J289" s="101"/>
      <c r="K289" s="81"/>
      <c r="L289" s="81"/>
      <c r="M289" s="81"/>
      <c r="N289" s="81"/>
      <c r="O289" s="81"/>
      <c r="P289" s="81"/>
      <c r="Q289" s="81"/>
      <c r="R289" s="81"/>
      <c r="S289" s="81"/>
      <c r="T289" s="81"/>
      <c r="U289" s="279">
        <f>0.006/(365^2)</f>
        <v>4.503659223118784E-8</v>
      </c>
      <c r="V289" s="279">
        <f t="shared" ref="V289:W289" si="45">0.006/(365^2)</f>
        <v>4.503659223118784E-8</v>
      </c>
      <c r="W289" s="279">
        <f t="shared" si="45"/>
        <v>4.503659223118784E-8</v>
      </c>
      <c r="X289" s="102">
        <f t="shared" ref="X289:X291" si="46">W289</f>
        <v>4.503659223118784E-8</v>
      </c>
      <c r="Y289" s="274">
        <f t="shared" ref="Y289:Y291" si="47">X289</f>
        <v>4.503659223118784E-8</v>
      </c>
      <c r="Z289" s="274">
        <f t="shared" ref="Z289:Z291" si="48">Y289</f>
        <v>4.503659223118784E-8</v>
      </c>
      <c r="AA289" s="274">
        <f t="shared" ref="AA289:AA291" si="49">Z289</f>
        <v>4.503659223118784E-8</v>
      </c>
      <c r="AB289" s="274">
        <f t="shared" ref="AB289:AB291" si="50">AA289</f>
        <v>4.503659223118784E-8</v>
      </c>
      <c r="AC289" s="81"/>
      <c r="AD289" s="102" t="s">
        <v>2468</v>
      </c>
      <c r="AE289" s="81"/>
      <c r="AF289" s="102">
        <v>1</v>
      </c>
      <c r="AG289" s="102">
        <v>1</v>
      </c>
      <c r="AH289" s="78"/>
      <c r="AI289" s="60"/>
      <c r="AJ289" s="48"/>
      <c r="AK289" s="48"/>
      <c r="AL289" s="48"/>
    </row>
    <row r="290" spans="1:38" outlineLevel="2" x14ac:dyDescent="0.25">
      <c r="A290" s="48"/>
      <c r="B290" s="57"/>
      <c r="C290" s="50">
        <f t="shared" si="44"/>
        <v>3</v>
      </c>
      <c r="D290" s="78"/>
      <c r="E290" s="73"/>
      <c r="F290" s="73" t="s">
        <v>2466</v>
      </c>
      <c r="G290" s="78"/>
      <c r="H290" s="81" t="s">
        <v>2467</v>
      </c>
      <c r="I290" s="101" t="s">
        <v>744</v>
      </c>
      <c r="J290" s="101"/>
      <c r="K290" s="81"/>
      <c r="L290" s="81"/>
      <c r="M290" s="81"/>
      <c r="N290" s="81"/>
      <c r="O290" s="81"/>
      <c r="P290" s="81"/>
      <c r="Q290" s="81"/>
      <c r="R290" s="81"/>
      <c r="S290" s="81"/>
      <c r="T290" s="81"/>
      <c r="U290" s="102">
        <f>3*365</f>
        <v>1095</v>
      </c>
      <c r="V290" s="102">
        <v>1095</v>
      </c>
      <c r="W290" s="102">
        <v>1095</v>
      </c>
      <c r="X290" s="102">
        <f t="shared" si="46"/>
        <v>1095</v>
      </c>
      <c r="Y290" s="274">
        <f t="shared" ref="Y290" si="51">X290</f>
        <v>1095</v>
      </c>
      <c r="Z290" s="274">
        <f t="shared" ref="Z290" si="52">Y290</f>
        <v>1095</v>
      </c>
      <c r="AA290" s="274">
        <f t="shared" ref="AA290" si="53">Z290</f>
        <v>1095</v>
      </c>
      <c r="AB290" s="274">
        <f t="shared" ref="AB290" si="54">AA290</f>
        <v>1095</v>
      </c>
      <c r="AC290" s="81"/>
      <c r="AD290" s="102" t="s">
        <v>2468</v>
      </c>
      <c r="AE290" s="81"/>
      <c r="AF290" s="102">
        <v>1</v>
      </c>
      <c r="AG290" s="102">
        <v>1</v>
      </c>
      <c r="AH290" s="78"/>
      <c r="AI290" s="60"/>
      <c r="AJ290" s="48"/>
      <c r="AK290" s="48"/>
      <c r="AL290" s="48"/>
    </row>
    <row r="291" spans="1:38" outlineLevel="2" x14ac:dyDescent="0.25">
      <c r="A291" s="48"/>
      <c r="B291" s="57"/>
      <c r="C291" s="50">
        <f>INT($C$40)+2</f>
        <v>3</v>
      </c>
      <c r="D291" s="78"/>
      <c r="E291" s="73"/>
      <c r="F291" s="73" t="s">
        <v>2470</v>
      </c>
      <c r="G291" s="78"/>
      <c r="H291" s="81" t="s">
        <v>2471</v>
      </c>
      <c r="I291" s="101"/>
      <c r="J291" s="101"/>
      <c r="K291" s="81"/>
      <c r="L291" s="81"/>
      <c r="M291" s="81"/>
      <c r="N291" s="81"/>
      <c r="O291" s="81"/>
      <c r="P291" s="81"/>
      <c r="Q291" s="81"/>
      <c r="R291" s="81"/>
      <c r="S291" s="81"/>
      <c r="T291" s="81"/>
      <c r="U291" s="102">
        <v>2</v>
      </c>
      <c r="V291" s="102">
        <v>2</v>
      </c>
      <c r="W291" s="102">
        <v>2</v>
      </c>
      <c r="X291" s="102">
        <f t="shared" si="46"/>
        <v>2</v>
      </c>
      <c r="Y291" s="274">
        <f t="shared" si="47"/>
        <v>2</v>
      </c>
      <c r="Z291" s="274">
        <f t="shared" si="48"/>
        <v>2</v>
      </c>
      <c r="AA291" s="274">
        <f t="shared" si="49"/>
        <v>2</v>
      </c>
      <c r="AB291" s="27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275" t="s">
        <v>976</v>
      </c>
      <c r="G292" s="78"/>
      <c r="H292" s="265" t="s">
        <v>977</v>
      </c>
      <c r="I292" s="101"/>
      <c r="J292" s="101" t="s">
        <v>600</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978</v>
      </c>
      <c r="F293" s="73" t="s">
        <v>979</v>
      </c>
      <c r="G293" s="78"/>
      <c r="H293" s="81" t="s">
        <v>575</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980</v>
      </c>
      <c r="G294" s="78"/>
      <c r="H294" s="81" t="s">
        <v>981</v>
      </c>
      <c r="I294" s="101" t="s">
        <v>982</v>
      </c>
      <c r="J294" s="101"/>
      <c r="K294" s="102">
        <v>0.09</v>
      </c>
      <c r="L294" s="102">
        <v>0.09</v>
      </c>
      <c r="M294" s="102">
        <v>0.09</v>
      </c>
      <c r="N294" s="102">
        <v>0.09</v>
      </c>
      <c r="O294" s="102">
        <v>0.09</v>
      </c>
      <c r="P294" s="102">
        <v>0.09</v>
      </c>
      <c r="Q294" s="81"/>
      <c r="R294" s="81"/>
      <c r="S294" s="81"/>
      <c r="T294" s="81"/>
      <c r="U294" s="272">
        <f t="shared" ref="U294:AB309" si="56">INDEX($K294:$Q294,1,U$54)</f>
        <v>0.09</v>
      </c>
      <c r="V294" s="272">
        <f t="shared" si="56"/>
        <v>0.09</v>
      </c>
      <c r="W294" s="272">
        <f t="shared" si="56"/>
        <v>0.09</v>
      </c>
      <c r="X294" s="272">
        <f t="shared" si="56"/>
        <v>0.09</v>
      </c>
      <c r="Y294" s="272">
        <f t="shared" si="56"/>
        <v>0.09</v>
      </c>
      <c r="Z294" s="272">
        <f t="shared" si="56"/>
        <v>0.09</v>
      </c>
      <c r="AA294" s="272">
        <f t="shared" si="56"/>
        <v>0.09</v>
      </c>
      <c r="AB294" s="27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983</v>
      </c>
      <c r="G295" s="78"/>
      <c r="H295" s="81" t="s">
        <v>984</v>
      </c>
      <c r="I295" s="101" t="s">
        <v>985</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272">
        <f t="shared" si="56"/>
        <v>4.0999999999999996</v>
      </c>
      <c r="V295" s="272">
        <f t="shared" si="56"/>
        <v>4.0999999999999996</v>
      </c>
      <c r="W295" s="272">
        <f t="shared" si="56"/>
        <v>4.0999999999999996</v>
      </c>
      <c r="X295" s="272">
        <f t="shared" si="56"/>
        <v>4.0999999999999996</v>
      </c>
      <c r="Y295" s="272">
        <f t="shared" si="56"/>
        <v>4.0999999999999996</v>
      </c>
      <c r="Z295" s="272">
        <f t="shared" si="56"/>
        <v>4.0999999999999996</v>
      </c>
      <c r="AA295" s="272">
        <f t="shared" si="56"/>
        <v>4.0999999999999996</v>
      </c>
      <c r="AB295" s="27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986</v>
      </c>
      <c r="G296" s="78"/>
      <c r="H296" s="81" t="s">
        <v>987</v>
      </c>
      <c r="I296" s="101" t="s">
        <v>988</v>
      </c>
      <c r="J296" s="101"/>
      <c r="K296" s="102">
        <v>1.3</v>
      </c>
      <c r="L296" s="102">
        <v>1.3</v>
      </c>
      <c r="M296" s="102">
        <v>1.6</v>
      </c>
      <c r="N296" s="102">
        <v>1.6</v>
      </c>
      <c r="O296" s="102">
        <v>1.6</v>
      </c>
      <c r="P296" s="102">
        <v>1.6</v>
      </c>
      <c r="Q296" s="81"/>
      <c r="R296" s="81" t="s">
        <v>593</v>
      </c>
      <c r="S296" s="81" t="s">
        <v>593</v>
      </c>
      <c r="T296" s="81"/>
      <c r="U296" s="272">
        <f t="shared" si="56"/>
        <v>1.3</v>
      </c>
      <c r="V296" s="272">
        <f t="shared" si="56"/>
        <v>1.3</v>
      </c>
      <c r="W296" s="272">
        <f t="shared" si="56"/>
        <v>1.3</v>
      </c>
      <c r="X296" s="272">
        <f t="shared" si="56"/>
        <v>1.3</v>
      </c>
      <c r="Y296" s="272">
        <f t="shared" si="56"/>
        <v>1.3</v>
      </c>
      <c r="Z296" s="272">
        <f t="shared" si="56"/>
        <v>1.3</v>
      </c>
      <c r="AA296" s="272">
        <f t="shared" si="56"/>
        <v>1.3</v>
      </c>
      <c r="AB296" s="27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989</v>
      </c>
      <c r="G297" s="78"/>
      <c r="H297" s="81" t="s">
        <v>990</v>
      </c>
      <c r="I297" s="101" t="s">
        <v>582</v>
      </c>
      <c r="J297" s="101"/>
      <c r="K297" s="102">
        <v>0.5</v>
      </c>
      <c r="L297" s="102">
        <v>0.5</v>
      </c>
      <c r="M297" s="102">
        <v>0.5</v>
      </c>
      <c r="N297" s="102">
        <v>0.5</v>
      </c>
      <c r="O297" s="102">
        <v>0.5</v>
      </c>
      <c r="P297" s="102">
        <v>0.5</v>
      </c>
      <c r="Q297" s="81"/>
      <c r="R297" s="81" t="s">
        <v>593</v>
      </c>
      <c r="S297" s="81" t="s">
        <v>593</v>
      </c>
      <c r="T297" s="81"/>
      <c r="U297" s="272">
        <f t="shared" si="56"/>
        <v>0.5</v>
      </c>
      <c r="V297" s="272">
        <f t="shared" si="56"/>
        <v>0.5</v>
      </c>
      <c r="W297" s="272">
        <f t="shared" si="56"/>
        <v>0.5</v>
      </c>
      <c r="X297" s="272">
        <f t="shared" si="56"/>
        <v>0.5</v>
      </c>
      <c r="Y297" s="272">
        <f t="shared" si="56"/>
        <v>0.5</v>
      </c>
      <c r="Z297" s="272">
        <f t="shared" si="56"/>
        <v>0.5</v>
      </c>
      <c r="AA297" s="272">
        <f t="shared" si="56"/>
        <v>0.5</v>
      </c>
      <c r="AB297" s="27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991</v>
      </c>
      <c r="G298" s="78"/>
      <c r="H298" s="81" t="s">
        <v>992</v>
      </c>
      <c r="I298" s="101" t="s">
        <v>655</v>
      </c>
      <c r="J298" s="101"/>
      <c r="K298" s="102">
        <v>0.7</v>
      </c>
      <c r="L298" s="102">
        <v>0.7</v>
      </c>
      <c r="M298" s="102">
        <v>0.7</v>
      </c>
      <c r="N298" s="102">
        <v>0.7</v>
      </c>
      <c r="O298" s="102">
        <v>0.7</v>
      </c>
      <c r="P298" s="102">
        <v>0.7</v>
      </c>
      <c r="Q298" s="81"/>
      <c r="R298" s="81" t="s">
        <v>593</v>
      </c>
      <c r="S298" s="81" t="s">
        <v>593</v>
      </c>
      <c r="T298" s="81"/>
      <c r="U298" s="272">
        <f t="shared" si="56"/>
        <v>0.7</v>
      </c>
      <c r="V298" s="272">
        <f t="shared" si="56"/>
        <v>0.7</v>
      </c>
      <c r="W298" s="272">
        <f t="shared" si="56"/>
        <v>0.7</v>
      </c>
      <c r="X298" s="272">
        <f t="shared" si="56"/>
        <v>0.7</v>
      </c>
      <c r="Y298" s="272">
        <f t="shared" si="56"/>
        <v>0.7</v>
      </c>
      <c r="Z298" s="272">
        <f t="shared" si="56"/>
        <v>0.7</v>
      </c>
      <c r="AA298" s="272">
        <f t="shared" si="56"/>
        <v>0.7</v>
      </c>
      <c r="AB298" s="27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993</v>
      </c>
      <c r="G299" s="78"/>
      <c r="H299" s="81" t="s">
        <v>994</v>
      </c>
      <c r="I299" s="101" t="s">
        <v>995</v>
      </c>
      <c r="J299" s="101"/>
      <c r="K299" s="102">
        <v>0.15</v>
      </c>
      <c r="L299" s="102">
        <v>0.15</v>
      </c>
      <c r="M299" s="102">
        <v>0.15</v>
      </c>
      <c r="N299" s="102">
        <v>0.15</v>
      </c>
      <c r="O299" s="102">
        <v>0.15</v>
      </c>
      <c r="P299" s="102">
        <v>0.15</v>
      </c>
      <c r="Q299" s="81"/>
      <c r="R299" s="81" t="s">
        <v>593</v>
      </c>
      <c r="S299" s="81" t="s">
        <v>593</v>
      </c>
      <c r="T299" s="81"/>
      <c r="U299" s="272">
        <f t="shared" si="56"/>
        <v>0.15</v>
      </c>
      <c r="V299" s="272">
        <f t="shared" si="56"/>
        <v>0.15</v>
      </c>
      <c r="W299" s="272">
        <f t="shared" si="56"/>
        <v>0.15</v>
      </c>
      <c r="X299" s="272">
        <f t="shared" si="56"/>
        <v>0.15</v>
      </c>
      <c r="Y299" s="272">
        <f t="shared" si="56"/>
        <v>0.15</v>
      </c>
      <c r="Z299" s="272">
        <f t="shared" si="56"/>
        <v>0.15</v>
      </c>
      <c r="AA299" s="272">
        <f t="shared" si="56"/>
        <v>0.15</v>
      </c>
      <c r="AB299" s="27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996</v>
      </c>
      <c r="G300" s="78"/>
      <c r="H300" s="81" t="s">
        <v>997</v>
      </c>
      <c r="I300" s="101" t="s">
        <v>582</v>
      </c>
      <c r="J300" s="101"/>
      <c r="K300" s="102">
        <v>0.48099999999999998</v>
      </c>
      <c r="L300" s="102">
        <v>0.48099999999999998</v>
      </c>
      <c r="M300" s="102">
        <v>0.48099999999999998</v>
      </c>
      <c r="N300" s="102">
        <v>0.48099999999999998</v>
      </c>
      <c r="O300" s="102">
        <v>0.48099999999999998</v>
      </c>
      <c r="P300" s="102">
        <v>0.48099999999999998</v>
      </c>
      <c r="Q300" s="81"/>
      <c r="R300" s="81" t="s">
        <v>593</v>
      </c>
      <c r="S300" s="81" t="s">
        <v>593</v>
      </c>
      <c r="T300" s="81"/>
      <c r="U300" s="272">
        <f t="shared" si="56"/>
        <v>0.48099999999999998</v>
      </c>
      <c r="V300" s="272">
        <f t="shared" si="56"/>
        <v>0.48099999999999998</v>
      </c>
      <c r="W300" s="272">
        <f t="shared" si="56"/>
        <v>0.48099999999999998</v>
      </c>
      <c r="X300" s="272">
        <f t="shared" si="56"/>
        <v>0.48099999999999998</v>
      </c>
      <c r="Y300" s="272">
        <f t="shared" si="56"/>
        <v>0.48099999999999998</v>
      </c>
      <c r="Z300" s="272">
        <f t="shared" si="56"/>
        <v>0.48099999999999998</v>
      </c>
      <c r="AA300" s="272">
        <f t="shared" si="56"/>
        <v>0.48099999999999998</v>
      </c>
      <c r="AB300" s="27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998</v>
      </c>
      <c r="G301" s="78"/>
      <c r="H301" s="81" t="s">
        <v>994</v>
      </c>
      <c r="I301" s="101" t="s">
        <v>582</v>
      </c>
      <c r="J301" s="101"/>
      <c r="K301" s="102">
        <v>0.61899999999999999</v>
      </c>
      <c r="L301" s="102">
        <v>0.61899999999999999</v>
      </c>
      <c r="M301" s="102">
        <v>0.61899999999999999</v>
      </c>
      <c r="N301" s="102">
        <v>0.61899999999999999</v>
      </c>
      <c r="O301" s="102">
        <v>0.61899999999999999</v>
      </c>
      <c r="P301" s="102">
        <v>0.61899999999999999</v>
      </c>
      <c r="Q301" s="81"/>
      <c r="R301" s="81" t="s">
        <v>593</v>
      </c>
      <c r="S301" s="81" t="s">
        <v>593</v>
      </c>
      <c r="T301" s="81"/>
      <c r="U301" s="272">
        <f t="shared" si="56"/>
        <v>0.61899999999999999</v>
      </c>
      <c r="V301" s="272">
        <f t="shared" si="56"/>
        <v>0.61899999999999999</v>
      </c>
      <c r="W301" s="272">
        <f t="shared" si="56"/>
        <v>0.61899999999999999</v>
      </c>
      <c r="X301" s="272">
        <f t="shared" si="56"/>
        <v>0.61899999999999999</v>
      </c>
      <c r="Y301" s="272">
        <f t="shared" si="56"/>
        <v>0.61899999999999999</v>
      </c>
      <c r="Z301" s="272">
        <f t="shared" si="56"/>
        <v>0.61899999999999999</v>
      </c>
      <c r="AA301" s="272">
        <f t="shared" si="56"/>
        <v>0.61899999999999999</v>
      </c>
      <c r="AB301" s="27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999</v>
      </c>
      <c r="G302" s="78"/>
      <c r="H302" s="81" t="s">
        <v>1000</v>
      </c>
      <c r="I302" s="101" t="s">
        <v>988</v>
      </c>
      <c r="J302" s="101"/>
      <c r="K302" s="102">
        <v>1.41</v>
      </c>
      <c r="L302" s="102">
        <v>1.41</v>
      </c>
      <c r="M302" s="102">
        <v>1.1000000000000001</v>
      </c>
      <c r="N302" s="102">
        <v>1.1000000000000001</v>
      </c>
      <c r="O302" s="102">
        <v>1.1000000000000001</v>
      </c>
      <c r="P302" s="102">
        <v>1.1000000000000001</v>
      </c>
      <c r="Q302" s="81"/>
      <c r="R302" s="81" t="s">
        <v>593</v>
      </c>
      <c r="S302" s="81" t="s">
        <v>593</v>
      </c>
      <c r="T302" s="81"/>
      <c r="U302" s="272">
        <f t="shared" si="56"/>
        <v>1.41</v>
      </c>
      <c r="V302" s="272">
        <f t="shared" si="56"/>
        <v>1.41</v>
      </c>
      <c r="W302" s="272">
        <f t="shared" si="56"/>
        <v>1.41</v>
      </c>
      <c r="X302" s="272">
        <f t="shared" si="56"/>
        <v>1.41</v>
      </c>
      <c r="Y302" s="272">
        <f t="shared" si="56"/>
        <v>1.41</v>
      </c>
      <c r="Z302" s="272">
        <f t="shared" si="56"/>
        <v>1.41</v>
      </c>
      <c r="AA302" s="272">
        <f t="shared" si="56"/>
        <v>1.41</v>
      </c>
      <c r="AB302" s="27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1001</v>
      </c>
      <c r="G303" s="78"/>
      <c r="H303" s="81" t="s">
        <v>994</v>
      </c>
      <c r="I303" s="101" t="s">
        <v>582</v>
      </c>
      <c r="J303" s="101"/>
      <c r="K303" s="102">
        <v>0.32200000000000001</v>
      </c>
      <c r="L303" s="102">
        <v>0.32200000000000001</v>
      </c>
      <c r="M303" s="102">
        <v>0.32200000000000001</v>
      </c>
      <c r="N303" s="102">
        <v>0.32200000000000001</v>
      </c>
      <c r="O303" s="102">
        <v>0.32200000000000001</v>
      </c>
      <c r="P303" s="102">
        <v>0.32200000000000001</v>
      </c>
      <c r="Q303" s="81"/>
      <c r="R303" s="81" t="s">
        <v>1002</v>
      </c>
      <c r="S303" s="81" t="s">
        <v>593</v>
      </c>
      <c r="T303" s="81"/>
      <c r="U303" s="272">
        <f t="shared" si="56"/>
        <v>0.32200000000000001</v>
      </c>
      <c r="V303" s="272">
        <f t="shared" si="56"/>
        <v>0.32200000000000001</v>
      </c>
      <c r="W303" s="272">
        <f t="shared" si="56"/>
        <v>0.32200000000000001</v>
      </c>
      <c r="X303" s="272">
        <f t="shared" si="56"/>
        <v>0.32200000000000001</v>
      </c>
      <c r="Y303" s="272">
        <f t="shared" si="56"/>
        <v>0.32200000000000001</v>
      </c>
      <c r="Z303" s="272">
        <f t="shared" si="56"/>
        <v>0.32200000000000001</v>
      </c>
      <c r="AA303" s="272">
        <f t="shared" si="56"/>
        <v>0.32200000000000001</v>
      </c>
      <c r="AB303" s="27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1003</v>
      </c>
      <c r="G304" s="78"/>
      <c r="H304" s="81" t="s">
        <v>1004</v>
      </c>
      <c r="I304" s="101" t="s">
        <v>618</v>
      </c>
      <c r="J304" s="101"/>
      <c r="K304" s="102">
        <v>39</v>
      </c>
      <c r="L304" s="102">
        <v>39</v>
      </c>
      <c r="M304" s="102">
        <v>39</v>
      </c>
      <c r="N304" s="102">
        <v>39</v>
      </c>
      <c r="O304" s="102">
        <v>39</v>
      </c>
      <c r="P304" s="102">
        <v>39</v>
      </c>
      <c r="Q304" s="81"/>
      <c r="R304" s="81" t="s">
        <v>593</v>
      </c>
      <c r="S304" s="81" t="s">
        <v>593</v>
      </c>
      <c r="T304" s="81"/>
      <c r="U304" s="272">
        <f t="shared" si="56"/>
        <v>39</v>
      </c>
      <c r="V304" s="272">
        <f t="shared" si="56"/>
        <v>39</v>
      </c>
      <c r="W304" s="272">
        <f t="shared" si="56"/>
        <v>39</v>
      </c>
      <c r="X304" s="272">
        <f t="shared" si="56"/>
        <v>39</v>
      </c>
      <c r="Y304" s="272">
        <f t="shared" si="56"/>
        <v>39</v>
      </c>
      <c r="Z304" s="272">
        <f t="shared" si="56"/>
        <v>39</v>
      </c>
      <c r="AA304" s="272">
        <f t="shared" si="56"/>
        <v>39</v>
      </c>
      <c r="AB304" s="27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1005</v>
      </c>
      <c r="G305" s="78"/>
      <c r="H305" s="81" t="s">
        <v>1006</v>
      </c>
      <c r="I305" s="101" t="s">
        <v>1007</v>
      </c>
      <c r="J305" s="101"/>
      <c r="K305" s="102">
        <v>1.3</v>
      </c>
      <c r="L305" s="102">
        <v>1.3</v>
      </c>
      <c r="M305" s="102">
        <v>1.5</v>
      </c>
      <c r="N305" s="102">
        <v>1.5</v>
      </c>
      <c r="O305" s="102">
        <v>1.5</v>
      </c>
      <c r="P305" s="102">
        <v>1.5</v>
      </c>
      <c r="Q305" s="81"/>
      <c r="R305" s="81" t="s">
        <v>593</v>
      </c>
      <c r="S305" s="81" t="s">
        <v>593</v>
      </c>
      <c r="T305" s="81"/>
      <c r="U305" s="272">
        <f t="shared" si="56"/>
        <v>1.3</v>
      </c>
      <c r="V305" s="272">
        <f t="shared" si="56"/>
        <v>1.3</v>
      </c>
      <c r="W305" s="272">
        <f t="shared" si="56"/>
        <v>1.3</v>
      </c>
      <c r="X305" s="272">
        <f t="shared" si="56"/>
        <v>1.3</v>
      </c>
      <c r="Y305" s="272">
        <f t="shared" si="56"/>
        <v>1.3</v>
      </c>
      <c r="Z305" s="272">
        <f t="shared" si="56"/>
        <v>1.3</v>
      </c>
      <c r="AA305" s="272">
        <f t="shared" si="56"/>
        <v>1.3</v>
      </c>
      <c r="AB305" s="27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1008</v>
      </c>
      <c r="G306" s="78"/>
      <c r="H306" s="81" t="s">
        <v>1009</v>
      </c>
      <c r="I306" s="101" t="s">
        <v>618</v>
      </c>
      <c r="J306" s="101"/>
      <c r="K306" s="102">
        <v>5</v>
      </c>
      <c r="L306" s="102">
        <v>5</v>
      </c>
      <c r="M306" s="102">
        <v>5</v>
      </c>
      <c r="N306" s="102">
        <v>5</v>
      </c>
      <c r="O306" s="102">
        <v>5</v>
      </c>
      <c r="P306" s="102">
        <v>5</v>
      </c>
      <c r="Q306" s="81"/>
      <c r="R306" s="81" t="s">
        <v>593</v>
      </c>
      <c r="S306" s="81" t="s">
        <v>593</v>
      </c>
      <c r="T306" s="81"/>
      <c r="U306" s="272">
        <f t="shared" si="56"/>
        <v>5</v>
      </c>
      <c r="V306" s="272">
        <f t="shared" si="56"/>
        <v>5</v>
      </c>
      <c r="W306" s="272">
        <f t="shared" si="56"/>
        <v>5</v>
      </c>
      <c r="X306" s="272">
        <f t="shared" si="56"/>
        <v>5</v>
      </c>
      <c r="Y306" s="272">
        <f t="shared" si="56"/>
        <v>5</v>
      </c>
      <c r="Z306" s="272">
        <f t="shared" si="56"/>
        <v>5</v>
      </c>
      <c r="AA306" s="272">
        <f t="shared" si="56"/>
        <v>5</v>
      </c>
      <c r="AB306" s="27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1010</v>
      </c>
      <c r="G307" s="78"/>
      <c r="H307" s="81" t="s">
        <v>1011</v>
      </c>
      <c r="I307" s="101" t="s">
        <v>1012</v>
      </c>
      <c r="J307" s="101"/>
      <c r="K307" s="102">
        <v>0.15</v>
      </c>
      <c r="L307" s="102">
        <v>0.15</v>
      </c>
      <c r="M307" s="102">
        <v>0.15</v>
      </c>
      <c r="N307" s="102">
        <v>0.15</v>
      </c>
      <c r="O307" s="102">
        <v>0.15</v>
      </c>
      <c r="P307" s="102">
        <v>0.15</v>
      </c>
      <c r="Q307" s="81"/>
      <c r="R307" s="81" t="s">
        <v>593</v>
      </c>
      <c r="S307" s="81" t="s">
        <v>593</v>
      </c>
      <c r="T307" s="81"/>
      <c r="U307" s="272">
        <f t="shared" si="56"/>
        <v>0.15</v>
      </c>
      <c r="V307" s="272">
        <f t="shared" si="56"/>
        <v>0.15</v>
      </c>
      <c r="W307" s="272">
        <f t="shared" si="56"/>
        <v>0.15</v>
      </c>
      <c r="X307" s="272">
        <f t="shared" si="56"/>
        <v>0.15</v>
      </c>
      <c r="Y307" s="272">
        <f t="shared" si="56"/>
        <v>0.15</v>
      </c>
      <c r="Z307" s="272">
        <f t="shared" si="56"/>
        <v>0.15</v>
      </c>
      <c r="AA307" s="272">
        <f t="shared" si="56"/>
        <v>0.15</v>
      </c>
      <c r="AB307" s="27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1013</v>
      </c>
      <c r="G308" s="78"/>
      <c r="H308" s="81" t="s">
        <v>1011</v>
      </c>
      <c r="I308" s="101" t="s">
        <v>618</v>
      </c>
      <c r="J308" s="101"/>
      <c r="K308" s="102">
        <v>10</v>
      </c>
      <c r="L308" s="102">
        <v>10</v>
      </c>
      <c r="M308" s="102">
        <v>10</v>
      </c>
      <c r="N308" s="102">
        <v>10</v>
      </c>
      <c r="O308" s="102">
        <v>10</v>
      </c>
      <c r="P308" s="102">
        <v>10</v>
      </c>
      <c r="Q308" s="81"/>
      <c r="R308" s="81" t="s">
        <v>593</v>
      </c>
      <c r="S308" s="81" t="s">
        <v>593</v>
      </c>
      <c r="T308" s="81"/>
      <c r="U308" s="272">
        <f t="shared" si="56"/>
        <v>10</v>
      </c>
      <c r="V308" s="272">
        <f t="shared" si="56"/>
        <v>10</v>
      </c>
      <c r="W308" s="272">
        <f t="shared" si="56"/>
        <v>10</v>
      </c>
      <c r="X308" s="272">
        <f t="shared" si="56"/>
        <v>10</v>
      </c>
      <c r="Y308" s="272">
        <f t="shared" si="56"/>
        <v>10</v>
      </c>
      <c r="Z308" s="272">
        <f t="shared" si="56"/>
        <v>10</v>
      </c>
      <c r="AA308" s="272">
        <f t="shared" si="56"/>
        <v>10</v>
      </c>
      <c r="AB308" s="27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1014</v>
      </c>
      <c r="G309" s="78"/>
      <c r="H309" s="81" t="s">
        <v>1015</v>
      </c>
      <c r="I309" s="101" t="s">
        <v>1016</v>
      </c>
      <c r="J309" s="101"/>
      <c r="K309" s="102">
        <v>0.38</v>
      </c>
      <c r="L309" s="102">
        <v>0.38</v>
      </c>
      <c r="M309" s="102">
        <v>0.38</v>
      </c>
      <c r="N309" s="102">
        <v>0.38</v>
      </c>
      <c r="O309" s="102">
        <v>0.38</v>
      </c>
      <c r="P309" s="102">
        <v>0.38</v>
      </c>
      <c r="Q309" s="81"/>
      <c r="R309" s="81" t="s">
        <v>593</v>
      </c>
      <c r="S309" s="81" t="s">
        <v>593</v>
      </c>
      <c r="T309" s="81"/>
      <c r="U309" s="272">
        <f t="shared" si="56"/>
        <v>0.38</v>
      </c>
      <c r="V309" s="272">
        <f t="shared" si="56"/>
        <v>0.38</v>
      </c>
      <c r="W309" s="272">
        <f t="shared" si="56"/>
        <v>0.38</v>
      </c>
      <c r="X309" s="272">
        <f t="shared" si="56"/>
        <v>0.38</v>
      </c>
      <c r="Y309" s="272">
        <f t="shared" si="56"/>
        <v>0.38</v>
      </c>
      <c r="Z309" s="272">
        <f t="shared" si="56"/>
        <v>0.38</v>
      </c>
      <c r="AA309" s="272">
        <f t="shared" si="56"/>
        <v>0.38</v>
      </c>
      <c r="AB309" s="27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275" t="s">
        <v>1017</v>
      </c>
      <c r="G310" s="78"/>
      <c r="H310" s="265" t="s">
        <v>1018</v>
      </c>
      <c r="I310" s="101"/>
      <c r="J310" s="101" t="s">
        <v>600</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1019</v>
      </c>
      <c r="F311" s="73" t="s">
        <v>1020</v>
      </c>
      <c r="G311" s="78"/>
      <c r="H311" s="81" t="s">
        <v>575</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1021</v>
      </c>
      <c r="G312" s="78"/>
      <c r="H312" s="81" t="s">
        <v>1022</v>
      </c>
      <c r="I312" s="101" t="s">
        <v>655</v>
      </c>
      <c r="J312" s="101"/>
      <c r="K312" s="102">
        <v>0.6</v>
      </c>
      <c r="L312" s="102">
        <v>0.6</v>
      </c>
      <c r="M312" s="102">
        <v>0.6</v>
      </c>
      <c r="N312" s="102">
        <v>0.6</v>
      </c>
      <c r="O312" s="102">
        <v>0.6</v>
      </c>
      <c r="P312" s="102">
        <v>0.6</v>
      </c>
      <c r="Q312" s="81"/>
      <c r="R312" s="81" t="s">
        <v>593</v>
      </c>
      <c r="S312" s="81" t="s">
        <v>593</v>
      </c>
      <c r="T312" s="81"/>
      <c r="U312" s="272">
        <f t="shared" ref="U312:AB326" si="58">INDEX($K312:$Q312,1,U$54)</f>
        <v>0.6</v>
      </c>
      <c r="V312" s="272">
        <f t="shared" si="58"/>
        <v>0.6</v>
      </c>
      <c r="W312" s="272">
        <f t="shared" si="58"/>
        <v>0.6</v>
      </c>
      <c r="X312" s="272">
        <f t="shared" si="58"/>
        <v>0.6</v>
      </c>
      <c r="Y312" s="272">
        <f t="shared" si="58"/>
        <v>0.6</v>
      </c>
      <c r="Z312" s="272">
        <f t="shared" si="58"/>
        <v>0.6</v>
      </c>
      <c r="AA312" s="272">
        <f t="shared" si="58"/>
        <v>0.6</v>
      </c>
      <c r="AB312" s="27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1023</v>
      </c>
      <c r="G313" s="78"/>
      <c r="H313" s="81" t="s">
        <v>1024</v>
      </c>
      <c r="I313" s="101" t="s">
        <v>655</v>
      </c>
      <c r="J313" s="101"/>
      <c r="K313" s="102">
        <v>0.7</v>
      </c>
      <c r="L313" s="102">
        <v>0.7</v>
      </c>
      <c r="M313" s="102">
        <v>0.7</v>
      </c>
      <c r="N313" s="102">
        <v>0.7</v>
      </c>
      <c r="O313" s="102">
        <v>0.7</v>
      </c>
      <c r="P313" s="102">
        <v>0.7</v>
      </c>
      <c r="Q313" s="81"/>
      <c r="R313" s="81" t="s">
        <v>593</v>
      </c>
      <c r="S313" s="81" t="s">
        <v>593</v>
      </c>
      <c r="T313" s="81"/>
      <c r="U313" s="272">
        <f t="shared" si="58"/>
        <v>0.7</v>
      </c>
      <c r="V313" s="272">
        <f t="shared" si="58"/>
        <v>0.7</v>
      </c>
      <c r="W313" s="272">
        <f t="shared" si="58"/>
        <v>0.7</v>
      </c>
      <c r="X313" s="272">
        <f t="shared" si="58"/>
        <v>0.7</v>
      </c>
      <c r="Y313" s="272">
        <f t="shared" si="58"/>
        <v>0.7</v>
      </c>
      <c r="Z313" s="272">
        <f t="shared" si="58"/>
        <v>0.7</v>
      </c>
      <c r="AA313" s="272">
        <f t="shared" si="58"/>
        <v>0.7</v>
      </c>
      <c r="AB313" s="27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1025</v>
      </c>
      <c r="G314" s="78"/>
      <c r="H314" s="81" t="s">
        <v>1026</v>
      </c>
      <c r="I314" s="101" t="s">
        <v>655</v>
      </c>
      <c r="J314" s="101"/>
      <c r="K314" s="102">
        <v>0.8</v>
      </c>
      <c r="L314" s="102">
        <v>0.8</v>
      </c>
      <c r="M314" s="102">
        <v>0.8</v>
      </c>
      <c r="N314" s="102">
        <v>0.8</v>
      </c>
      <c r="O314" s="102">
        <v>0.8</v>
      </c>
      <c r="P314" s="102">
        <v>0.8</v>
      </c>
      <c r="Q314" s="81"/>
      <c r="R314" s="81" t="s">
        <v>593</v>
      </c>
      <c r="S314" s="81" t="s">
        <v>593</v>
      </c>
      <c r="T314" s="81"/>
      <c r="U314" s="272">
        <f t="shared" si="58"/>
        <v>0.8</v>
      </c>
      <c r="V314" s="272">
        <f t="shared" si="58"/>
        <v>0.8</v>
      </c>
      <c r="W314" s="272">
        <f t="shared" si="58"/>
        <v>0.8</v>
      </c>
      <c r="X314" s="272">
        <f t="shared" si="58"/>
        <v>0.8</v>
      </c>
      <c r="Y314" s="272">
        <f t="shared" si="58"/>
        <v>0.8</v>
      </c>
      <c r="Z314" s="272">
        <f t="shared" si="58"/>
        <v>0.8</v>
      </c>
      <c r="AA314" s="272">
        <f t="shared" si="58"/>
        <v>0.8</v>
      </c>
      <c r="AB314" s="27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1027</v>
      </c>
      <c r="G315" s="78"/>
      <c r="H315" s="81" t="s">
        <v>1028</v>
      </c>
      <c r="I315" s="101" t="s">
        <v>582</v>
      </c>
      <c r="J315" s="101"/>
      <c r="K315" s="102">
        <v>6</v>
      </c>
      <c r="L315" s="102">
        <v>6</v>
      </c>
      <c r="M315" s="102">
        <v>6</v>
      </c>
      <c r="N315" s="102">
        <v>6</v>
      </c>
      <c r="O315" s="102">
        <v>6</v>
      </c>
      <c r="P315" s="102">
        <v>6</v>
      </c>
      <c r="Q315" s="81"/>
      <c r="R315" s="81" t="s">
        <v>593</v>
      </c>
      <c r="S315" s="81" t="s">
        <v>593</v>
      </c>
      <c r="T315" s="81"/>
      <c r="U315" s="272">
        <f t="shared" si="58"/>
        <v>6</v>
      </c>
      <c r="V315" s="272">
        <f t="shared" si="58"/>
        <v>6</v>
      </c>
      <c r="W315" s="272">
        <f t="shared" si="58"/>
        <v>6</v>
      </c>
      <c r="X315" s="272">
        <f t="shared" si="58"/>
        <v>6</v>
      </c>
      <c r="Y315" s="272">
        <f t="shared" si="58"/>
        <v>6</v>
      </c>
      <c r="Z315" s="272">
        <f t="shared" si="58"/>
        <v>6</v>
      </c>
      <c r="AA315" s="272">
        <f t="shared" si="58"/>
        <v>6</v>
      </c>
      <c r="AB315" s="27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1029</v>
      </c>
      <c r="G316" s="78"/>
      <c r="H316" s="81" t="s">
        <v>1030</v>
      </c>
      <c r="I316" s="101" t="s">
        <v>582</v>
      </c>
      <c r="J316" s="101"/>
      <c r="K316" s="102">
        <v>0.4</v>
      </c>
      <c r="L316" s="102">
        <v>0.4</v>
      </c>
      <c r="M316" s="102">
        <v>0.4</v>
      </c>
      <c r="N316" s="102">
        <v>0.4</v>
      </c>
      <c r="O316" s="102">
        <v>0.4</v>
      </c>
      <c r="P316" s="102">
        <v>0.4</v>
      </c>
      <c r="Q316" s="81"/>
      <c r="R316" s="81" t="s">
        <v>593</v>
      </c>
      <c r="S316" s="81" t="s">
        <v>593</v>
      </c>
      <c r="T316" s="81"/>
      <c r="U316" s="272">
        <f t="shared" si="58"/>
        <v>0.4</v>
      </c>
      <c r="V316" s="272">
        <f t="shared" si="58"/>
        <v>0.4</v>
      </c>
      <c r="W316" s="272">
        <f t="shared" si="58"/>
        <v>0.4</v>
      </c>
      <c r="X316" s="272">
        <f t="shared" si="58"/>
        <v>0.4</v>
      </c>
      <c r="Y316" s="272">
        <f t="shared" si="58"/>
        <v>0.4</v>
      </c>
      <c r="Z316" s="272">
        <f t="shared" si="58"/>
        <v>0.4</v>
      </c>
      <c r="AA316" s="272">
        <f t="shared" si="58"/>
        <v>0.4</v>
      </c>
      <c r="AB316" s="27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1031</v>
      </c>
      <c r="G317" s="78"/>
      <c r="H317" s="81" t="s">
        <v>1032</v>
      </c>
      <c r="I317" s="101" t="s">
        <v>676</v>
      </c>
      <c r="J317" s="101"/>
      <c r="K317" s="102">
        <v>0.9</v>
      </c>
      <c r="L317" s="102">
        <v>0.9</v>
      </c>
      <c r="M317" s="102">
        <v>0.9</v>
      </c>
      <c r="N317" s="102">
        <v>0.9</v>
      </c>
      <c r="O317" s="102">
        <v>0.9</v>
      </c>
      <c r="P317" s="102">
        <v>0.9</v>
      </c>
      <c r="Q317" s="81"/>
      <c r="R317" s="81" t="s">
        <v>593</v>
      </c>
      <c r="S317" s="81" t="s">
        <v>593</v>
      </c>
      <c r="T317" s="81"/>
      <c r="U317" s="272">
        <f t="shared" si="58"/>
        <v>0.9</v>
      </c>
      <c r="V317" s="272">
        <f t="shared" si="58"/>
        <v>0.9</v>
      </c>
      <c r="W317" s="272">
        <f t="shared" si="58"/>
        <v>0.9</v>
      </c>
      <c r="X317" s="272">
        <f t="shared" si="58"/>
        <v>0.9</v>
      </c>
      <c r="Y317" s="272">
        <f t="shared" si="58"/>
        <v>0.9</v>
      </c>
      <c r="Z317" s="272">
        <f t="shared" si="58"/>
        <v>0.9</v>
      </c>
      <c r="AA317" s="272">
        <f t="shared" si="58"/>
        <v>0.9</v>
      </c>
      <c r="AB317" s="27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1033</v>
      </c>
      <c r="G318" s="78"/>
      <c r="H318" s="81" t="s">
        <v>1034</v>
      </c>
      <c r="I318" s="101" t="s">
        <v>676</v>
      </c>
      <c r="J318" s="101"/>
      <c r="K318" s="102">
        <v>0.97</v>
      </c>
      <c r="L318" s="102">
        <v>0.97</v>
      </c>
      <c r="M318" s="102">
        <v>0.97</v>
      </c>
      <c r="N318" s="102">
        <v>0.97</v>
      </c>
      <c r="O318" s="102">
        <v>0.97</v>
      </c>
      <c r="P318" s="102">
        <v>0.97</v>
      </c>
      <c r="Q318" s="81"/>
      <c r="R318" s="81" t="s">
        <v>593</v>
      </c>
      <c r="S318" s="81" t="s">
        <v>593</v>
      </c>
      <c r="T318" s="81"/>
      <c r="U318" s="272">
        <f t="shared" si="58"/>
        <v>0.97</v>
      </c>
      <c r="V318" s="272">
        <f t="shared" si="58"/>
        <v>0.97</v>
      </c>
      <c r="W318" s="272">
        <f t="shared" si="58"/>
        <v>0.97</v>
      </c>
      <c r="X318" s="272">
        <f t="shared" si="58"/>
        <v>0.97</v>
      </c>
      <c r="Y318" s="272">
        <f t="shared" si="58"/>
        <v>0.97</v>
      </c>
      <c r="Z318" s="272">
        <f t="shared" si="58"/>
        <v>0.97</v>
      </c>
      <c r="AA318" s="272">
        <f t="shared" si="58"/>
        <v>0.97</v>
      </c>
      <c r="AB318" s="27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1035</v>
      </c>
      <c r="G319" s="78"/>
      <c r="H319" s="81" t="s">
        <v>1036</v>
      </c>
      <c r="I319" s="101" t="s">
        <v>605</v>
      </c>
      <c r="J319" s="101"/>
      <c r="K319" s="102">
        <v>27</v>
      </c>
      <c r="L319" s="102">
        <v>27</v>
      </c>
      <c r="M319" s="102">
        <v>27</v>
      </c>
      <c r="N319" s="102">
        <v>23.2</v>
      </c>
      <c r="O319" s="102">
        <v>23.2</v>
      </c>
      <c r="P319" s="102">
        <v>27</v>
      </c>
      <c r="Q319" s="81"/>
      <c r="R319" s="81" t="s">
        <v>593</v>
      </c>
      <c r="S319" s="81" t="s">
        <v>593</v>
      </c>
      <c r="T319" s="81"/>
      <c r="U319" s="272">
        <f t="shared" si="58"/>
        <v>27</v>
      </c>
      <c r="V319" s="272">
        <f t="shared" si="58"/>
        <v>27</v>
      </c>
      <c r="W319" s="272">
        <f t="shared" si="58"/>
        <v>27</v>
      </c>
      <c r="X319" s="272">
        <f t="shared" si="58"/>
        <v>27</v>
      </c>
      <c r="Y319" s="421">
        <f>INDEX($K319:$Q319,1,Y$54)-(20.3-11)</f>
        <v>17.7</v>
      </c>
      <c r="Z319" s="422">
        <f t="shared" si="58"/>
        <v>27</v>
      </c>
      <c r="AA319" s="422">
        <f t="shared" si="58"/>
        <v>27</v>
      </c>
      <c r="AB319" s="421">
        <f>INDEX($K319:$Q319,1,AB$54)-(20.3-11)</f>
        <v>17.7</v>
      </c>
      <c r="AC319" s="343"/>
      <c r="AD319" s="102" t="s">
        <v>2557</v>
      </c>
      <c r="AE319" s="81"/>
      <c r="AF319" s="102">
        <v>1</v>
      </c>
      <c r="AG319" s="102">
        <v>1</v>
      </c>
      <c r="AH319" s="78"/>
      <c r="AI319" s="60"/>
      <c r="AJ319" s="48"/>
      <c r="AK319" s="48"/>
      <c r="AL319" s="48"/>
    </row>
    <row r="320" spans="1:38" outlineLevel="2" x14ac:dyDescent="0.25">
      <c r="A320" s="48"/>
      <c r="B320" s="57"/>
      <c r="C320" s="50">
        <f t="shared" si="57"/>
        <v>3</v>
      </c>
      <c r="D320" s="78"/>
      <c r="E320" s="73"/>
      <c r="F320" s="73" t="s">
        <v>1037</v>
      </c>
      <c r="G320" s="78"/>
      <c r="H320" s="81" t="s">
        <v>1038</v>
      </c>
      <c r="I320" s="101" t="s">
        <v>676</v>
      </c>
      <c r="J320" s="101"/>
      <c r="K320" s="102">
        <v>20.3</v>
      </c>
      <c r="L320" s="102">
        <v>20.3</v>
      </c>
      <c r="M320" s="102">
        <v>20.3</v>
      </c>
      <c r="N320" s="102">
        <v>16.5</v>
      </c>
      <c r="O320" s="102">
        <v>16.5</v>
      </c>
      <c r="P320" s="102">
        <v>20.3</v>
      </c>
      <c r="Q320" s="81"/>
      <c r="R320" s="81" t="s">
        <v>593</v>
      </c>
      <c r="S320" s="81" t="s">
        <v>593</v>
      </c>
      <c r="T320" s="81"/>
      <c r="U320" s="272">
        <f t="shared" si="58"/>
        <v>20.3</v>
      </c>
      <c r="V320" s="272">
        <f t="shared" si="58"/>
        <v>20.3</v>
      </c>
      <c r="W320" s="272">
        <f t="shared" si="58"/>
        <v>20.3</v>
      </c>
      <c r="X320" s="272">
        <f t="shared" si="58"/>
        <v>20.3</v>
      </c>
      <c r="Y320" s="421">
        <v>11</v>
      </c>
      <c r="Z320" s="422">
        <f t="shared" si="58"/>
        <v>20.3</v>
      </c>
      <c r="AA320" s="422">
        <f t="shared" si="58"/>
        <v>20.3</v>
      </c>
      <c r="AB320" s="421">
        <v>11</v>
      </c>
      <c r="AC320" s="343"/>
      <c r="AD320" s="102" t="s">
        <v>2557</v>
      </c>
      <c r="AE320" s="81"/>
      <c r="AF320" s="102">
        <v>1</v>
      </c>
      <c r="AG320" s="102">
        <v>1</v>
      </c>
      <c r="AH320" s="78"/>
      <c r="AI320" s="60"/>
      <c r="AJ320" s="48"/>
      <c r="AK320" s="48"/>
      <c r="AL320" s="48"/>
    </row>
    <row r="321" spans="1:38" outlineLevel="2" x14ac:dyDescent="0.25">
      <c r="A321" s="48"/>
      <c r="B321" s="57"/>
      <c r="C321" s="50">
        <f t="shared" si="57"/>
        <v>3</v>
      </c>
      <c r="D321" s="78"/>
      <c r="E321" s="73"/>
      <c r="F321" s="73" t="s">
        <v>1039</v>
      </c>
      <c r="G321" s="78"/>
      <c r="H321" s="81" t="s">
        <v>1040</v>
      </c>
      <c r="I321" s="101" t="s">
        <v>605</v>
      </c>
      <c r="J321" s="101"/>
      <c r="K321" s="102">
        <v>2</v>
      </c>
      <c r="L321" s="102">
        <v>2</v>
      </c>
      <c r="M321" s="102">
        <v>2</v>
      </c>
      <c r="N321" s="102">
        <v>2</v>
      </c>
      <c r="O321" s="102">
        <v>2</v>
      </c>
      <c r="P321" s="102">
        <v>2</v>
      </c>
      <c r="Q321" s="81"/>
      <c r="R321" s="81" t="s">
        <v>593</v>
      </c>
      <c r="S321" s="81" t="s">
        <v>593</v>
      </c>
      <c r="T321" s="81"/>
      <c r="U321" s="272">
        <f t="shared" si="58"/>
        <v>2</v>
      </c>
      <c r="V321" s="272">
        <f t="shared" si="58"/>
        <v>2</v>
      </c>
      <c r="W321" s="272">
        <f t="shared" si="58"/>
        <v>2</v>
      </c>
      <c r="X321" s="272">
        <f t="shared" si="58"/>
        <v>2</v>
      </c>
      <c r="Y321" s="272">
        <f t="shared" si="58"/>
        <v>2</v>
      </c>
      <c r="Z321" s="272">
        <f t="shared" si="58"/>
        <v>2</v>
      </c>
      <c r="AA321" s="272">
        <f t="shared" si="58"/>
        <v>2</v>
      </c>
      <c r="AB321" s="27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1041</v>
      </c>
      <c r="G322" s="78"/>
      <c r="H322" s="81" t="s">
        <v>1042</v>
      </c>
      <c r="I322" s="101" t="s">
        <v>582</v>
      </c>
      <c r="J322" s="101"/>
      <c r="K322" s="102">
        <v>13.8</v>
      </c>
      <c r="L322" s="102">
        <v>13.8</v>
      </c>
      <c r="M322" s="102">
        <v>13.8</v>
      </c>
      <c r="N322" s="102">
        <v>13.8</v>
      </c>
      <c r="O322" s="102">
        <v>13.8</v>
      </c>
      <c r="P322" s="102">
        <v>13.8</v>
      </c>
      <c r="Q322" s="81"/>
      <c r="R322" s="81" t="s">
        <v>631</v>
      </c>
      <c r="S322" s="81" t="s">
        <v>631</v>
      </c>
      <c r="T322" s="81"/>
      <c r="U322" s="272">
        <f t="shared" si="58"/>
        <v>13.8</v>
      </c>
      <c r="V322" s="272">
        <f t="shared" si="58"/>
        <v>13.8</v>
      </c>
      <c r="W322" s="272">
        <f t="shared" si="58"/>
        <v>13.8</v>
      </c>
      <c r="X322" s="272">
        <f t="shared" si="58"/>
        <v>13.8</v>
      </c>
      <c r="Y322" s="272">
        <f t="shared" si="58"/>
        <v>13.8</v>
      </c>
      <c r="Z322" s="272">
        <f t="shared" si="58"/>
        <v>13.8</v>
      </c>
      <c r="AA322" s="272">
        <f t="shared" si="58"/>
        <v>13.8</v>
      </c>
      <c r="AB322" s="27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1043</v>
      </c>
      <c r="G323" s="78"/>
      <c r="H323" s="81" t="s">
        <v>1044</v>
      </c>
      <c r="I323" s="101" t="s">
        <v>582</v>
      </c>
      <c r="J323" s="101"/>
      <c r="K323" s="102">
        <v>7.1999999999999995E-2</v>
      </c>
      <c r="L323" s="102">
        <v>7.1999999999999995E-2</v>
      </c>
      <c r="M323" s="102">
        <v>7.1999999999999995E-2</v>
      </c>
      <c r="N323" s="102">
        <v>9.1999999999999998E-2</v>
      </c>
      <c r="O323" s="102">
        <v>9.1999999999999998E-2</v>
      </c>
      <c r="P323" s="102">
        <v>7.1999999999999995E-2</v>
      </c>
      <c r="Q323" s="81"/>
      <c r="R323" s="81" t="s">
        <v>631</v>
      </c>
      <c r="S323" s="81" t="s">
        <v>631</v>
      </c>
      <c r="T323" s="81"/>
      <c r="U323" s="272">
        <f t="shared" si="58"/>
        <v>7.1999999999999995E-2</v>
      </c>
      <c r="V323" s="272">
        <f t="shared" si="58"/>
        <v>7.1999999999999995E-2</v>
      </c>
      <c r="W323" s="272">
        <f t="shared" si="58"/>
        <v>7.1999999999999995E-2</v>
      </c>
      <c r="X323" s="272">
        <f t="shared" si="58"/>
        <v>7.1999999999999995E-2</v>
      </c>
      <c r="Y323" s="272">
        <f t="shared" si="58"/>
        <v>7.1999999999999995E-2</v>
      </c>
      <c r="Z323" s="272">
        <f t="shared" si="58"/>
        <v>7.1999999999999995E-2</v>
      </c>
      <c r="AA323" s="272">
        <f t="shared" si="58"/>
        <v>7.1999999999999995E-2</v>
      </c>
      <c r="AB323" s="27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1045</v>
      </c>
      <c r="G324" s="78"/>
      <c r="H324" s="81" t="s">
        <v>1046</v>
      </c>
      <c r="I324" s="101" t="s">
        <v>582</v>
      </c>
      <c r="J324" s="101"/>
      <c r="K324" s="102">
        <v>0.14000000000000001</v>
      </c>
      <c r="L324" s="102">
        <v>0.14000000000000001</v>
      </c>
      <c r="M324" s="102">
        <v>0.14000000000000001</v>
      </c>
      <c r="N324" s="102">
        <v>0.12</v>
      </c>
      <c r="O324" s="102">
        <v>0.12</v>
      </c>
      <c r="P324" s="102">
        <v>0.14000000000000001</v>
      </c>
      <c r="Q324" s="81"/>
      <c r="R324" s="81" t="s">
        <v>593</v>
      </c>
      <c r="S324" s="81" t="s">
        <v>593</v>
      </c>
      <c r="T324" s="81"/>
      <c r="U324" s="272">
        <f t="shared" si="58"/>
        <v>0.14000000000000001</v>
      </c>
      <c r="V324" s="272">
        <f t="shared" si="58"/>
        <v>0.14000000000000001</v>
      </c>
      <c r="W324" s="272">
        <f t="shared" si="58"/>
        <v>0.14000000000000001</v>
      </c>
      <c r="X324" s="272">
        <f t="shared" si="58"/>
        <v>0.14000000000000001</v>
      </c>
      <c r="Y324" s="272">
        <f t="shared" si="58"/>
        <v>0.14000000000000001</v>
      </c>
      <c r="Z324" s="272">
        <f t="shared" si="58"/>
        <v>0.14000000000000001</v>
      </c>
      <c r="AA324" s="272">
        <f t="shared" si="58"/>
        <v>0.14000000000000001</v>
      </c>
      <c r="AB324" s="27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1047</v>
      </c>
      <c r="G325" s="78"/>
      <c r="H325" s="81" t="s">
        <v>1048</v>
      </c>
      <c r="I325" s="101" t="s">
        <v>582</v>
      </c>
      <c r="J325" s="101"/>
      <c r="K325" s="102">
        <v>8.0000000000000002E-3</v>
      </c>
      <c r="L325" s="102">
        <v>8.0000000000000002E-3</v>
      </c>
      <c r="M325" s="102">
        <v>8.0000000000000002E-3</v>
      </c>
      <c r="N325" s="102">
        <v>8.0000000000000002E-3</v>
      </c>
      <c r="O325" s="102">
        <v>8.0000000000000002E-3</v>
      </c>
      <c r="P325" s="102">
        <v>8.0000000000000002E-3</v>
      </c>
      <c r="Q325" s="81"/>
      <c r="R325" s="81" t="s">
        <v>593</v>
      </c>
      <c r="S325" s="81" t="s">
        <v>593</v>
      </c>
      <c r="T325" s="81"/>
      <c r="U325" s="272">
        <f t="shared" si="58"/>
        <v>8.0000000000000002E-3</v>
      </c>
      <c r="V325" s="272">
        <f t="shared" si="58"/>
        <v>8.0000000000000002E-3</v>
      </c>
      <c r="W325" s="272">
        <f t="shared" si="58"/>
        <v>8.0000000000000002E-3</v>
      </c>
      <c r="X325" s="272">
        <f t="shared" si="58"/>
        <v>8.0000000000000002E-3</v>
      </c>
      <c r="Y325" s="272">
        <f t="shared" si="58"/>
        <v>8.0000000000000002E-3</v>
      </c>
      <c r="Z325" s="272">
        <f t="shared" si="58"/>
        <v>8.0000000000000002E-3</v>
      </c>
      <c r="AA325" s="272">
        <f t="shared" si="58"/>
        <v>8.0000000000000002E-3</v>
      </c>
      <c r="AB325" s="27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1049</v>
      </c>
      <c r="G326" s="78"/>
      <c r="H326" s="81" t="s">
        <v>1050</v>
      </c>
      <c r="I326" s="101" t="s">
        <v>582</v>
      </c>
      <c r="J326" s="101"/>
      <c r="K326" s="102">
        <v>0.115</v>
      </c>
      <c r="L326" s="102">
        <v>0.115</v>
      </c>
      <c r="M326" s="102">
        <v>0.115</v>
      </c>
      <c r="N326" s="102">
        <v>0.115</v>
      </c>
      <c r="O326" s="102">
        <v>0.115</v>
      </c>
      <c r="P326" s="102">
        <v>0.115</v>
      </c>
      <c r="Q326" s="81"/>
      <c r="R326" s="81" t="s">
        <v>593</v>
      </c>
      <c r="S326" s="81" t="s">
        <v>593</v>
      </c>
      <c r="T326" s="81"/>
      <c r="U326" s="272">
        <f t="shared" si="58"/>
        <v>0.115</v>
      </c>
      <c r="V326" s="272">
        <f t="shared" si="58"/>
        <v>0.115</v>
      </c>
      <c r="W326" s="272">
        <f t="shared" si="58"/>
        <v>0.115</v>
      </c>
      <c r="X326" s="272">
        <f t="shared" si="58"/>
        <v>0.115</v>
      </c>
      <c r="Y326" s="272">
        <f t="shared" si="58"/>
        <v>0.115</v>
      </c>
      <c r="Z326" s="272">
        <f t="shared" si="58"/>
        <v>0.115</v>
      </c>
      <c r="AA326" s="272">
        <f t="shared" si="58"/>
        <v>0.115</v>
      </c>
      <c r="AB326" s="27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1051</v>
      </c>
      <c r="G327" s="78"/>
      <c r="H327" s="81" t="s">
        <v>637</v>
      </c>
      <c r="I327" s="101" t="s">
        <v>582</v>
      </c>
      <c r="J327" s="101"/>
      <c r="K327" s="81"/>
      <c r="L327" s="81"/>
      <c r="M327" s="81"/>
      <c r="N327" s="81"/>
      <c r="O327" s="81"/>
      <c r="P327" s="81"/>
      <c r="Q327" s="81"/>
      <c r="R327" s="81" t="s">
        <v>593</v>
      </c>
      <c r="S327" s="81" t="s">
        <v>593</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1052</v>
      </c>
      <c r="G328" s="78"/>
      <c r="H328" s="81" t="s">
        <v>637</v>
      </c>
      <c r="I328" s="101" t="s">
        <v>582</v>
      </c>
      <c r="J328" s="101"/>
      <c r="K328" s="81"/>
      <c r="L328" s="81"/>
      <c r="M328" s="81"/>
      <c r="N328" s="81"/>
      <c r="O328" s="81"/>
      <c r="P328" s="81"/>
      <c r="Q328" s="81"/>
      <c r="R328" s="81" t="s">
        <v>593</v>
      </c>
      <c r="S328" s="81" t="s">
        <v>593</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1053</v>
      </c>
      <c r="G329" s="78"/>
      <c r="H329" s="81" t="s">
        <v>1054</v>
      </c>
      <c r="I329" s="101" t="s">
        <v>582</v>
      </c>
      <c r="J329" s="101"/>
      <c r="K329" s="102">
        <v>1.0900000000000001</v>
      </c>
      <c r="L329" s="102">
        <v>1.0900000000000001</v>
      </c>
      <c r="M329" s="102">
        <v>1.0900000000000001</v>
      </c>
      <c r="N329" s="102">
        <v>1.0900000000000001</v>
      </c>
      <c r="O329" s="102">
        <v>1.0900000000000001</v>
      </c>
      <c r="P329" s="102">
        <v>1.0900000000000001</v>
      </c>
      <c r="Q329" s="81"/>
      <c r="R329" s="81" t="s">
        <v>593</v>
      </c>
      <c r="S329" s="81" t="s">
        <v>593</v>
      </c>
      <c r="T329" s="81"/>
      <c r="U329" s="272">
        <f t="shared" ref="U329:AB333" si="59">INDEX($K329:$Q329,1,U$54)</f>
        <v>1.0900000000000001</v>
      </c>
      <c r="V329" s="272">
        <f t="shared" si="59"/>
        <v>1.0900000000000001</v>
      </c>
      <c r="W329" s="272">
        <f t="shared" si="59"/>
        <v>1.0900000000000001</v>
      </c>
      <c r="X329" s="272">
        <f t="shared" si="59"/>
        <v>1.0900000000000001</v>
      </c>
      <c r="Y329" s="272">
        <f t="shared" si="59"/>
        <v>1.0900000000000001</v>
      </c>
      <c r="Z329" s="272">
        <f t="shared" si="59"/>
        <v>1.0900000000000001</v>
      </c>
      <c r="AA329" s="272">
        <f t="shared" si="59"/>
        <v>1.0900000000000001</v>
      </c>
      <c r="AB329" s="27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1055</v>
      </c>
      <c r="G330" s="78"/>
      <c r="H330" s="81" t="s">
        <v>1056</v>
      </c>
      <c r="I330" s="101" t="s">
        <v>582</v>
      </c>
      <c r="J330" s="101"/>
      <c r="K330" s="102">
        <v>0.21</v>
      </c>
      <c r="L330" s="102">
        <v>0.21</v>
      </c>
      <c r="M330" s="102">
        <v>0.21</v>
      </c>
      <c r="N330" s="102">
        <v>0.21</v>
      </c>
      <c r="O330" s="102">
        <v>0.21</v>
      </c>
      <c r="P330" s="102">
        <v>0.21</v>
      </c>
      <c r="Q330" s="81"/>
      <c r="R330" s="81" t="s">
        <v>1057</v>
      </c>
      <c r="S330" s="81" t="s">
        <v>1058</v>
      </c>
      <c r="T330" s="81"/>
      <c r="U330" s="272">
        <f t="shared" si="59"/>
        <v>0.21</v>
      </c>
      <c r="V330" s="272">
        <f t="shared" si="59"/>
        <v>0.21</v>
      </c>
      <c r="W330" s="272">
        <f t="shared" si="59"/>
        <v>0.21</v>
      </c>
      <c r="X330" s="272">
        <f t="shared" si="59"/>
        <v>0.21</v>
      </c>
      <c r="Y330" s="272">
        <f t="shared" si="59"/>
        <v>0.21</v>
      </c>
      <c r="Z330" s="272">
        <f t="shared" si="59"/>
        <v>0.21</v>
      </c>
      <c r="AA330" s="272">
        <f t="shared" si="59"/>
        <v>0.21</v>
      </c>
      <c r="AB330" s="27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1059</v>
      </c>
      <c r="G331" s="78"/>
      <c r="H331" s="81" t="s">
        <v>1060</v>
      </c>
      <c r="I331" s="101" t="s">
        <v>582</v>
      </c>
      <c r="J331" s="101"/>
      <c r="K331" s="102">
        <v>0.9</v>
      </c>
      <c r="L331" s="102">
        <v>0.9</v>
      </c>
      <c r="M331" s="102">
        <v>0.9</v>
      </c>
      <c r="N331" s="102">
        <v>0.9</v>
      </c>
      <c r="O331" s="102">
        <v>0.9</v>
      </c>
      <c r="P331" s="102">
        <v>0.9</v>
      </c>
      <c r="Q331" s="81"/>
      <c r="R331" s="81" t="s">
        <v>1061</v>
      </c>
      <c r="S331" s="81" t="s">
        <v>1062</v>
      </c>
      <c r="T331" s="81"/>
      <c r="U331" s="272">
        <f t="shared" si="59"/>
        <v>0.9</v>
      </c>
      <c r="V331" s="272">
        <f t="shared" si="59"/>
        <v>0.9</v>
      </c>
      <c r="W331" s="272">
        <f t="shared" si="59"/>
        <v>0.9</v>
      </c>
      <c r="X331" s="272">
        <f t="shared" si="59"/>
        <v>0.9</v>
      </c>
      <c r="Y331" s="272">
        <f t="shared" si="59"/>
        <v>0.9</v>
      </c>
      <c r="Z331" s="272">
        <f t="shared" si="59"/>
        <v>0.9</v>
      </c>
      <c r="AA331" s="272">
        <f t="shared" si="59"/>
        <v>0.9</v>
      </c>
      <c r="AB331" s="27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1063</v>
      </c>
      <c r="G332" s="78"/>
      <c r="H332" s="81" t="s">
        <v>1064</v>
      </c>
      <c r="I332" s="101" t="s">
        <v>2412</v>
      </c>
      <c r="J332" s="101"/>
      <c r="K332" s="102">
        <v>23.8</v>
      </c>
      <c r="L332" s="102">
        <v>23.8</v>
      </c>
      <c r="M332" s="102">
        <v>23.8</v>
      </c>
      <c r="N332" s="102">
        <v>23.8</v>
      </c>
      <c r="O332" s="102">
        <v>23.8</v>
      </c>
      <c r="P332" s="102">
        <v>23.8</v>
      </c>
      <c r="Q332" s="81"/>
      <c r="R332" s="81" t="s">
        <v>2413</v>
      </c>
      <c r="S332" s="81" t="s">
        <v>2413</v>
      </c>
      <c r="T332" s="81"/>
      <c r="U332" s="272">
        <f t="shared" si="59"/>
        <v>23.8</v>
      </c>
      <c r="V332" s="272">
        <f t="shared" si="59"/>
        <v>23.8</v>
      </c>
      <c r="W332" s="272">
        <f t="shared" si="59"/>
        <v>23.8</v>
      </c>
      <c r="X332" s="272">
        <f t="shared" si="59"/>
        <v>23.8</v>
      </c>
      <c r="Y332" s="272">
        <f t="shared" si="59"/>
        <v>23.8</v>
      </c>
      <c r="Z332" s="272">
        <f t="shared" si="59"/>
        <v>23.8</v>
      </c>
      <c r="AA332" s="272">
        <f t="shared" si="59"/>
        <v>23.8</v>
      </c>
      <c r="AB332" s="27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1065</v>
      </c>
      <c r="G333" s="78"/>
      <c r="H333" s="81" t="s">
        <v>1066</v>
      </c>
      <c r="I333" s="101" t="s">
        <v>2412</v>
      </c>
      <c r="J333" s="101"/>
      <c r="K333" s="102">
        <v>39.6</v>
      </c>
      <c r="L333" s="102">
        <v>39.6</v>
      </c>
      <c r="M333" s="102">
        <v>39.6</v>
      </c>
      <c r="N333" s="102">
        <v>39.6</v>
      </c>
      <c r="O333" s="102">
        <v>39.6</v>
      </c>
      <c r="P333" s="102">
        <v>39.6</v>
      </c>
      <c r="Q333" s="81"/>
      <c r="R333" s="81" t="s">
        <v>2413</v>
      </c>
      <c r="S333" s="81" t="s">
        <v>2413</v>
      </c>
      <c r="T333" s="81"/>
      <c r="U333" s="272">
        <f t="shared" si="59"/>
        <v>39.6</v>
      </c>
      <c r="V333" s="272">
        <f t="shared" si="59"/>
        <v>39.6</v>
      </c>
      <c r="W333" s="272">
        <f t="shared" si="59"/>
        <v>39.6</v>
      </c>
      <c r="X333" s="272">
        <f t="shared" si="59"/>
        <v>39.6</v>
      </c>
      <c r="Y333" s="272">
        <f t="shared" si="59"/>
        <v>39.6</v>
      </c>
      <c r="Z333" s="272">
        <f t="shared" si="59"/>
        <v>39.6</v>
      </c>
      <c r="AA333" s="272">
        <f t="shared" si="59"/>
        <v>39.6</v>
      </c>
      <c r="AB333" s="27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275" t="s">
        <v>1067</v>
      </c>
      <c r="G334" s="78"/>
      <c r="H334" s="265" t="s">
        <v>1068</v>
      </c>
      <c r="I334" s="101"/>
      <c r="J334" s="101" t="s">
        <v>600</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1069</v>
      </c>
      <c r="F335" s="73" t="s">
        <v>1070</v>
      </c>
      <c r="G335" s="78"/>
      <c r="H335" s="81" t="s">
        <v>575</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1071</v>
      </c>
      <c r="G336" s="78"/>
      <c r="H336" s="81" t="s">
        <v>2558</v>
      </c>
      <c r="I336" s="101" t="s">
        <v>676</v>
      </c>
      <c r="J336" s="101"/>
      <c r="K336" s="102">
        <v>1.84E-2</v>
      </c>
      <c r="L336" s="102">
        <v>1.84E-2</v>
      </c>
      <c r="M336" s="102">
        <v>1.84E-2</v>
      </c>
      <c r="N336" s="102">
        <v>1.84E-2</v>
      </c>
      <c r="O336" s="102">
        <v>1.84E-2</v>
      </c>
      <c r="P336" s="102">
        <v>1.84E-2</v>
      </c>
      <c r="Q336" s="81"/>
      <c r="R336" s="81" t="s">
        <v>1072</v>
      </c>
      <c r="S336" s="81" t="s">
        <v>1072</v>
      </c>
      <c r="T336" s="81"/>
      <c r="U336" s="272">
        <f t="shared" ref="U336:AB340" si="60">INDEX($K336:$Q336,1,U$54)</f>
        <v>1.84E-2</v>
      </c>
      <c r="V336" s="272">
        <f t="shared" si="60"/>
        <v>1.84E-2</v>
      </c>
      <c r="W336" s="272">
        <f t="shared" si="60"/>
        <v>1.84E-2</v>
      </c>
      <c r="X336" s="272">
        <f t="shared" si="60"/>
        <v>1.84E-2</v>
      </c>
      <c r="Y336" s="272">
        <f t="shared" si="60"/>
        <v>1.84E-2</v>
      </c>
      <c r="Z336" s="272">
        <f t="shared" si="60"/>
        <v>1.84E-2</v>
      </c>
      <c r="AA336" s="272">
        <f t="shared" si="60"/>
        <v>1.84E-2</v>
      </c>
      <c r="AB336" s="27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1073</v>
      </c>
      <c r="G337" s="78"/>
      <c r="H337" s="81" t="s">
        <v>2562</v>
      </c>
      <c r="I337" s="101" t="s">
        <v>582</v>
      </c>
      <c r="J337" s="101"/>
      <c r="K337" s="102">
        <v>13</v>
      </c>
      <c r="L337" s="102">
        <v>13</v>
      </c>
      <c r="M337" s="102">
        <v>13</v>
      </c>
      <c r="N337" s="102">
        <v>13</v>
      </c>
      <c r="O337" s="102">
        <v>13</v>
      </c>
      <c r="P337" s="102">
        <v>13</v>
      </c>
      <c r="Q337" s="81"/>
      <c r="R337" s="81" t="s">
        <v>1072</v>
      </c>
      <c r="S337" s="81" t="s">
        <v>1072</v>
      </c>
      <c r="T337" s="81"/>
      <c r="U337" s="272">
        <f t="shared" si="60"/>
        <v>13</v>
      </c>
      <c r="V337" s="272">
        <f t="shared" si="60"/>
        <v>13</v>
      </c>
      <c r="W337" s="272">
        <f t="shared" si="60"/>
        <v>13</v>
      </c>
      <c r="X337" s="272">
        <f t="shared" si="60"/>
        <v>13</v>
      </c>
      <c r="Y337" s="272">
        <f t="shared" si="60"/>
        <v>13</v>
      </c>
      <c r="Z337" s="272">
        <f t="shared" si="60"/>
        <v>13</v>
      </c>
      <c r="AA337" s="272">
        <f t="shared" si="60"/>
        <v>13</v>
      </c>
      <c r="AB337" s="27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1074</v>
      </c>
      <c r="G338" s="78"/>
      <c r="H338" s="81" t="s">
        <v>2559</v>
      </c>
      <c r="I338" s="101" t="s">
        <v>708</v>
      </c>
      <c r="J338" s="101"/>
      <c r="K338" s="102">
        <v>7.52</v>
      </c>
      <c r="L338" s="102">
        <v>7.52</v>
      </c>
      <c r="M338" s="102">
        <v>7.52</v>
      </c>
      <c r="N338" s="102">
        <v>7.52</v>
      </c>
      <c r="O338" s="102">
        <v>7.52</v>
      </c>
      <c r="P338" s="102">
        <v>7.52</v>
      </c>
      <c r="Q338" s="81"/>
      <c r="R338" s="81" t="s">
        <v>1072</v>
      </c>
      <c r="S338" s="81" t="s">
        <v>1072</v>
      </c>
      <c r="T338" s="81"/>
      <c r="U338" s="272">
        <f t="shared" si="60"/>
        <v>7.52</v>
      </c>
      <c r="V338" s="272">
        <f t="shared" si="60"/>
        <v>7.52</v>
      </c>
      <c r="W338" s="272">
        <f t="shared" si="60"/>
        <v>7.52</v>
      </c>
      <c r="X338" s="272">
        <f t="shared" si="60"/>
        <v>7.52</v>
      </c>
      <c r="Y338" s="272">
        <f t="shared" si="60"/>
        <v>7.52</v>
      </c>
      <c r="Z338" s="272">
        <f t="shared" si="60"/>
        <v>7.52</v>
      </c>
      <c r="AA338" s="272">
        <f t="shared" si="60"/>
        <v>7.52</v>
      </c>
      <c r="AB338" s="27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1075</v>
      </c>
      <c r="G339" s="78"/>
      <c r="H339" s="81" t="s">
        <v>2560</v>
      </c>
      <c r="I339" s="101" t="s">
        <v>582</v>
      </c>
      <c r="J339" s="101"/>
      <c r="K339" s="102">
        <v>23.7</v>
      </c>
      <c r="L339" s="102">
        <v>23.7</v>
      </c>
      <c r="M339" s="102">
        <v>23.7</v>
      </c>
      <c r="N339" s="102">
        <v>23.7</v>
      </c>
      <c r="O339" s="102">
        <v>23.7</v>
      </c>
      <c r="P339" s="102">
        <v>23.7</v>
      </c>
      <c r="Q339" s="81"/>
      <c r="R339" s="81" t="s">
        <v>1072</v>
      </c>
      <c r="S339" s="81" t="s">
        <v>1072</v>
      </c>
      <c r="T339" s="81"/>
      <c r="U339" s="272">
        <f t="shared" si="60"/>
        <v>23.7</v>
      </c>
      <c r="V339" s="272">
        <f t="shared" si="60"/>
        <v>23.7</v>
      </c>
      <c r="W339" s="272">
        <f t="shared" si="60"/>
        <v>23.7</v>
      </c>
      <c r="X339" s="272">
        <f t="shared" si="60"/>
        <v>23.7</v>
      </c>
      <c r="Y339" s="272">
        <f t="shared" si="60"/>
        <v>23.7</v>
      </c>
      <c r="Z339" s="272">
        <f t="shared" si="60"/>
        <v>23.7</v>
      </c>
      <c r="AA339" s="272">
        <f t="shared" si="60"/>
        <v>23.7</v>
      </c>
      <c r="AB339" s="27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1076</v>
      </c>
      <c r="G340" s="78"/>
      <c r="H340" s="81" t="s">
        <v>2561</v>
      </c>
      <c r="I340" s="101" t="s">
        <v>708</v>
      </c>
      <c r="J340" s="101"/>
      <c r="K340" s="102">
        <v>3.36</v>
      </c>
      <c r="L340" s="102">
        <v>3.36</v>
      </c>
      <c r="M340" s="102">
        <v>3.36</v>
      </c>
      <c r="N340" s="102">
        <v>3.36</v>
      </c>
      <c r="O340" s="102">
        <v>3.36</v>
      </c>
      <c r="P340" s="102">
        <v>3.36</v>
      </c>
      <c r="Q340" s="81"/>
      <c r="R340" s="81" t="s">
        <v>1072</v>
      </c>
      <c r="S340" s="81" t="s">
        <v>1072</v>
      </c>
      <c r="T340" s="81"/>
      <c r="U340" s="272">
        <f t="shared" si="60"/>
        <v>3.36</v>
      </c>
      <c r="V340" s="272">
        <f t="shared" si="60"/>
        <v>3.36</v>
      </c>
      <c r="W340" s="272">
        <f t="shared" si="60"/>
        <v>3.36</v>
      </c>
      <c r="X340" s="272">
        <f t="shared" si="60"/>
        <v>3.36</v>
      </c>
      <c r="Y340" s="272">
        <f t="shared" si="60"/>
        <v>3.36</v>
      </c>
      <c r="Z340" s="272">
        <f t="shared" si="60"/>
        <v>3.36</v>
      </c>
      <c r="AA340" s="272">
        <f t="shared" si="60"/>
        <v>3.36</v>
      </c>
      <c r="AB340" s="27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275" t="s">
        <v>478</v>
      </c>
      <c r="G341" s="78"/>
      <c r="H341" s="265" t="s">
        <v>1077</v>
      </c>
      <c r="I341" s="101"/>
      <c r="J341" s="101" t="s">
        <v>600</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1078</v>
      </c>
      <c r="F342" s="73" t="s">
        <v>1079</v>
      </c>
      <c r="G342" s="78"/>
      <c r="H342" s="81" t="s">
        <v>575</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1080</v>
      </c>
      <c r="G343" s="78"/>
      <c r="H343" s="81" t="s">
        <v>2566</v>
      </c>
      <c r="I343" s="101" t="s">
        <v>582</v>
      </c>
      <c r="J343" s="101"/>
      <c r="K343" s="102">
        <v>0.2195</v>
      </c>
      <c r="L343" s="102">
        <v>0.3715</v>
      </c>
      <c r="M343" s="282">
        <f>M$824</f>
        <v>0.375</v>
      </c>
      <c r="N343" s="282">
        <f t="shared" ref="N343:P343" si="61">N$824</f>
        <v>0.375</v>
      </c>
      <c r="O343" s="282">
        <f t="shared" si="61"/>
        <v>0.375</v>
      </c>
      <c r="P343" s="282">
        <f t="shared" si="61"/>
        <v>0.5</v>
      </c>
      <c r="Q343" s="81"/>
      <c r="R343" s="102" t="s">
        <v>2569</v>
      </c>
      <c r="S343" s="81"/>
      <c r="T343" s="81"/>
      <c r="U343" s="272">
        <f t="shared" ref="U343:AB343" si="62">INDEX($K343:$Q343,1,U$54)</f>
        <v>0.2195</v>
      </c>
      <c r="V343" s="272">
        <f t="shared" si="62"/>
        <v>0.2195</v>
      </c>
      <c r="W343" s="272">
        <f t="shared" si="62"/>
        <v>0.2195</v>
      </c>
      <c r="X343" s="272">
        <f t="shared" si="62"/>
        <v>0.3715</v>
      </c>
      <c r="Y343" s="272">
        <f t="shared" si="62"/>
        <v>0.3715</v>
      </c>
      <c r="Z343" s="272">
        <f t="shared" si="62"/>
        <v>0.3715</v>
      </c>
      <c r="AA343" s="272">
        <f t="shared" si="62"/>
        <v>0.3715</v>
      </c>
      <c r="AB343" s="27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1081</v>
      </c>
      <c r="G344" s="78"/>
      <c r="H344" s="81" t="s">
        <v>1082</v>
      </c>
      <c r="I344" s="101" t="s">
        <v>582</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1083</v>
      </c>
      <c r="G345" s="78"/>
      <c r="H345" s="81" t="s">
        <v>1084</v>
      </c>
      <c r="I345" s="101" t="s">
        <v>582</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1085</v>
      </c>
      <c r="G346" s="78"/>
      <c r="H346" s="81" t="s">
        <v>1086</v>
      </c>
      <c r="I346" s="101" t="s">
        <v>612</v>
      </c>
      <c r="J346" s="101"/>
      <c r="K346" s="102">
        <v>17</v>
      </c>
      <c r="L346" s="102">
        <v>17</v>
      </c>
      <c r="M346" s="102">
        <v>21</v>
      </c>
      <c r="N346" s="102">
        <v>21</v>
      </c>
      <c r="O346" s="102">
        <v>21</v>
      </c>
      <c r="P346" s="102">
        <v>21</v>
      </c>
      <c r="Q346" s="81"/>
      <c r="R346" s="81"/>
      <c r="S346" s="81"/>
      <c r="T346" s="81"/>
      <c r="U346" s="272">
        <f t="shared" ref="U346:AB346" si="64">INDEX($K346:$Q346,1,U$54)</f>
        <v>17</v>
      </c>
      <c r="V346" s="272">
        <f t="shared" si="64"/>
        <v>17</v>
      </c>
      <c r="W346" s="272">
        <f t="shared" si="64"/>
        <v>17</v>
      </c>
      <c r="X346" s="272">
        <f t="shared" si="64"/>
        <v>17</v>
      </c>
      <c r="Y346" s="272">
        <f t="shared" si="64"/>
        <v>17</v>
      </c>
      <c r="Z346" s="272">
        <f t="shared" si="64"/>
        <v>17</v>
      </c>
      <c r="AA346" s="272">
        <f t="shared" si="64"/>
        <v>17</v>
      </c>
      <c r="AB346" s="27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1087</v>
      </c>
      <c r="G347" s="78"/>
      <c r="H347" s="81" t="s">
        <v>1088</v>
      </c>
      <c r="I347" s="101" t="s">
        <v>655</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532</v>
      </c>
      <c r="AE347" s="81"/>
      <c r="AF347" s="102">
        <v>1</v>
      </c>
      <c r="AG347" s="102">
        <v>1</v>
      </c>
      <c r="AH347" s="78"/>
      <c r="AI347" s="60"/>
      <c r="AJ347" s="48"/>
      <c r="AK347" s="48"/>
      <c r="AL347" s="48"/>
    </row>
    <row r="348" spans="1:38" outlineLevel="1" x14ac:dyDescent="0.25">
      <c r="A348" s="48"/>
      <c r="B348" s="57"/>
      <c r="C348" s="50">
        <f>INT($C$40)+1</f>
        <v>2</v>
      </c>
      <c r="D348" s="78"/>
      <c r="E348" s="73"/>
      <c r="F348" s="275" t="s">
        <v>1089</v>
      </c>
      <c r="G348" s="78"/>
      <c r="H348" s="265" t="s">
        <v>1090</v>
      </c>
      <c r="I348" s="101"/>
      <c r="J348" s="101" t="s">
        <v>600</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1091</v>
      </c>
      <c r="F349" s="73" t="s">
        <v>1092</v>
      </c>
      <c r="G349" s="78"/>
      <c r="H349" s="81" t="s">
        <v>575</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1093</v>
      </c>
      <c r="G350" s="78"/>
      <c r="H350" s="81" t="s">
        <v>1094</v>
      </c>
      <c r="I350" s="101" t="s">
        <v>2407</v>
      </c>
      <c r="J350" s="101"/>
      <c r="K350" s="279">
        <f>0.03/365</f>
        <v>8.219178082191781E-5</v>
      </c>
      <c r="L350" s="279">
        <f>0.03/365</f>
        <v>8.219178082191781E-5</v>
      </c>
      <c r="M350" s="279">
        <v>5.5300000000000002E-5</v>
      </c>
      <c r="N350" s="279">
        <v>5.5300000000000002E-5</v>
      </c>
      <c r="O350" s="279">
        <v>5.5300000000000002E-5</v>
      </c>
      <c r="P350" s="279">
        <v>5.5300000000000002E-5</v>
      </c>
      <c r="Q350" s="81"/>
      <c r="R350" s="81" t="s">
        <v>2425</v>
      </c>
      <c r="S350" s="81" t="s">
        <v>631</v>
      </c>
      <c r="T350" s="81"/>
      <c r="U350" s="272">
        <f t="shared" ref="U350:AB352" si="65">INDEX($K350:$Q350,1,U$54)</f>
        <v>8.219178082191781E-5</v>
      </c>
      <c r="V350" s="272">
        <f t="shared" si="65"/>
        <v>8.219178082191781E-5</v>
      </c>
      <c r="W350" s="272">
        <f t="shared" si="65"/>
        <v>8.219178082191781E-5</v>
      </c>
      <c r="X350" s="272">
        <f t="shared" si="65"/>
        <v>8.219178082191781E-5</v>
      </c>
      <c r="Y350" s="272">
        <f t="shared" si="65"/>
        <v>8.219178082191781E-5</v>
      </c>
      <c r="Z350" s="272">
        <f t="shared" si="65"/>
        <v>8.219178082191781E-5</v>
      </c>
      <c r="AA350" s="272">
        <f t="shared" si="65"/>
        <v>8.219178082191781E-5</v>
      </c>
      <c r="AB350" s="27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1095</v>
      </c>
      <c r="G351" s="78"/>
      <c r="H351" s="280" t="s">
        <v>1096</v>
      </c>
      <c r="I351" s="101" t="s">
        <v>582</v>
      </c>
      <c r="J351" s="101"/>
      <c r="K351" s="102">
        <v>0.3</v>
      </c>
      <c r="L351" s="102">
        <v>0.3</v>
      </c>
      <c r="M351" s="102">
        <v>0.3</v>
      </c>
      <c r="N351" s="102">
        <v>0.3</v>
      </c>
      <c r="O351" s="102">
        <v>0.3</v>
      </c>
      <c r="P351" s="102">
        <v>0.3</v>
      </c>
      <c r="Q351" s="81"/>
      <c r="R351" s="81" t="s">
        <v>631</v>
      </c>
      <c r="S351" s="81" t="s">
        <v>631</v>
      </c>
      <c r="T351" s="81"/>
      <c r="U351" s="272">
        <f t="shared" si="65"/>
        <v>0.3</v>
      </c>
      <c r="V351" s="272">
        <f t="shared" si="65"/>
        <v>0.3</v>
      </c>
      <c r="W351" s="272">
        <f t="shared" si="65"/>
        <v>0.3</v>
      </c>
      <c r="X351" s="272">
        <f t="shared" si="65"/>
        <v>0.3</v>
      </c>
      <c r="Y351" s="272">
        <f t="shared" si="65"/>
        <v>0.3</v>
      </c>
      <c r="Z351" s="272">
        <f t="shared" si="65"/>
        <v>0.3</v>
      </c>
      <c r="AA351" s="272">
        <f t="shared" si="65"/>
        <v>0.3</v>
      </c>
      <c r="AB351" s="27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1097</v>
      </c>
      <c r="G352" s="78"/>
      <c r="H352" s="81" t="s">
        <v>1098</v>
      </c>
      <c r="I352" s="101" t="s">
        <v>582</v>
      </c>
      <c r="J352" s="101"/>
      <c r="K352" s="102">
        <v>0.6</v>
      </c>
      <c r="L352" s="102">
        <v>0.6</v>
      </c>
      <c r="M352" s="102">
        <v>0.6</v>
      </c>
      <c r="N352" s="102">
        <v>0.6</v>
      </c>
      <c r="O352" s="102">
        <v>0.6</v>
      </c>
      <c r="P352" s="102">
        <v>0.6</v>
      </c>
      <c r="Q352" s="81"/>
      <c r="R352" s="81" t="s">
        <v>631</v>
      </c>
      <c r="S352" s="81" t="s">
        <v>631</v>
      </c>
      <c r="T352" s="81"/>
      <c r="U352" s="272">
        <f t="shared" si="65"/>
        <v>0.6</v>
      </c>
      <c r="V352" s="272">
        <f t="shared" si="65"/>
        <v>0.6</v>
      </c>
      <c r="W352" s="272">
        <f t="shared" si="65"/>
        <v>0.6</v>
      </c>
      <c r="X352" s="272">
        <f t="shared" si="65"/>
        <v>0.6</v>
      </c>
      <c r="Y352" s="272">
        <f t="shared" si="65"/>
        <v>0.6</v>
      </c>
      <c r="Z352" s="272">
        <f t="shared" si="65"/>
        <v>0.6</v>
      </c>
      <c r="AA352" s="272">
        <f t="shared" si="65"/>
        <v>0.6</v>
      </c>
      <c r="AB352" s="27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1099</v>
      </c>
      <c r="G353" s="78"/>
      <c r="H353" s="81" t="s">
        <v>1100</v>
      </c>
      <c r="I353" s="101" t="s">
        <v>582</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1101</v>
      </c>
      <c r="G354" s="78"/>
      <c r="H354" s="81" t="s">
        <v>1102</v>
      </c>
      <c r="I354" s="101" t="s">
        <v>582</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1103</v>
      </c>
      <c r="G355" s="78"/>
      <c r="H355" s="81" t="s">
        <v>1104</v>
      </c>
      <c r="I355" s="101" t="s">
        <v>582</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1105</v>
      </c>
      <c r="G356" s="78"/>
      <c r="H356" s="81" t="s">
        <v>1106</v>
      </c>
      <c r="I356" s="101" t="s">
        <v>582</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1107</v>
      </c>
      <c r="G357" s="78"/>
      <c r="H357" s="81" t="s">
        <v>1108</v>
      </c>
      <c r="I357" s="101" t="s">
        <v>582</v>
      </c>
      <c r="J357" s="101"/>
      <c r="K357" s="81"/>
      <c r="L357" s="81"/>
      <c r="M357" s="102">
        <v>-40</v>
      </c>
      <c r="N357" s="102">
        <v>-40</v>
      </c>
      <c r="O357" s="102">
        <v>-40</v>
      </c>
      <c r="P357" s="102">
        <v>-40</v>
      </c>
      <c r="Q357" s="81"/>
      <c r="R357" s="81"/>
      <c r="S357" s="81" t="s">
        <v>640</v>
      </c>
      <c r="T357" s="81"/>
      <c r="U357" s="102">
        <v>-9.9499999999999993</v>
      </c>
      <c r="V357" s="102">
        <v>-9.9499999999999993</v>
      </c>
      <c r="W357" s="102">
        <v>-9.9499999999999993</v>
      </c>
      <c r="X357" s="102">
        <v>-8.9</v>
      </c>
      <c r="Y357" s="102">
        <v>-8.9</v>
      </c>
      <c r="Z357" s="102">
        <v>-8.9</v>
      </c>
      <c r="AA357" s="102">
        <v>-8.9</v>
      </c>
      <c r="AB357" s="102">
        <v>-8.9</v>
      </c>
      <c r="AC357" s="81"/>
      <c r="AD357" s="102" t="s">
        <v>1109</v>
      </c>
      <c r="AE357" s="81"/>
      <c r="AF357" s="102">
        <v>1</v>
      </c>
      <c r="AG357" s="102">
        <v>1</v>
      </c>
      <c r="AH357" s="78"/>
      <c r="AI357" s="60"/>
      <c r="AJ357" s="48"/>
      <c r="AK357" s="48"/>
      <c r="AL357" s="48"/>
    </row>
    <row r="358" spans="1:38" outlineLevel="2" x14ac:dyDescent="0.25">
      <c r="A358" s="48"/>
      <c r="B358" s="57"/>
      <c r="C358" s="50">
        <f>INT($C$40)+2</f>
        <v>3</v>
      </c>
      <c r="D358" s="78"/>
      <c r="E358" s="73"/>
      <c r="F358" s="73" t="s">
        <v>1110</v>
      </c>
      <c r="G358" s="78"/>
      <c r="H358" s="81" t="s">
        <v>1111</v>
      </c>
      <c r="I358" s="101" t="s">
        <v>582</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1109</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1112</v>
      </c>
      <c r="G359" s="78"/>
      <c r="H359" s="81" t="s">
        <v>1113</v>
      </c>
      <c r="I359" s="101" t="s">
        <v>582</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1109</v>
      </c>
      <c r="AE359" s="81"/>
      <c r="AF359" s="102">
        <v>1</v>
      </c>
      <c r="AG359" s="102">
        <v>1</v>
      </c>
      <c r="AH359" s="78"/>
      <c r="AI359" s="60"/>
      <c r="AJ359" s="48"/>
      <c r="AK359" s="48"/>
      <c r="AL359" s="48"/>
    </row>
    <row r="360" spans="1:38" hidden="1" outlineLevel="3" x14ac:dyDescent="0.25">
      <c r="A360" s="48"/>
      <c r="B360" s="57"/>
      <c r="C360" s="50">
        <f>INT($C$40)+3</f>
        <v>4</v>
      </c>
      <c r="D360" s="78"/>
      <c r="E360" s="73"/>
      <c r="F360" s="73" t="s">
        <v>1114</v>
      </c>
      <c r="G360" s="78"/>
      <c r="H360" s="81" t="s">
        <v>1115</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1116</v>
      </c>
      <c r="G361" s="78"/>
      <c r="H361" s="81" t="s">
        <v>1117</v>
      </c>
      <c r="I361" s="101" t="s">
        <v>582</v>
      </c>
      <c r="J361" s="101"/>
      <c r="K361" s="102">
        <v>0.1</v>
      </c>
      <c r="L361" s="102">
        <v>0.1</v>
      </c>
      <c r="M361" s="102">
        <v>0.1</v>
      </c>
      <c r="N361" s="102">
        <v>0.1</v>
      </c>
      <c r="O361" s="102">
        <v>0.1</v>
      </c>
      <c r="P361" s="102">
        <v>0.1</v>
      </c>
      <c r="Q361" s="81"/>
      <c r="R361" s="81" t="s">
        <v>1118</v>
      </c>
      <c r="S361" s="81"/>
      <c r="T361" s="81"/>
      <c r="U361" s="272">
        <f t="shared" ref="U361:AB361" si="67">INDEX($K361:$Q361,1,U$54)</f>
        <v>0.1</v>
      </c>
      <c r="V361" s="272">
        <f t="shared" si="67"/>
        <v>0.1</v>
      </c>
      <c r="W361" s="272">
        <f t="shared" si="67"/>
        <v>0.1</v>
      </c>
      <c r="X361" s="272">
        <f t="shared" si="67"/>
        <v>0.1</v>
      </c>
      <c r="Y361" s="272">
        <f t="shared" si="67"/>
        <v>0.1</v>
      </c>
      <c r="Z361" s="272">
        <f t="shared" si="67"/>
        <v>0.1</v>
      </c>
      <c r="AA361" s="272">
        <f t="shared" si="67"/>
        <v>0.1</v>
      </c>
      <c r="AB361" s="27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1119</v>
      </c>
      <c r="G362" s="78"/>
      <c r="H362" s="281" t="s">
        <v>1120</v>
      </c>
      <c r="I362" s="101" t="s">
        <v>582</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1121</v>
      </c>
      <c r="AE362" s="81"/>
      <c r="AF362" s="102">
        <v>1</v>
      </c>
      <c r="AG362" s="102">
        <v>1</v>
      </c>
      <c r="AH362" s="78"/>
      <c r="AI362" s="60"/>
      <c r="AJ362" s="48"/>
      <c r="AK362" s="48"/>
      <c r="AL362" s="48"/>
    </row>
    <row r="363" spans="1:38" outlineLevel="2" x14ac:dyDescent="0.25">
      <c r="A363" s="48"/>
      <c r="B363" s="57"/>
      <c r="C363" s="50">
        <f t="shared" si="66"/>
        <v>3</v>
      </c>
      <c r="D363" s="78"/>
      <c r="E363" s="73"/>
      <c r="F363" s="73" t="s">
        <v>1122</v>
      </c>
      <c r="G363" s="78"/>
      <c r="H363" s="81" t="s">
        <v>1123</v>
      </c>
      <c r="I363" s="101" t="s">
        <v>582</v>
      </c>
      <c r="J363" s="101"/>
      <c r="K363" s="102">
        <v>300</v>
      </c>
      <c r="L363" s="102">
        <v>300</v>
      </c>
      <c r="M363" s="102">
        <v>300</v>
      </c>
      <c r="N363" s="102">
        <v>300</v>
      </c>
      <c r="O363" s="102">
        <v>300</v>
      </c>
      <c r="P363" s="102">
        <v>300</v>
      </c>
      <c r="Q363" s="81"/>
      <c r="R363" s="81"/>
      <c r="S363" s="81"/>
      <c r="T363" s="81"/>
      <c r="U363" s="272">
        <f t="shared" ref="U363:AB370" si="69">INDEX($K363:$Q363,1,U$54)</f>
        <v>300</v>
      </c>
      <c r="V363" s="272">
        <f t="shared" si="69"/>
        <v>300</v>
      </c>
      <c r="W363" s="272">
        <f t="shared" si="69"/>
        <v>300</v>
      </c>
      <c r="X363" s="272">
        <f t="shared" si="69"/>
        <v>300</v>
      </c>
      <c r="Y363" s="272">
        <f t="shared" si="69"/>
        <v>300</v>
      </c>
      <c r="Z363" s="272">
        <f t="shared" si="69"/>
        <v>300</v>
      </c>
      <c r="AA363" s="272">
        <f t="shared" si="69"/>
        <v>300</v>
      </c>
      <c r="AB363" s="27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1124</v>
      </c>
      <c r="G364" s="78"/>
      <c r="H364" s="81" t="s">
        <v>1125</v>
      </c>
      <c r="I364" s="101" t="s">
        <v>582</v>
      </c>
      <c r="J364" s="101"/>
      <c r="K364" s="102">
        <v>365</v>
      </c>
      <c r="L364" s="102">
        <v>365</v>
      </c>
      <c r="M364" s="102">
        <v>365</v>
      </c>
      <c r="N364" s="102">
        <v>365</v>
      </c>
      <c r="O364" s="102">
        <v>365</v>
      </c>
      <c r="P364" s="102">
        <v>365</v>
      </c>
      <c r="Q364" s="81"/>
      <c r="R364" s="81"/>
      <c r="S364" s="81"/>
      <c r="T364" s="81"/>
      <c r="U364" s="272">
        <f t="shared" si="69"/>
        <v>365</v>
      </c>
      <c r="V364" s="272">
        <f t="shared" si="69"/>
        <v>365</v>
      </c>
      <c r="W364" s="272">
        <f t="shared" si="69"/>
        <v>365</v>
      </c>
      <c r="X364" s="272">
        <f t="shared" si="69"/>
        <v>365</v>
      </c>
      <c r="Y364" s="272">
        <f t="shared" si="69"/>
        <v>365</v>
      </c>
      <c r="Z364" s="272">
        <f t="shared" si="69"/>
        <v>365</v>
      </c>
      <c r="AA364" s="272">
        <f t="shared" si="69"/>
        <v>365</v>
      </c>
      <c r="AB364" s="27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1126</v>
      </c>
      <c r="G365" s="78"/>
      <c r="H365" s="81" t="s">
        <v>1127</v>
      </c>
      <c r="I365" s="101" t="s">
        <v>582</v>
      </c>
      <c r="J365" s="101"/>
      <c r="K365" s="102">
        <v>0.2</v>
      </c>
      <c r="L365" s="102">
        <v>0.2</v>
      </c>
      <c r="M365" s="102"/>
      <c r="N365" s="102"/>
      <c r="O365" s="102"/>
      <c r="P365" s="102"/>
      <c r="Q365" s="81"/>
      <c r="R365" s="81"/>
      <c r="S365" s="81"/>
      <c r="T365" s="81"/>
      <c r="U365" s="272">
        <f t="shared" si="69"/>
        <v>0.2</v>
      </c>
      <c r="V365" s="272">
        <f t="shared" si="69"/>
        <v>0.2</v>
      </c>
      <c r="W365" s="272">
        <f t="shared" si="69"/>
        <v>0.2</v>
      </c>
      <c r="X365" s="272">
        <f t="shared" si="69"/>
        <v>0.2</v>
      </c>
      <c r="Y365" s="272">
        <f t="shared" si="69"/>
        <v>0.2</v>
      </c>
      <c r="Z365" s="272">
        <f t="shared" si="69"/>
        <v>0.2</v>
      </c>
      <c r="AA365" s="272">
        <f t="shared" si="69"/>
        <v>0.2</v>
      </c>
      <c r="AB365" s="27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1128</v>
      </c>
      <c r="G366" s="78"/>
      <c r="H366" s="81" t="s">
        <v>1129</v>
      </c>
      <c r="I366" s="101" t="s">
        <v>582</v>
      </c>
      <c r="J366" s="101"/>
      <c r="K366" s="102">
        <v>0.5</v>
      </c>
      <c r="L366" s="102">
        <v>0.5</v>
      </c>
      <c r="M366" s="102"/>
      <c r="N366" s="102"/>
      <c r="O366" s="102"/>
      <c r="P366" s="102"/>
      <c r="Q366" s="81"/>
      <c r="R366" s="81" t="s">
        <v>532</v>
      </c>
      <c r="S366" s="81"/>
      <c r="T366" s="81"/>
      <c r="U366" s="272">
        <f t="shared" si="69"/>
        <v>0.5</v>
      </c>
      <c r="V366" s="272">
        <f t="shared" si="69"/>
        <v>0.5</v>
      </c>
      <c r="W366" s="272">
        <f t="shared" si="69"/>
        <v>0.5</v>
      </c>
      <c r="X366" s="272">
        <f t="shared" si="69"/>
        <v>0.5</v>
      </c>
      <c r="Y366" s="272">
        <f t="shared" si="69"/>
        <v>0.5</v>
      </c>
      <c r="Z366" s="272">
        <f t="shared" si="69"/>
        <v>0.5</v>
      </c>
      <c r="AA366" s="272">
        <f t="shared" si="69"/>
        <v>0.5</v>
      </c>
      <c r="AB366" s="27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1130</v>
      </c>
      <c r="G367" s="78"/>
      <c r="H367" s="81" t="s">
        <v>1131</v>
      </c>
      <c r="I367" s="101" t="s">
        <v>582</v>
      </c>
      <c r="J367" s="101"/>
      <c r="K367" s="129">
        <v>0.1</v>
      </c>
      <c r="L367" s="102"/>
      <c r="M367" s="81"/>
      <c r="N367" s="81"/>
      <c r="O367" s="81"/>
      <c r="P367" s="81"/>
      <c r="Q367" s="81"/>
      <c r="R367" s="81"/>
      <c r="S367" s="81"/>
      <c r="T367" s="81"/>
      <c r="U367" s="272">
        <f t="shared" si="69"/>
        <v>0.1</v>
      </c>
      <c r="V367" s="272">
        <f t="shared" si="69"/>
        <v>0.1</v>
      </c>
      <c r="W367" s="272">
        <f t="shared" si="69"/>
        <v>0.1</v>
      </c>
      <c r="X367" s="272">
        <f t="shared" si="69"/>
        <v>0</v>
      </c>
      <c r="Y367" s="272">
        <f t="shared" si="69"/>
        <v>0</v>
      </c>
      <c r="Z367" s="272">
        <f t="shared" si="69"/>
        <v>0</v>
      </c>
      <c r="AA367" s="272">
        <f t="shared" si="69"/>
        <v>0</v>
      </c>
      <c r="AB367" s="27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1132</v>
      </c>
      <c r="G368" s="78"/>
      <c r="H368" s="81" t="s">
        <v>1133</v>
      </c>
      <c r="I368" s="101" t="s">
        <v>582</v>
      </c>
      <c r="J368" s="101"/>
      <c r="K368" s="129">
        <v>0.03</v>
      </c>
      <c r="L368" s="102"/>
      <c r="M368" s="81"/>
      <c r="N368" s="81"/>
      <c r="O368" s="81"/>
      <c r="P368" s="81"/>
      <c r="Q368" s="81"/>
      <c r="R368" s="81"/>
      <c r="S368" s="81"/>
      <c r="T368" s="81"/>
      <c r="U368" s="272">
        <f t="shared" si="69"/>
        <v>0.03</v>
      </c>
      <c r="V368" s="272">
        <f t="shared" si="69"/>
        <v>0.03</v>
      </c>
      <c r="W368" s="272">
        <f t="shared" si="69"/>
        <v>0.03</v>
      </c>
      <c r="X368" s="272">
        <f t="shared" si="69"/>
        <v>0</v>
      </c>
      <c r="Y368" s="272">
        <f t="shared" si="69"/>
        <v>0</v>
      </c>
      <c r="Z368" s="272">
        <f t="shared" si="69"/>
        <v>0</v>
      </c>
      <c r="AA368" s="272">
        <f t="shared" si="69"/>
        <v>0</v>
      </c>
      <c r="AB368" s="27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1134</v>
      </c>
      <c r="G369" s="78"/>
      <c r="H369" s="81" t="s">
        <v>1135</v>
      </c>
      <c r="I369" s="101" t="s">
        <v>582</v>
      </c>
      <c r="J369" s="101"/>
      <c r="K369" s="129">
        <v>0.01</v>
      </c>
      <c r="L369" s="102"/>
      <c r="M369" s="81"/>
      <c r="N369" s="81"/>
      <c r="O369" s="81"/>
      <c r="P369" s="81"/>
      <c r="Q369" s="81"/>
      <c r="R369" s="81"/>
      <c r="S369" s="81"/>
      <c r="T369" s="81"/>
      <c r="U369" s="272">
        <f t="shared" si="69"/>
        <v>0.01</v>
      </c>
      <c r="V369" s="272">
        <f t="shared" si="69"/>
        <v>0.01</v>
      </c>
      <c r="W369" s="272">
        <f t="shared" si="69"/>
        <v>0.01</v>
      </c>
      <c r="X369" s="272">
        <f t="shared" si="69"/>
        <v>0</v>
      </c>
      <c r="Y369" s="272">
        <f t="shared" si="69"/>
        <v>0</v>
      </c>
      <c r="Z369" s="272">
        <f t="shared" si="69"/>
        <v>0</v>
      </c>
      <c r="AA369" s="272">
        <f t="shared" si="69"/>
        <v>0</v>
      </c>
      <c r="AB369" s="27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1136</v>
      </c>
      <c r="G370" s="78"/>
      <c r="H370" s="81" t="s">
        <v>1137</v>
      </c>
      <c r="I370" s="101" t="s">
        <v>582</v>
      </c>
      <c r="J370" s="101"/>
      <c r="K370" s="129">
        <v>0</v>
      </c>
      <c r="L370" s="102"/>
      <c r="M370" s="81"/>
      <c r="N370" s="81"/>
      <c r="O370" s="81"/>
      <c r="P370" s="81"/>
      <c r="Q370" s="81"/>
      <c r="R370" s="81"/>
      <c r="S370" s="81"/>
      <c r="T370" s="81"/>
      <c r="U370" s="272">
        <f t="shared" si="69"/>
        <v>0</v>
      </c>
      <c r="V370" s="272">
        <f t="shared" si="69"/>
        <v>0</v>
      </c>
      <c r="W370" s="272">
        <f t="shared" si="69"/>
        <v>0</v>
      </c>
      <c r="X370" s="272">
        <f t="shared" si="69"/>
        <v>0</v>
      </c>
      <c r="Y370" s="272">
        <f t="shared" si="69"/>
        <v>0</v>
      </c>
      <c r="Z370" s="272">
        <f t="shared" si="69"/>
        <v>0</v>
      </c>
      <c r="AA370" s="272">
        <f t="shared" si="69"/>
        <v>0</v>
      </c>
      <c r="AB370" s="27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2399</v>
      </c>
      <c r="G371" s="78"/>
      <c r="H371" s="81" t="s">
        <v>2404</v>
      </c>
      <c r="I371" s="101" t="s">
        <v>2407</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1121</v>
      </c>
      <c r="AE371" s="81"/>
      <c r="AF371" s="102">
        <v>1</v>
      </c>
      <c r="AG371" s="102">
        <v>1</v>
      </c>
      <c r="AH371" s="78"/>
      <c r="AI371" s="60"/>
      <c r="AJ371" s="48"/>
      <c r="AK371" s="48"/>
      <c r="AL371" s="48"/>
    </row>
    <row r="372" spans="1:38" outlineLevel="2" x14ac:dyDescent="0.25">
      <c r="A372" s="48"/>
      <c r="B372" s="57"/>
      <c r="C372" s="50">
        <f t="shared" si="66"/>
        <v>3</v>
      </c>
      <c r="D372" s="78"/>
      <c r="E372" s="73"/>
      <c r="F372" s="73" t="s">
        <v>2400</v>
      </c>
      <c r="G372" s="78"/>
      <c r="H372" s="81" t="s">
        <v>2408</v>
      </c>
      <c r="I372" s="101" t="s">
        <v>582</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532</v>
      </c>
      <c r="AE372" s="81"/>
      <c r="AF372" s="102">
        <v>1</v>
      </c>
      <c r="AG372" s="102">
        <v>1</v>
      </c>
      <c r="AH372" s="78"/>
      <c r="AI372" s="60"/>
      <c r="AJ372" s="48"/>
      <c r="AK372" s="48"/>
      <c r="AL372" s="48"/>
    </row>
    <row r="373" spans="1:38" outlineLevel="2" x14ac:dyDescent="0.25">
      <c r="A373" s="48"/>
      <c r="B373" s="57"/>
      <c r="C373" s="50">
        <f t="shared" si="66"/>
        <v>3</v>
      </c>
      <c r="D373" s="78"/>
      <c r="E373" s="73"/>
      <c r="F373" s="73" t="s">
        <v>2401</v>
      </c>
      <c r="G373" s="78"/>
      <c r="H373" s="81" t="s">
        <v>2405</v>
      </c>
      <c r="I373" s="101" t="s">
        <v>582</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532</v>
      </c>
      <c r="AE373" s="81"/>
      <c r="AF373" s="102">
        <v>1</v>
      </c>
      <c r="AG373" s="102">
        <v>1</v>
      </c>
      <c r="AH373" s="78"/>
      <c r="AI373" s="60"/>
      <c r="AJ373" s="48"/>
      <c r="AK373" s="48"/>
      <c r="AL373" s="48"/>
    </row>
    <row r="374" spans="1:38" outlineLevel="2" x14ac:dyDescent="0.25">
      <c r="A374" s="48"/>
      <c r="B374" s="57"/>
      <c r="C374" s="50">
        <f t="shared" si="66"/>
        <v>3</v>
      </c>
      <c r="D374" s="78"/>
      <c r="E374" s="73"/>
      <c r="F374" s="73" t="s">
        <v>2402</v>
      </c>
      <c r="G374" s="78"/>
      <c r="H374" s="81" t="s">
        <v>2409</v>
      </c>
      <c r="I374" s="101" t="s">
        <v>2410</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532</v>
      </c>
      <c r="AE374" s="81"/>
      <c r="AF374" s="102">
        <v>1</v>
      </c>
      <c r="AG374" s="102">
        <v>1</v>
      </c>
      <c r="AH374" s="78"/>
      <c r="AI374" s="60"/>
      <c r="AJ374" s="48"/>
      <c r="AK374" s="48"/>
      <c r="AL374" s="48"/>
    </row>
    <row r="375" spans="1:38" outlineLevel="2" x14ac:dyDescent="0.25">
      <c r="A375" s="48"/>
      <c r="B375" s="57"/>
      <c r="C375" s="50">
        <f t="shared" si="66"/>
        <v>3</v>
      </c>
      <c r="D375" s="78"/>
      <c r="E375" s="73"/>
      <c r="F375" s="73" t="s">
        <v>2403</v>
      </c>
      <c r="G375" s="78"/>
      <c r="H375" s="81" t="s">
        <v>2406</v>
      </c>
      <c r="I375" s="101" t="s">
        <v>2410</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532</v>
      </c>
      <c r="AE375" s="81"/>
      <c r="AF375" s="102">
        <v>1</v>
      </c>
      <c r="AG375" s="102">
        <v>1</v>
      </c>
      <c r="AH375" s="78"/>
      <c r="AI375" s="60"/>
      <c r="AJ375" s="48"/>
      <c r="AK375" s="48"/>
      <c r="AL375" s="48"/>
    </row>
    <row r="376" spans="1:38" outlineLevel="1" x14ac:dyDescent="0.25">
      <c r="A376" s="48"/>
      <c r="B376" s="57"/>
      <c r="C376" s="50">
        <f>INT($C$40)+1</f>
        <v>2</v>
      </c>
      <c r="D376" s="78"/>
      <c r="E376" s="73"/>
      <c r="F376" s="275" t="s">
        <v>1138</v>
      </c>
      <c r="G376" s="78"/>
      <c r="H376" s="265" t="s">
        <v>1139</v>
      </c>
      <c r="I376" s="142"/>
      <c r="J376" s="142" t="s">
        <v>1140</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1141</v>
      </c>
      <c r="G377" s="78"/>
      <c r="H377" s="81" t="s">
        <v>685</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1142</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1143</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1144</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1145</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1146</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1147</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1148</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1149</v>
      </c>
      <c r="G385" s="78"/>
      <c r="H385" s="81" t="s">
        <v>685</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1150</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1151</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1152</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1153</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1154</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1155</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1156</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1157</v>
      </c>
      <c r="G393" s="78"/>
      <c r="H393" s="81" t="s">
        <v>2438</v>
      </c>
      <c r="I393" s="101"/>
      <c r="J393" s="101"/>
      <c r="K393" s="81"/>
      <c r="L393" s="81"/>
      <c r="M393" s="81"/>
      <c r="N393" s="81"/>
      <c r="O393" s="81"/>
      <c r="P393" s="81"/>
      <c r="Q393" s="81"/>
      <c r="R393" s="81"/>
      <c r="S393" s="81"/>
      <c r="T393" s="81"/>
      <c r="U393" s="371">
        <v>0</v>
      </c>
      <c r="V393" s="371">
        <v>0</v>
      </c>
      <c r="W393" s="371">
        <v>0</v>
      </c>
      <c r="X393" s="371">
        <v>0</v>
      </c>
      <c r="Y393" s="371">
        <v>0</v>
      </c>
      <c r="Z393" s="371">
        <v>0</v>
      </c>
      <c r="AA393" s="371">
        <v>0</v>
      </c>
      <c r="AB393" s="371">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1158</v>
      </c>
      <c r="G394" s="78"/>
      <c r="H394" s="81" t="s">
        <v>2439</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2446</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1159</v>
      </c>
      <c r="G395" s="78"/>
      <c r="H395" s="81" t="s">
        <v>2440</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1160</v>
      </c>
      <c r="G396" s="78"/>
      <c r="H396" s="81" t="s">
        <v>2441</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1161</v>
      </c>
      <c r="G397" s="78"/>
      <c r="H397" s="81" t="s">
        <v>2442</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1162</v>
      </c>
      <c r="G398" s="78"/>
      <c r="H398" s="81" t="s">
        <v>2443</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1163</v>
      </c>
      <c r="G399" s="78"/>
      <c r="H399" s="81" t="s">
        <v>2444</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1164</v>
      </c>
      <c r="G400" s="78"/>
      <c r="H400" s="81" t="s">
        <v>2445</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1165</v>
      </c>
      <c r="G401" s="78"/>
      <c r="H401" s="81" t="s">
        <v>685</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1166</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1167</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1168</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1169</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1170</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1171</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1172</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1173</v>
      </c>
      <c r="G409" s="78"/>
      <c r="H409" s="81" t="s">
        <v>685</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1174</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1175</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1176</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1177</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1178</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1179</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1180</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1181</v>
      </c>
      <c r="G417" s="78"/>
      <c r="H417" s="81" t="s">
        <v>685</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1182</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1183</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1184</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1185</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1186</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1187</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1188</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1189</v>
      </c>
      <c r="G425" s="78"/>
      <c r="H425" s="81" t="s">
        <v>685</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1190</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1191</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1192</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1193</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1194</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1195</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1196</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1197</v>
      </c>
      <c r="G433" s="78"/>
      <c r="H433" s="81" t="s">
        <v>685</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1198</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1199</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1200</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1201</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1202</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1203</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1204</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1205</v>
      </c>
      <c r="G441" s="78"/>
      <c r="H441" s="81" t="s">
        <v>2333</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1206</v>
      </c>
      <c r="G442" s="78"/>
      <c r="H442" s="81" t="s">
        <v>2334</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1207</v>
      </c>
      <c r="G443" s="78"/>
      <c r="H443" s="81" t="s">
        <v>2335</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1208</v>
      </c>
      <c r="G444" s="78"/>
      <c r="H444" s="81" t="s">
        <v>2336</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1209</v>
      </c>
      <c r="G445" s="78"/>
      <c r="H445" s="81" t="s">
        <v>2337</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1210</v>
      </c>
      <c r="G446" s="78"/>
      <c r="H446" s="81" t="s">
        <v>2338</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1211</v>
      </c>
      <c r="G447" s="78"/>
      <c r="H447" s="81" t="s">
        <v>2339</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1212</v>
      </c>
      <c r="G448" s="78"/>
      <c r="H448" s="81" t="s">
        <v>2340</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1213</v>
      </c>
      <c r="G449" s="78"/>
      <c r="H449" s="81" t="s">
        <v>685</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1214</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1215</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1216</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1217</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1218</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1219</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1220</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1221</v>
      </c>
      <c r="G457" s="78"/>
      <c r="H457" s="81" t="s">
        <v>685</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1222</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1223</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1224</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1225</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1226</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1227</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1228</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1229</v>
      </c>
      <c r="G465" s="78"/>
      <c r="H465" s="81" t="s">
        <v>685</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1230</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1231</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1232</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1233</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1234</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1235</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1236</v>
      </c>
      <c r="G472" s="78"/>
      <c r="H472" s="81"/>
      <c r="I472" s="101"/>
      <c r="J472" s="101"/>
      <c r="K472" s="81"/>
      <c r="L472" s="81"/>
      <c r="M472" s="81"/>
      <c r="N472" s="81"/>
      <c r="O472" s="81"/>
      <c r="P472" s="81"/>
      <c r="Q472" s="81"/>
      <c r="R472" s="81"/>
      <c r="S472" s="81"/>
      <c r="T472" s="101" t="s">
        <v>1237</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1238</v>
      </c>
      <c r="G473" s="78"/>
      <c r="H473" s="81" t="s">
        <v>1239</v>
      </c>
      <c r="I473" s="101" t="s">
        <v>582</v>
      </c>
      <c r="J473" s="101" t="s">
        <v>1240</v>
      </c>
      <c r="K473" s="81"/>
      <c r="L473" s="81"/>
      <c r="M473" s="81"/>
      <c r="N473" s="81"/>
      <c r="O473" s="81"/>
      <c r="P473" s="81"/>
      <c r="Q473" s="81"/>
      <c r="R473" s="81"/>
      <c r="S473" s="81"/>
      <c r="T473" s="81">
        <v>-0.1</v>
      </c>
      <c r="U473" s="102">
        <v>-0.2</v>
      </c>
      <c r="V473" s="102">
        <v>-0.2</v>
      </c>
      <c r="W473" s="102">
        <v>-0.2</v>
      </c>
      <c r="X473" s="274">
        <f t="shared" ref="X473:AB485" si="73">W473</f>
        <v>-0.2</v>
      </c>
      <c r="Y473" s="274">
        <f t="shared" si="73"/>
        <v>-0.2</v>
      </c>
      <c r="Z473" s="274">
        <f t="shared" si="73"/>
        <v>-0.2</v>
      </c>
      <c r="AA473" s="274">
        <f t="shared" si="73"/>
        <v>-0.2</v>
      </c>
      <c r="AB473" s="274">
        <f t="shared" si="73"/>
        <v>-0.2</v>
      </c>
      <c r="AC473" s="81"/>
      <c r="AD473" s="102" t="s">
        <v>1241</v>
      </c>
      <c r="AE473" s="81"/>
      <c r="AF473" s="102">
        <v>1</v>
      </c>
      <c r="AG473" s="102">
        <v>1</v>
      </c>
      <c r="AH473" s="78"/>
      <c r="AI473" s="60"/>
      <c r="AJ473" s="48"/>
      <c r="AK473" s="48"/>
      <c r="AL473" s="48"/>
    </row>
    <row r="474" spans="1:38" outlineLevel="2" x14ac:dyDescent="0.25">
      <c r="A474" s="48"/>
      <c r="B474" s="57"/>
      <c r="C474" s="50">
        <f t="shared" si="72"/>
        <v>3</v>
      </c>
      <c r="D474" s="78"/>
      <c r="E474" s="73"/>
      <c r="F474" s="73" t="s">
        <v>1242</v>
      </c>
      <c r="G474" s="78"/>
      <c r="H474" s="81" t="s">
        <v>1243</v>
      </c>
      <c r="I474" s="101" t="s">
        <v>582</v>
      </c>
      <c r="J474" s="101" t="s">
        <v>1240</v>
      </c>
      <c r="K474" s="81"/>
      <c r="L474" s="81"/>
      <c r="M474" s="81"/>
      <c r="N474" s="81"/>
      <c r="O474" s="81"/>
      <c r="P474" s="81"/>
      <c r="Q474" s="81"/>
      <c r="R474" s="81"/>
      <c r="S474" s="81"/>
      <c r="T474" s="81">
        <v>0</v>
      </c>
      <c r="U474" s="102">
        <v>-0.1</v>
      </c>
      <c r="V474" s="102">
        <v>-0.1</v>
      </c>
      <c r="W474" s="102">
        <v>-0.1</v>
      </c>
      <c r="X474" s="274">
        <f t="shared" si="73"/>
        <v>-0.1</v>
      </c>
      <c r="Y474" s="274">
        <f t="shared" si="73"/>
        <v>-0.1</v>
      </c>
      <c r="Z474" s="274">
        <f t="shared" si="73"/>
        <v>-0.1</v>
      </c>
      <c r="AA474" s="274">
        <f t="shared" si="73"/>
        <v>-0.1</v>
      </c>
      <c r="AB474" s="274">
        <f t="shared" si="73"/>
        <v>-0.1</v>
      </c>
      <c r="AC474" s="81"/>
      <c r="AD474" s="102" t="s">
        <v>1244</v>
      </c>
      <c r="AE474" s="81"/>
      <c r="AF474" s="102">
        <v>1</v>
      </c>
      <c r="AG474" s="102">
        <v>1</v>
      </c>
      <c r="AH474" s="78"/>
      <c r="AI474" s="60"/>
      <c r="AJ474" s="48"/>
      <c r="AK474" s="48"/>
      <c r="AL474" s="48"/>
    </row>
    <row r="475" spans="1:38" outlineLevel="2" x14ac:dyDescent="0.25">
      <c r="A475" s="48"/>
      <c r="B475" s="57"/>
      <c r="C475" s="50">
        <f t="shared" si="72"/>
        <v>3</v>
      </c>
      <c r="D475" s="78"/>
      <c r="E475" s="73"/>
      <c r="F475" s="73" t="s">
        <v>1245</v>
      </c>
      <c r="G475" s="78"/>
      <c r="H475" s="81" t="s">
        <v>1246</v>
      </c>
      <c r="I475" s="101" t="s">
        <v>582</v>
      </c>
      <c r="J475" s="101" t="s">
        <v>1240</v>
      </c>
      <c r="K475" s="81"/>
      <c r="L475" s="81"/>
      <c r="M475" s="81"/>
      <c r="N475" s="81"/>
      <c r="O475" s="81"/>
      <c r="P475" s="81"/>
      <c r="Q475" s="81"/>
      <c r="R475" s="81"/>
      <c r="S475" s="81"/>
      <c r="T475" s="81">
        <v>-1.4E-2</v>
      </c>
      <c r="U475" s="102">
        <v>0</v>
      </c>
      <c r="V475" s="102">
        <v>0</v>
      </c>
      <c r="W475" s="102">
        <v>0</v>
      </c>
      <c r="X475" s="274">
        <f t="shared" si="73"/>
        <v>0</v>
      </c>
      <c r="Y475" s="274">
        <f t="shared" si="73"/>
        <v>0</v>
      </c>
      <c r="Z475" s="274">
        <f t="shared" si="73"/>
        <v>0</v>
      </c>
      <c r="AA475" s="274">
        <f t="shared" si="73"/>
        <v>0</v>
      </c>
      <c r="AB475" s="27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1247</v>
      </c>
      <c r="G476" s="78"/>
      <c r="H476" s="81" t="s">
        <v>1248</v>
      </c>
      <c r="I476" s="101" t="s">
        <v>582</v>
      </c>
      <c r="J476" s="101" t="s">
        <v>1240</v>
      </c>
      <c r="K476" s="81"/>
      <c r="L476" s="81"/>
      <c r="M476" s="81"/>
      <c r="N476" s="81"/>
      <c r="O476" s="81"/>
      <c r="P476" s="81"/>
      <c r="Q476" s="81"/>
      <c r="R476" s="81"/>
      <c r="S476" s="81"/>
      <c r="T476" s="81">
        <v>-0.104</v>
      </c>
      <c r="U476" s="102">
        <v>0</v>
      </c>
      <c r="V476" s="102">
        <v>0</v>
      </c>
      <c r="W476" s="102">
        <v>0</v>
      </c>
      <c r="X476" s="274">
        <f t="shared" si="73"/>
        <v>0</v>
      </c>
      <c r="Y476" s="274">
        <f t="shared" si="73"/>
        <v>0</v>
      </c>
      <c r="Z476" s="274">
        <f t="shared" si="73"/>
        <v>0</v>
      </c>
      <c r="AA476" s="274">
        <f t="shared" si="73"/>
        <v>0</v>
      </c>
      <c r="AB476" s="27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1249</v>
      </c>
      <c r="G477" s="78"/>
      <c r="H477" s="81" t="s">
        <v>1250</v>
      </c>
      <c r="I477" s="101" t="s">
        <v>582</v>
      </c>
      <c r="J477" s="101" t="s">
        <v>1240</v>
      </c>
      <c r="K477" s="81"/>
      <c r="L477" s="81"/>
      <c r="M477" s="81"/>
      <c r="N477" s="81"/>
      <c r="O477" s="81"/>
      <c r="P477" s="81"/>
      <c r="Q477" s="81"/>
      <c r="R477" s="81"/>
      <c r="S477" s="81"/>
      <c r="T477" s="81">
        <v>-0.32100000000000001</v>
      </c>
      <c r="U477" s="102">
        <v>0</v>
      </c>
      <c r="V477" s="102">
        <v>0</v>
      </c>
      <c r="W477" s="102">
        <v>0</v>
      </c>
      <c r="X477" s="274">
        <f t="shared" si="73"/>
        <v>0</v>
      </c>
      <c r="Y477" s="274">
        <f t="shared" si="73"/>
        <v>0</v>
      </c>
      <c r="Z477" s="274">
        <f t="shared" si="73"/>
        <v>0</v>
      </c>
      <c r="AA477" s="274">
        <f t="shared" si="73"/>
        <v>0</v>
      </c>
      <c r="AB477" s="27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1251</v>
      </c>
      <c r="G478" s="78"/>
      <c r="H478" s="81" t="s">
        <v>1252</v>
      </c>
      <c r="I478" s="101" t="s">
        <v>582</v>
      </c>
      <c r="J478" s="101" t="s">
        <v>1240</v>
      </c>
      <c r="K478" s="81"/>
      <c r="L478" s="81"/>
      <c r="M478" s="81"/>
      <c r="N478" s="81"/>
      <c r="O478" s="81"/>
      <c r="P478" s="81"/>
      <c r="Q478" s="81"/>
      <c r="R478" s="81"/>
      <c r="S478" s="81"/>
      <c r="T478" s="81">
        <v>-0.32100000000000001</v>
      </c>
      <c r="U478" s="282">
        <f>U477</f>
        <v>0</v>
      </c>
      <c r="V478" s="282">
        <f>V477</f>
        <v>0</v>
      </c>
      <c r="W478" s="282">
        <f>W477</f>
        <v>0</v>
      </c>
      <c r="X478" s="282">
        <f t="shared" ref="X478:AB480" si="74">X477</f>
        <v>0</v>
      </c>
      <c r="Y478" s="282">
        <f t="shared" si="74"/>
        <v>0</v>
      </c>
      <c r="Z478" s="282">
        <f t="shared" si="74"/>
        <v>0</v>
      </c>
      <c r="AA478" s="282">
        <f t="shared" si="74"/>
        <v>0</v>
      </c>
      <c r="AB478" s="28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1253</v>
      </c>
      <c r="G479" s="78"/>
      <c r="H479" s="81" t="s">
        <v>1254</v>
      </c>
      <c r="I479" s="101" t="s">
        <v>582</v>
      </c>
      <c r="J479" s="101" t="s">
        <v>1240</v>
      </c>
      <c r="K479" s="81"/>
      <c r="L479" s="81"/>
      <c r="M479" s="81"/>
      <c r="N479" s="81"/>
      <c r="O479" s="81"/>
      <c r="P479" s="81"/>
      <c r="Q479" s="81"/>
      <c r="R479" s="81"/>
      <c r="S479" s="81"/>
      <c r="T479" s="81">
        <v>-0.32100000000000001</v>
      </c>
      <c r="U479" s="282">
        <f t="shared" ref="U479:W480" si="75">U478</f>
        <v>0</v>
      </c>
      <c r="V479" s="282">
        <f t="shared" si="75"/>
        <v>0</v>
      </c>
      <c r="W479" s="282">
        <f t="shared" si="75"/>
        <v>0</v>
      </c>
      <c r="X479" s="282">
        <f t="shared" si="74"/>
        <v>0</v>
      </c>
      <c r="Y479" s="282">
        <f t="shared" si="74"/>
        <v>0</v>
      </c>
      <c r="Z479" s="282">
        <f t="shared" si="74"/>
        <v>0</v>
      </c>
      <c r="AA479" s="282">
        <f t="shared" si="74"/>
        <v>0</v>
      </c>
      <c r="AB479" s="28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1255</v>
      </c>
      <c r="G480" s="78"/>
      <c r="H480" s="81" t="s">
        <v>1256</v>
      </c>
      <c r="I480" s="101" t="s">
        <v>582</v>
      </c>
      <c r="J480" s="101" t="s">
        <v>1240</v>
      </c>
      <c r="K480" s="81"/>
      <c r="L480" s="81"/>
      <c r="M480" s="81"/>
      <c r="N480" s="81"/>
      <c r="O480" s="81"/>
      <c r="P480" s="81"/>
      <c r="Q480" s="81"/>
      <c r="R480" s="81"/>
      <c r="S480" s="81"/>
      <c r="T480" s="81">
        <v>-0.32100000000000001</v>
      </c>
      <c r="U480" s="282">
        <f t="shared" si="75"/>
        <v>0</v>
      </c>
      <c r="V480" s="282">
        <f t="shared" si="75"/>
        <v>0</v>
      </c>
      <c r="W480" s="282">
        <f t="shared" si="75"/>
        <v>0</v>
      </c>
      <c r="X480" s="282">
        <f t="shared" si="74"/>
        <v>0</v>
      </c>
      <c r="Y480" s="282">
        <f t="shared" si="74"/>
        <v>0</v>
      </c>
      <c r="Z480" s="282">
        <f t="shared" si="74"/>
        <v>0</v>
      </c>
      <c r="AA480" s="282">
        <f t="shared" si="74"/>
        <v>0</v>
      </c>
      <c r="AB480" s="28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1257</v>
      </c>
      <c r="G481" s="78"/>
      <c r="H481" s="81" t="s">
        <v>1258</v>
      </c>
      <c r="I481" s="101" t="s">
        <v>582</v>
      </c>
      <c r="J481" s="101" t="s">
        <v>1240</v>
      </c>
      <c r="K481" s="81"/>
      <c r="L481" s="81"/>
      <c r="M481" s="81"/>
      <c r="N481" s="81"/>
      <c r="O481" s="81"/>
      <c r="P481" s="81"/>
      <c r="Q481" s="81"/>
      <c r="R481" s="81"/>
      <c r="S481" s="81"/>
      <c r="T481" s="81">
        <v>0</v>
      </c>
      <c r="U481" s="102">
        <v>0</v>
      </c>
      <c r="V481" s="102">
        <v>0</v>
      </c>
      <c r="W481" s="102">
        <v>0</v>
      </c>
      <c r="X481" s="274">
        <f t="shared" si="73"/>
        <v>0</v>
      </c>
      <c r="Y481" s="274">
        <f t="shared" si="73"/>
        <v>0</v>
      </c>
      <c r="Z481" s="274">
        <f t="shared" si="73"/>
        <v>0</v>
      </c>
      <c r="AA481" s="274">
        <f t="shared" si="73"/>
        <v>0</v>
      </c>
      <c r="AB481" s="27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1259</v>
      </c>
      <c r="G482" s="78"/>
      <c r="H482" s="81" t="s">
        <v>1260</v>
      </c>
      <c r="I482" s="101" t="s">
        <v>582</v>
      </c>
      <c r="J482" s="101" t="s">
        <v>1240</v>
      </c>
      <c r="K482" s="81"/>
      <c r="L482" s="81"/>
      <c r="M482" s="81"/>
      <c r="N482" s="81"/>
      <c r="O482" s="81"/>
      <c r="P482" s="81"/>
      <c r="Q482" s="81"/>
      <c r="R482" s="81"/>
      <c r="S482" s="81"/>
      <c r="T482" s="81">
        <v>0</v>
      </c>
      <c r="U482" s="102">
        <v>0</v>
      </c>
      <c r="V482" s="102">
        <v>0</v>
      </c>
      <c r="W482" s="102">
        <v>0</v>
      </c>
      <c r="X482" s="274">
        <f t="shared" si="73"/>
        <v>0</v>
      </c>
      <c r="Y482" s="274">
        <f t="shared" si="73"/>
        <v>0</v>
      </c>
      <c r="Z482" s="274">
        <f t="shared" si="73"/>
        <v>0</v>
      </c>
      <c r="AA482" s="274">
        <f t="shared" si="73"/>
        <v>0</v>
      </c>
      <c r="AB482" s="27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1261</v>
      </c>
      <c r="G483" s="78"/>
      <c r="H483" s="81" t="s">
        <v>1262</v>
      </c>
      <c r="I483" s="101" t="s">
        <v>582</v>
      </c>
      <c r="J483" s="101" t="s">
        <v>1240</v>
      </c>
      <c r="K483" s="81"/>
      <c r="L483" s="81"/>
      <c r="M483" s="81"/>
      <c r="N483" s="81"/>
      <c r="O483" s="81"/>
      <c r="P483" s="81"/>
      <c r="Q483" s="81"/>
      <c r="R483" s="81"/>
      <c r="S483" s="81"/>
      <c r="T483" s="81">
        <v>-1.7000000000000001E-2</v>
      </c>
      <c r="U483" s="102">
        <v>0</v>
      </c>
      <c r="V483" s="102">
        <v>0</v>
      </c>
      <c r="W483" s="102">
        <v>0</v>
      </c>
      <c r="X483" s="274">
        <f t="shared" si="73"/>
        <v>0</v>
      </c>
      <c r="Y483" s="274">
        <f t="shared" si="73"/>
        <v>0</v>
      </c>
      <c r="Z483" s="274">
        <f t="shared" si="73"/>
        <v>0</v>
      </c>
      <c r="AA483" s="274">
        <f t="shared" si="73"/>
        <v>0</v>
      </c>
      <c r="AB483" s="27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1263</v>
      </c>
      <c r="G484" s="78"/>
      <c r="H484" s="81" t="s">
        <v>1264</v>
      </c>
      <c r="I484" s="101" t="s">
        <v>582</v>
      </c>
      <c r="J484" s="101" t="s">
        <v>1240</v>
      </c>
      <c r="K484" s="81"/>
      <c r="L484" s="81"/>
      <c r="M484" s="81"/>
      <c r="N484" s="81"/>
      <c r="O484" s="81"/>
      <c r="P484" s="81"/>
      <c r="Q484" s="81"/>
      <c r="R484" s="81"/>
      <c r="S484" s="81"/>
      <c r="T484" s="81">
        <v>-0.39700000000000002</v>
      </c>
      <c r="U484" s="102">
        <v>0</v>
      </c>
      <c r="V484" s="102">
        <v>0</v>
      </c>
      <c r="W484" s="102">
        <v>0</v>
      </c>
      <c r="X484" s="274">
        <f t="shared" si="73"/>
        <v>0</v>
      </c>
      <c r="Y484" s="274">
        <f t="shared" si="73"/>
        <v>0</v>
      </c>
      <c r="Z484" s="274">
        <f t="shared" si="73"/>
        <v>0</v>
      </c>
      <c r="AA484" s="274">
        <f t="shared" si="73"/>
        <v>0</v>
      </c>
      <c r="AB484" s="27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1265</v>
      </c>
      <c r="G485" s="78"/>
      <c r="H485" s="81" t="s">
        <v>1266</v>
      </c>
      <c r="I485" s="101" t="s">
        <v>582</v>
      </c>
      <c r="J485" s="101" t="s">
        <v>1240</v>
      </c>
      <c r="K485" s="81"/>
      <c r="L485" s="81"/>
      <c r="M485" s="81"/>
      <c r="N485" s="81"/>
      <c r="O485" s="81"/>
      <c r="P485" s="81"/>
      <c r="Q485" s="81"/>
      <c r="R485" s="81"/>
      <c r="S485" s="81"/>
      <c r="T485" s="81">
        <v>-0.74199999999999999</v>
      </c>
      <c r="U485" s="102">
        <v>0</v>
      </c>
      <c r="V485" s="102">
        <v>0</v>
      </c>
      <c r="W485" s="102">
        <v>0</v>
      </c>
      <c r="X485" s="274">
        <f t="shared" si="73"/>
        <v>0</v>
      </c>
      <c r="Y485" s="274">
        <f t="shared" si="73"/>
        <v>0</v>
      </c>
      <c r="Z485" s="274">
        <f t="shared" si="73"/>
        <v>0</v>
      </c>
      <c r="AA485" s="274">
        <f t="shared" si="73"/>
        <v>0</v>
      </c>
      <c r="AB485" s="27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1267</v>
      </c>
      <c r="G486" s="78"/>
      <c r="H486" s="81" t="s">
        <v>1268</v>
      </c>
      <c r="I486" s="101" t="s">
        <v>582</v>
      </c>
      <c r="J486" s="101" t="s">
        <v>1240</v>
      </c>
      <c r="K486" s="81"/>
      <c r="L486" s="81"/>
      <c r="M486" s="81"/>
      <c r="N486" s="81"/>
      <c r="O486" s="81"/>
      <c r="P486" s="81"/>
      <c r="Q486" s="81"/>
      <c r="R486" s="81"/>
      <c r="S486" s="81"/>
      <c r="T486" s="81">
        <v>-0.74199999999999999</v>
      </c>
      <c r="U486" s="282">
        <f t="shared" ref="U486:AB488" si="76">U485</f>
        <v>0</v>
      </c>
      <c r="V486" s="282">
        <f t="shared" si="76"/>
        <v>0</v>
      </c>
      <c r="W486" s="282">
        <f t="shared" si="76"/>
        <v>0</v>
      </c>
      <c r="X486" s="282">
        <f t="shared" si="76"/>
        <v>0</v>
      </c>
      <c r="Y486" s="282">
        <f t="shared" si="76"/>
        <v>0</v>
      </c>
      <c r="Z486" s="282">
        <f t="shared" si="76"/>
        <v>0</v>
      </c>
      <c r="AA486" s="282">
        <f t="shared" si="76"/>
        <v>0</v>
      </c>
      <c r="AB486" s="28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1269</v>
      </c>
      <c r="G487" s="78"/>
      <c r="H487" s="81" t="s">
        <v>1270</v>
      </c>
      <c r="I487" s="101" t="s">
        <v>582</v>
      </c>
      <c r="J487" s="101" t="s">
        <v>1240</v>
      </c>
      <c r="K487" s="81"/>
      <c r="L487" s="81"/>
      <c r="M487" s="81"/>
      <c r="N487" s="81"/>
      <c r="O487" s="81"/>
      <c r="P487" s="81"/>
      <c r="Q487" s="81"/>
      <c r="R487" s="81"/>
      <c r="S487" s="81"/>
      <c r="T487" s="81">
        <v>-0.74199999999999999</v>
      </c>
      <c r="U487" s="282">
        <f t="shared" si="76"/>
        <v>0</v>
      </c>
      <c r="V487" s="282">
        <f t="shared" si="76"/>
        <v>0</v>
      </c>
      <c r="W487" s="282">
        <f t="shared" si="76"/>
        <v>0</v>
      </c>
      <c r="X487" s="282">
        <f t="shared" si="76"/>
        <v>0</v>
      </c>
      <c r="Y487" s="282">
        <f t="shared" si="76"/>
        <v>0</v>
      </c>
      <c r="Z487" s="282">
        <f t="shared" si="76"/>
        <v>0</v>
      </c>
      <c r="AA487" s="282">
        <f t="shared" si="76"/>
        <v>0</v>
      </c>
      <c r="AB487" s="28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1271</v>
      </c>
      <c r="G488" s="78"/>
      <c r="H488" s="81" t="s">
        <v>1272</v>
      </c>
      <c r="I488" s="101" t="s">
        <v>582</v>
      </c>
      <c r="J488" s="101" t="s">
        <v>1240</v>
      </c>
      <c r="K488" s="81"/>
      <c r="L488" s="81"/>
      <c r="M488" s="81"/>
      <c r="N488" s="81"/>
      <c r="O488" s="81"/>
      <c r="P488" s="81"/>
      <c r="Q488" s="81"/>
      <c r="R488" s="81"/>
      <c r="S488" s="81"/>
      <c r="T488" s="81">
        <v>-0.74199999999999999</v>
      </c>
      <c r="U488" s="282">
        <f t="shared" si="76"/>
        <v>0</v>
      </c>
      <c r="V488" s="282">
        <f t="shared" si="76"/>
        <v>0</v>
      </c>
      <c r="W488" s="282">
        <f t="shared" si="76"/>
        <v>0</v>
      </c>
      <c r="X488" s="282">
        <f t="shared" si="76"/>
        <v>0</v>
      </c>
      <c r="Y488" s="282">
        <f t="shared" si="76"/>
        <v>0</v>
      </c>
      <c r="Z488" s="282">
        <f t="shared" si="76"/>
        <v>0</v>
      </c>
      <c r="AA488" s="282">
        <f t="shared" si="76"/>
        <v>0</v>
      </c>
      <c r="AB488" s="28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1273</v>
      </c>
      <c r="G489" s="78"/>
      <c r="H489" s="81" t="s">
        <v>685</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1274</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1275</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1276</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1277</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1278</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1279</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1280</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1281</v>
      </c>
      <c r="G497" s="78"/>
      <c r="H497" s="81" t="s">
        <v>1282</v>
      </c>
      <c r="I497" s="101" t="s">
        <v>582</v>
      </c>
      <c r="J497" s="101" t="s">
        <v>1283</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1284</v>
      </c>
      <c r="AE497" s="81"/>
      <c r="AF497" s="102">
        <v>1</v>
      </c>
      <c r="AG497" s="102">
        <v>1</v>
      </c>
      <c r="AH497" s="78"/>
      <c r="AI497" s="60"/>
      <c r="AJ497" s="48"/>
      <c r="AK497" s="48"/>
      <c r="AL497" s="48"/>
    </row>
    <row r="498" spans="1:38" outlineLevel="2" x14ac:dyDescent="0.25">
      <c r="A498" s="48"/>
      <c r="B498" s="57"/>
      <c r="C498" s="50">
        <f t="shared" si="72"/>
        <v>3</v>
      </c>
      <c r="D498" s="78"/>
      <c r="E498" s="73"/>
      <c r="F498" s="73" t="s">
        <v>1285</v>
      </c>
      <c r="G498" s="78"/>
      <c r="H498" s="81" t="s">
        <v>1286</v>
      </c>
      <c r="I498" s="101" t="s">
        <v>582</v>
      </c>
      <c r="J498" s="101" t="s">
        <v>1283</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1287</v>
      </c>
      <c r="G499" s="78"/>
      <c r="H499" s="81" t="s">
        <v>1288</v>
      </c>
      <c r="I499" s="101" t="s">
        <v>582</v>
      </c>
      <c r="J499" s="101" t="s">
        <v>1283</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1289</v>
      </c>
      <c r="G500" s="78"/>
      <c r="H500" s="81" t="s">
        <v>1290</v>
      </c>
      <c r="I500" s="101" t="s">
        <v>582</v>
      </c>
      <c r="J500" s="101" t="s">
        <v>1283</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1291</v>
      </c>
      <c r="G501" s="78"/>
      <c r="H501" s="81" t="s">
        <v>1292</v>
      </c>
      <c r="I501" s="101" t="s">
        <v>582</v>
      </c>
      <c r="J501" s="101" t="s">
        <v>1283</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1293</v>
      </c>
      <c r="G502" s="78"/>
      <c r="H502" s="81" t="s">
        <v>1294</v>
      </c>
      <c r="I502" s="101" t="s">
        <v>582</v>
      </c>
      <c r="J502" s="101" t="s">
        <v>1283</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1295</v>
      </c>
      <c r="G503" s="78"/>
      <c r="H503" s="81" t="s">
        <v>1296</v>
      </c>
      <c r="I503" s="101" t="s">
        <v>582</v>
      </c>
      <c r="J503" s="101" t="s">
        <v>1283</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1297</v>
      </c>
      <c r="G504" s="78"/>
      <c r="H504" s="81" t="s">
        <v>1298</v>
      </c>
      <c r="I504" s="101" t="s">
        <v>582</v>
      </c>
      <c r="J504" s="101" t="s">
        <v>1283</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1299</v>
      </c>
      <c r="G505" s="78"/>
      <c r="H505" s="81" t="s">
        <v>2345</v>
      </c>
      <c r="I505" s="101" t="s">
        <v>582</v>
      </c>
      <c r="J505" s="101" t="s">
        <v>1240</v>
      </c>
      <c r="K505" s="81"/>
      <c r="L505" s="81"/>
      <c r="M505" s="81"/>
      <c r="N505" s="81"/>
      <c r="O505" s="81"/>
      <c r="P505" s="81"/>
      <c r="Q505" s="81"/>
      <c r="R505" s="81"/>
      <c r="S505" s="81"/>
      <c r="T505" s="81"/>
      <c r="U505" s="283">
        <v>0</v>
      </c>
      <c r="V505" s="283">
        <v>0</v>
      </c>
      <c r="W505" s="283">
        <v>0</v>
      </c>
      <c r="X505" s="274">
        <f t="shared" ref="X505:AB528" si="78">W505</f>
        <v>0</v>
      </c>
      <c r="Y505" s="274">
        <f t="shared" si="78"/>
        <v>0</v>
      </c>
      <c r="Z505" s="274">
        <f t="shared" si="78"/>
        <v>0</v>
      </c>
      <c r="AA505" s="274">
        <f t="shared" si="78"/>
        <v>0</v>
      </c>
      <c r="AB505" s="27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1300</v>
      </c>
      <c r="G506" s="78"/>
      <c r="H506" s="81" t="s">
        <v>1301</v>
      </c>
      <c r="I506" s="101" t="s">
        <v>582</v>
      </c>
      <c r="J506" s="101" t="s">
        <v>1240</v>
      </c>
      <c r="K506" s="81"/>
      <c r="L506" s="81"/>
      <c r="M506" s="81"/>
      <c r="N506" s="81"/>
      <c r="O506" s="81"/>
      <c r="P506" s="81"/>
      <c r="Q506" s="81"/>
      <c r="R506" s="81"/>
      <c r="S506" s="81"/>
      <c r="T506" s="81"/>
      <c r="U506" s="283">
        <v>0</v>
      </c>
      <c r="V506" s="283">
        <v>0</v>
      </c>
      <c r="W506" s="283">
        <v>0</v>
      </c>
      <c r="X506" s="274">
        <f t="shared" si="78"/>
        <v>0</v>
      </c>
      <c r="Y506" s="274">
        <f t="shared" si="78"/>
        <v>0</v>
      </c>
      <c r="Z506" s="274">
        <f t="shared" si="78"/>
        <v>0</v>
      </c>
      <c r="AA506" s="274">
        <f t="shared" si="78"/>
        <v>0</v>
      </c>
      <c r="AB506" s="27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1302</v>
      </c>
      <c r="G507" s="78"/>
      <c r="H507" s="81" t="s">
        <v>1303</v>
      </c>
      <c r="I507" s="101" t="s">
        <v>582</v>
      </c>
      <c r="J507" s="101" t="s">
        <v>1240</v>
      </c>
      <c r="K507" s="81"/>
      <c r="L507" s="81"/>
      <c r="M507" s="81"/>
      <c r="N507" s="81"/>
      <c r="O507" s="81"/>
      <c r="P507" s="81"/>
      <c r="Q507" s="81"/>
      <c r="R507" s="81"/>
      <c r="S507" s="81"/>
      <c r="T507" s="81"/>
      <c r="U507" s="283">
        <v>0</v>
      </c>
      <c r="V507" s="283">
        <v>0</v>
      </c>
      <c r="W507" s="283">
        <v>0</v>
      </c>
      <c r="X507" s="274">
        <f t="shared" si="78"/>
        <v>0</v>
      </c>
      <c r="Y507" s="274">
        <f t="shared" si="78"/>
        <v>0</v>
      </c>
      <c r="Z507" s="274">
        <f t="shared" si="78"/>
        <v>0</v>
      </c>
      <c r="AA507" s="274">
        <f t="shared" si="78"/>
        <v>0</v>
      </c>
      <c r="AB507" s="27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1304</v>
      </c>
      <c r="G508" s="78"/>
      <c r="H508" s="81" t="s">
        <v>1305</v>
      </c>
      <c r="I508" s="101" t="s">
        <v>582</v>
      </c>
      <c r="J508" s="101" t="s">
        <v>1240</v>
      </c>
      <c r="K508" s="81"/>
      <c r="L508" s="81"/>
      <c r="M508" s="81"/>
      <c r="N508" s="81"/>
      <c r="O508" s="81"/>
      <c r="P508" s="81"/>
      <c r="Q508" s="81"/>
      <c r="R508" s="81"/>
      <c r="S508" s="81"/>
      <c r="T508" s="81"/>
      <c r="U508" s="283">
        <v>0</v>
      </c>
      <c r="V508" s="283">
        <v>0</v>
      </c>
      <c r="W508" s="283">
        <v>0</v>
      </c>
      <c r="X508" s="274">
        <f t="shared" si="78"/>
        <v>0</v>
      </c>
      <c r="Y508" s="274">
        <f t="shared" si="78"/>
        <v>0</v>
      </c>
      <c r="Z508" s="274">
        <f t="shared" si="78"/>
        <v>0</v>
      </c>
      <c r="AA508" s="274">
        <f t="shared" si="78"/>
        <v>0</v>
      </c>
      <c r="AB508" s="27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1306</v>
      </c>
      <c r="G509" s="78"/>
      <c r="H509" s="81" t="s">
        <v>1307</v>
      </c>
      <c r="I509" s="101" t="s">
        <v>582</v>
      </c>
      <c r="J509" s="101" t="s">
        <v>1240</v>
      </c>
      <c r="K509" s="81"/>
      <c r="L509" s="81"/>
      <c r="M509" s="81"/>
      <c r="N509" s="81"/>
      <c r="O509" s="81"/>
      <c r="P509" s="81"/>
      <c r="Q509" s="81"/>
      <c r="R509" s="81"/>
      <c r="S509" s="81"/>
      <c r="T509" s="81"/>
      <c r="U509" s="283">
        <v>0</v>
      </c>
      <c r="V509" s="283">
        <v>0</v>
      </c>
      <c r="W509" s="283">
        <v>0</v>
      </c>
      <c r="X509" s="274">
        <f t="shared" si="78"/>
        <v>0</v>
      </c>
      <c r="Y509" s="274">
        <f t="shared" si="78"/>
        <v>0</v>
      </c>
      <c r="Z509" s="274">
        <f t="shared" si="78"/>
        <v>0</v>
      </c>
      <c r="AA509" s="274">
        <f t="shared" si="78"/>
        <v>0</v>
      </c>
      <c r="AB509" s="27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1308</v>
      </c>
      <c r="G510" s="78"/>
      <c r="H510" s="81" t="s">
        <v>1309</v>
      </c>
      <c r="I510" s="101" t="s">
        <v>582</v>
      </c>
      <c r="J510" s="101" t="s">
        <v>1240</v>
      </c>
      <c r="K510" s="81"/>
      <c r="L510" s="81"/>
      <c r="M510" s="81"/>
      <c r="N510" s="81"/>
      <c r="O510" s="81"/>
      <c r="P510" s="81"/>
      <c r="Q510" s="81"/>
      <c r="R510" s="81"/>
      <c r="S510" s="81"/>
      <c r="T510" s="81"/>
      <c r="U510" s="283">
        <v>0</v>
      </c>
      <c r="V510" s="283">
        <v>0</v>
      </c>
      <c r="W510" s="283">
        <v>0</v>
      </c>
      <c r="X510" s="274">
        <f t="shared" si="78"/>
        <v>0</v>
      </c>
      <c r="Y510" s="274">
        <f t="shared" si="78"/>
        <v>0</v>
      </c>
      <c r="Z510" s="274">
        <f t="shared" si="78"/>
        <v>0</v>
      </c>
      <c r="AA510" s="274">
        <f t="shared" si="78"/>
        <v>0</v>
      </c>
      <c r="AB510" s="27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1310</v>
      </c>
      <c r="G511" s="78"/>
      <c r="H511" s="81" t="s">
        <v>1311</v>
      </c>
      <c r="I511" s="101" t="s">
        <v>582</v>
      </c>
      <c r="J511" s="101" t="s">
        <v>1240</v>
      </c>
      <c r="K511" s="81"/>
      <c r="L511" s="81"/>
      <c r="M511" s="81"/>
      <c r="N511" s="81"/>
      <c r="O511" s="81"/>
      <c r="P511" s="81"/>
      <c r="Q511" s="81"/>
      <c r="R511" s="81"/>
      <c r="S511" s="81"/>
      <c r="T511" s="81"/>
      <c r="U511" s="283">
        <v>0</v>
      </c>
      <c r="V511" s="283">
        <v>0</v>
      </c>
      <c r="W511" s="283">
        <v>0</v>
      </c>
      <c r="X511" s="274">
        <f t="shared" si="78"/>
        <v>0</v>
      </c>
      <c r="Y511" s="274">
        <f t="shared" si="78"/>
        <v>0</v>
      </c>
      <c r="Z511" s="274">
        <f t="shared" si="78"/>
        <v>0</v>
      </c>
      <c r="AA511" s="274">
        <f t="shared" si="78"/>
        <v>0</v>
      </c>
      <c r="AB511" s="27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1312</v>
      </c>
      <c r="G512" s="78"/>
      <c r="H512" s="81" t="s">
        <v>1313</v>
      </c>
      <c r="I512" s="101" t="s">
        <v>582</v>
      </c>
      <c r="J512" s="101" t="s">
        <v>1240</v>
      </c>
      <c r="K512" s="81"/>
      <c r="L512" s="81"/>
      <c r="M512" s="81"/>
      <c r="N512" s="81"/>
      <c r="O512" s="81"/>
      <c r="P512" s="81"/>
      <c r="Q512" s="81"/>
      <c r="R512" s="81"/>
      <c r="S512" s="81"/>
      <c r="T512" s="81"/>
      <c r="U512" s="283">
        <v>0</v>
      </c>
      <c r="V512" s="283">
        <v>0</v>
      </c>
      <c r="W512" s="283">
        <v>0</v>
      </c>
      <c r="X512" s="274">
        <f t="shared" si="78"/>
        <v>0</v>
      </c>
      <c r="Y512" s="274">
        <f t="shared" si="78"/>
        <v>0</v>
      </c>
      <c r="Z512" s="274">
        <f t="shared" si="78"/>
        <v>0</v>
      </c>
      <c r="AA512" s="274">
        <f t="shared" si="78"/>
        <v>0</v>
      </c>
      <c r="AB512" s="27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1314</v>
      </c>
      <c r="G513" s="78"/>
      <c r="H513" s="81" t="s">
        <v>1315</v>
      </c>
      <c r="I513" s="101" t="s">
        <v>582</v>
      </c>
      <c r="J513" s="101" t="s">
        <v>1240</v>
      </c>
      <c r="K513" s="81"/>
      <c r="L513" s="81"/>
      <c r="M513" s="81"/>
      <c r="N513" s="81"/>
      <c r="O513" s="81"/>
      <c r="P513" s="81"/>
      <c r="Q513" s="81"/>
      <c r="R513" s="81"/>
      <c r="S513" s="81"/>
      <c r="T513" s="81"/>
      <c r="U513" s="283">
        <v>0</v>
      </c>
      <c r="V513" s="283">
        <v>0</v>
      </c>
      <c r="W513" s="283">
        <v>0</v>
      </c>
      <c r="X513" s="274">
        <f t="shared" si="78"/>
        <v>0</v>
      </c>
      <c r="Y513" s="274">
        <f t="shared" si="78"/>
        <v>0</v>
      </c>
      <c r="Z513" s="274">
        <f t="shared" si="78"/>
        <v>0</v>
      </c>
      <c r="AA513" s="274">
        <f t="shared" si="78"/>
        <v>0</v>
      </c>
      <c r="AB513" s="27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1316</v>
      </c>
      <c r="G514" s="78"/>
      <c r="H514" s="81" t="s">
        <v>1317</v>
      </c>
      <c r="I514" s="101" t="s">
        <v>582</v>
      </c>
      <c r="J514" s="101" t="s">
        <v>1240</v>
      </c>
      <c r="K514" s="81"/>
      <c r="L514" s="81"/>
      <c r="M514" s="81"/>
      <c r="N514" s="81"/>
      <c r="O514" s="81"/>
      <c r="P514" s="81"/>
      <c r="Q514" s="81"/>
      <c r="R514" s="81"/>
      <c r="S514" s="81"/>
      <c r="T514" s="81"/>
      <c r="U514" s="283">
        <v>0</v>
      </c>
      <c r="V514" s="283">
        <v>0</v>
      </c>
      <c r="W514" s="283">
        <v>0</v>
      </c>
      <c r="X514" s="274">
        <f t="shared" si="78"/>
        <v>0</v>
      </c>
      <c r="Y514" s="274">
        <f t="shared" si="78"/>
        <v>0</v>
      </c>
      <c r="Z514" s="274">
        <f t="shared" si="78"/>
        <v>0</v>
      </c>
      <c r="AA514" s="274">
        <f t="shared" si="78"/>
        <v>0</v>
      </c>
      <c r="AB514" s="27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1318</v>
      </c>
      <c r="G515" s="78"/>
      <c r="H515" s="81" t="s">
        <v>1319</v>
      </c>
      <c r="I515" s="101" t="s">
        <v>582</v>
      </c>
      <c r="J515" s="101" t="s">
        <v>1240</v>
      </c>
      <c r="K515" s="81"/>
      <c r="L515" s="81"/>
      <c r="M515" s="81"/>
      <c r="N515" s="81"/>
      <c r="O515" s="81"/>
      <c r="P515" s="81"/>
      <c r="Q515" s="81"/>
      <c r="R515" s="81"/>
      <c r="S515" s="81"/>
      <c r="T515" s="81"/>
      <c r="U515" s="283">
        <v>0</v>
      </c>
      <c r="V515" s="283">
        <v>0</v>
      </c>
      <c r="W515" s="283">
        <v>0</v>
      </c>
      <c r="X515" s="274">
        <f t="shared" si="78"/>
        <v>0</v>
      </c>
      <c r="Y515" s="274">
        <f t="shared" si="78"/>
        <v>0</v>
      </c>
      <c r="Z515" s="274">
        <f t="shared" si="78"/>
        <v>0</v>
      </c>
      <c r="AA515" s="274">
        <f t="shared" si="78"/>
        <v>0</v>
      </c>
      <c r="AB515" s="27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1320</v>
      </c>
      <c r="G516" s="78"/>
      <c r="H516" s="81" t="s">
        <v>1321</v>
      </c>
      <c r="I516" s="101" t="s">
        <v>582</v>
      </c>
      <c r="J516" s="101" t="s">
        <v>1240</v>
      </c>
      <c r="K516" s="81"/>
      <c r="L516" s="81"/>
      <c r="M516" s="81"/>
      <c r="N516" s="81"/>
      <c r="O516" s="81"/>
      <c r="P516" s="81"/>
      <c r="Q516" s="81"/>
      <c r="R516" s="81"/>
      <c r="S516" s="81"/>
      <c r="T516" s="81"/>
      <c r="U516" s="283">
        <v>0</v>
      </c>
      <c r="V516" s="283">
        <v>0</v>
      </c>
      <c r="W516" s="283">
        <v>0</v>
      </c>
      <c r="X516" s="274">
        <f t="shared" si="78"/>
        <v>0</v>
      </c>
      <c r="Y516" s="274">
        <f t="shared" si="78"/>
        <v>0</v>
      </c>
      <c r="Z516" s="274">
        <f t="shared" si="78"/>
        <v>0</v>
      </c>
      <c r="AA516" s="274">
        <f t="shared" si="78"/>
        <v>0</v>
      </c>
      <c r="AB516" s="27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1322</v>
      </c>
      <c r="G517" s="78"/>
      <c r="H517" s="81" t="s">
        <v>1323</v>
      </c>
      <c r="I517" s="101" t="s">
        <v>582</v>
      </c>
      <c r="J517" s="101" t="s">
        <v>1240</v>
      </c>
      <c r="K517" s="81"/>
      <c r="L517" s="81"/>
      <c r="M517" s="81"/>
      <c r="N517" s="81"/>
      <c r="O517" s="81"/>
      <c r="P517" s="81"/>
      <c r="Q517" s="81"/>
      <c r="R517" s="81"/>
      <c r="S517" s="81"/>
      <c r="T517" s="81"/>
      <c r="U517" s="283">
        <v>0</v>
      </c>
      <c r="V517" s="283">
        <v>0</v>
      </c>
      <c r="W517" s="283">
        <v>0</v>
      </c>
      <c r="X517" s="274">
        <f t="shared" si="78"/>
        <v>0</v>
      </c>
      <c r="Y517" s="274">
        <f t="shared" si="78"/>
        <v>0</v>
      </c>
      <c r="Z517" s="274">
        <f t="shared" si="78"/>
        <v>0</v>
      </c>
      <c r="AA517" s="274">
        <f t="shared" si="78"/>
        <v>0</v>
      </c>
      <c r="AB517" s="27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1324</v>
      </c>
      <c r="G518" s="78"/>
      <c r="H518" s="81" t="s">
        <v>1325</v>
      </c>
      <c r="I518" s="101" t="s">
        <v>582</v>
      </c>
      <c r="J518" s="101" t="s">
        <v>1240</v>
      </c>
      <c r="K518" s="81"/>
      <c r="L518" s="81"/>
      <c r="M518" s="81"/>
      <c r="N518" s="81"/>
      <c r="O518" s="81"/>
      <c r="P518" s="81"/>
      <c r="Q518" s="81"/>
      <c r="R518" s="81"/>
      <c r="S518" s="81"/>
      <c r="T518" s="81"/>
      <c r="U518" s="283">
        <v>0</v>
      </c>
      <c r="V518" s="283">
        <v>0</v>
      </c>
      <c r="W518" s="283">
        <v>0</v>
      </c>
      <c r="X518" s="274">
        <f t="shared" si="78"/>
        <v>0</v>
      </c>
      <c r="Y518" s="274">
        <f t="shared" si="78"/>
        <v>0</v>
      </c>
      <c r="Z518" s="274">
        <f t="shared" si="78"/>
        <v>0</v>
      </c>
      <c r="AA518" s="274">
        <f t="shared" si="78"/>
        <v>0</v>
      </c>
      <c r="AB518" s="27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1326</v>
      </c>
      <c r="G519" s="78"/>
      <c r="H519" s="81" t="s">
        <v>1327</v>
      </c>
      <c r="I519" s="101" t="s">
        <v>582</v>
      </c>
      <c r="J519" s="101" t="s">
        <v>1240</v>
      </c>
      <c r="K519" s="81"/>
      <c r="L519" s="81"/>
      <c r="M519" s="81"/>
      <c r="N519" s="81"/>
      <c r="O519" s="81"/>
      <c r="P519" s="81"/>
      <c r="Q519" s="81"/>
      <c r="R519" s="81"/>
      <c r="S519" s="81"/>
      <c r="T519" s="81"/>
      <c r="U519" s="283">
        <v>0</v>
      </c>
      <c r="V519" s="283">
        <v>0</v>
      </c>
      <c r="W519" s="283">
        <v>0</v>
      </c>
      <c r="X519" s="274">
        <f t="shared" si="78"/>
        <v>0</v>
      </c>
      <c r="Y519" s="274">
        <f t="shared" si="78"/>
        <v>0</v>
      </c>
      <c r="Z519" s="274">
        <f t="shared" si="78"/>
        <v>0</v>
      </c>
      <c r="AA519" s="274">
        <f t="shared" si="78"/>
        <v>0</v>
      </c>
      <c r="AB519" s="27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1328</v>
      </c>
      <c r="G520" s="78"/>
      <c r="H520" s="81" t="s">
        <v>1329</v>
      </c>
      <c r="I520" s="101" t="s">
        <v>582</v>
      </c>
      <c r="J520" s="101" t="s">
        <v>1240</v>
      </c>
      <c r="K520" s="81"/>
      <c r="L520" s="81"/>
      <c r="M520" s="81"/>
      <c r="N520" s="81"/>
      <c r="O520" s="81"/>
      <c r="P520" s="81"/>
      <c r="Q520" s="81"/>
      <c r="R520" s="81"/>
      <c r="S520" s="81"/>
      <c r="T520" s="81"/>
      <c r="U520" s="283">
        <v>0</v>
      </c>
      <c r="V520" s="283">
        <v>0</v>
      </c>
      <c r="W520" s="283">
        <v>0</v>
      </c>
      <c r="X520" s="274">
        <f t="shared" si="78"/>
        <v>0</v>
      </c>
      <c r="Y520" s="274">
        <f t="shared" si="78"/>
        <v>0</v>
      </c>
      <c r="Z520" s="274">
        <f t="shared" si="78"/>
        <v>0</v>
      </c>
      <c r="AA520" s="274">
        <f t="shared" si="78"/>
        <v>0</v>
      </c>
      <c r="AB520" s="27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1330</v>
      </c>
      <c r="G521" s="78"/>
      <c r="H521" s="81" t="s">
        <v>1331</v>
      </c>
      <c r="I521" s="101" t="s">
        <v>582</v>
      </c>
      <c r="J521" s="101" t="s">
        <v>1240</v>
      </c>
      <c r="K521" s="81"/>
      <c r="L521" s="81"/>
      <c r="M521" s="81"/>
      <c r="N521" s="81"/>
      <c r="O521" s="81"/>
      <c r="P521" s="81"/>
      <c r="Q521" s="81"/>
      <c r="R521" s="81"/>
      <c r="S521" s="81"/>
      <c r="T521" s="81"/>
      <c r="U521" s="283">
        <v>0</v>
      </c>
      <c r="V521" s="283">
        <v>0</v>
      </c>
      <c r="W521" s="283">
        <v>0</v>
      </c>
      <c r="X521" s="274">
        <f t="shared" si="78"/>
        <v>0</v>
      </c>
      <c r="Y521" s="274">
        <f t="shared" si="78"/>
        <v>0</v>
      </c>
      <c r="Z521" s="274">
        <f t="shared" si="78"/>
        <v>0</v>
      </c>
      <c r="AA521" s="274">
        <f t="shared" si="78"/>
        <v>0</v>
      </c>
      <c r="AB521" s="27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1332</v>
      </c>
      <c r="G522" s="78"/>
      <c r="H522" s="81" t="s">
        <v>1333</v>
      </c>
      <c r="I522" s="101" t="s">
        <v>582</v>
      </c>
      <c r="J522" s="101" t="s">
        <v>1240</v>
      </c>
      <c r="K522" s="81"/>
      <c r="L522" s="81"/>
      <c r="M522" s="81"/>
      <c r="N522" s="81"/>
      <c r="O522" s="81"/>
      <c r="P522" s="81"/>
      <c r="Q522" s="81"/>
      <c r="R522" s="81"/>
      <c r="S522" s="81"/>
      <c r="T522" s="81"/>
      <c r="U522" s="283">
        <v>0</v>
      </c>
      <c r="V522" s="283">
        <v>0</v>
      </c>
      <c r="W522" s="283">
        <v>0</v>
      </c>
      <c r="X522" s="274">
        <f t="shared" si="78"/>
        <v>0</v>
      </c>
      <c r="Y522" s="274">
        <f t="shared" si="78"/>
        <v>0</v>
      </c>
      <c r="Z522" s="274">
        <f t="shared" si="78"/>
        <v>0</v>
      </c>
      <c r="AA522" s="274">
        <f t="shared" si="78"/>
        <v>0</v>
      </c>
      <c r="AB522" s="27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1334</v>
      </c>
      <c r="G523" s="78"/>
      <c r="H523" s="81" t="s">
        <v>1335</v>
      </c>
      <c r="I523" s="101" t="s">
        <v>582</v>
      </c>
      <c r="J523" s="101" t="s">
        <v>1240</v>
      </c>
      <c r="K523" s="81"/>
      <c r="L523" s="81"/>
      <c r="M523" s="81"/>
      <c r="N523" s="81"/>
      <c r="O523" s="81"/>
      <c r="P523" s="81"/>
      <c r="Q523" s="81"/>
      <c r="R523" s="81"/>
      <c r="S523" s="81"/>
      <c r="T523" s="81"/>
      <c r="U523" s="283">
        <v>0</v>
      </c>
      <c r="V523" s="283">
        <v>0</v>
      </c>
      <c r="W523" s="283">
        <v>0</v>
      </c>
      <c r="X523" s="274">
        <f t="shared" si="78"/>
        <v>0</v>
      </c>
      <c r="Y523" s="274">
        <f t="shared" si="78"/>
        <v>0</v>
      </c>
      <c r="Z523" s="274">
        <f t="shared" si="78"/>
        <v>0</v>
      </c>
      <c r="AA523" s="274">
        <f t="shared" si="78"/>
        <v>0</v>
      </c>
      <c r="AB523" s="27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1336</v>
      </c>
      <c r="G524" s="78"/>
      <c r="H524" s="81" t="s">
        <v>1337</v>
      </c>
      <c r="I524" s="101" t="s">
        <v>582</v>
      </c>
      <c r="J524" s="101" t="s">
        <v>1240</v>
      </c>
      <c r="K524" s="81"/>
      <c r="L524" s="81"/>
      <c r="M524" s="81"/>
      <c r="N524" s="81"/>
      <c r="O524" s="81"/>
      <c r="P524" s="81"/>
      <c r="Q524" s="81"/>
      <c r="R524" s="81"/>
      <c r="S524" s="81"/>
      <c r="T524" s="81"/>
      <c r="U524" s="283">
        <v>0</v>
      </c>
      <c r="V524" s="283">
        <v>0</v>
      </c>
      <c r="W524" s="283">
        <v>0</v>
      </c>
      <c r="X524" s="274">
        <f t="shared" si="78"/>
        <v>0</v>
      </c>
      <c r="Y524" s="274">
        <f t="shared" si="78"/>
        <v>0</v>
      </c>
      <c r="Z524" s="274">
        <f t="shared" si="78"/>
        <v>0</v>
      </c>
      <c r="AA524" s="274">
        <f t="shared" si="78"/>
        <v>0</v>
      </c>
      <c r="AB524" s="27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1338</v>
      </c>
      <c r="G525" s="78"/>
      <c r="H525" s="81" t="s">
        <v>1339</v>
      </c>
      <c r="I525" s="101" t="s">
        <v>582</v>
      </c>
      <c r="J525" s="101" t="s">
        <v>1240</v>
      </c>
      <c r="K525" s="81"/>
      <c r="L525" s="81"/>
      <c r="M525" s="81"/>
      <c r="N525" s="81"/>
      <c r="O525" s="81"/>
      <c r="P525" s="81"/>
      <c r="Q525" s="81"/>
      <c r="R525" s="81"/>
      <c r="S525" s="81"/>
      <c r="T525" s="81"/>
      <c r="U525" s="283">
        <v>0</v>
      </c>
      <c r="V525" s="283">
        <v>0</v>
      </c>
      <c r="W525" s="283">
        <v>0</v>
      </c>
      <c r="X525" s="274">
        <f t="shared" si="78"/>
        <v>0</v>
      </c>
      <c r="Y525" s="274">
        <f t="shared" si="78"/>
        <v>0</v>
      </c>
      <c r="Z525" s="274">
        <f t="shared" si="78"/>
        <v>0</v>
      </c>
      <c r="AA525" s="274">
        <f t="shared" si="78"/>
        <v>0</v>
      </c>
      <c r="AB525" s="27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1340</v>
      </c>
      <c r="G526" s="78"/>
      <c r="H526" s="81" t="s">
        <v>1341</v>
      </c>
      <c r="I526" s="101" t="s">
        <v>582</v>
      </c>
      <c r="J526" s="101" t="s">
        <v>1240</v>
      </c>
      <c r="K526" s="81"/>
      <c r="L526" s="81"/>
      <c r="M526" s="81"/>
      <c r="N526" s="81"/>
      <c r="O526" s="81"/>
      <c r="P526" s="81"/>
      <c r="Q526" s="81"/>
      <c r="R526" s="81"/>
      <c r="S526" s="81"/>
      <c r="T526" s="81"/>
      <c r="U526" s="283">
        <v>0</v>
      </c>
      <c r="V526" s="283">
        <v>0</v>
      </c>
      <c r="W526" s="283">
        <v>0</v>
      </c>
      <c r="X526" s="274">
        <f t="shared" si="78"/>
        <v>0</v>
      </c>
      <c r="Y526" s="274">
        <f t="shared" si="78"/>
        <v>0</v>
      </c>
      <c r="Z526" s="274">
        <f t="shared" si="78"/>
        <v>0</v>
      </c>
      <c r="AA526" s="274">
        <f t="shared" si="78"/>
        <v>0</v>
      </c>
      <c r="AB526" s="27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1342</v>
      </c>
      <c r="G527" s="78"/>
      <c r="H527" s="81" t="s">
        <v>1343</v>
      </c>
      <c r="I527" s="101" t="s">
        <v>582</v>
      </c>
      <c r="J527" s="101" t="s">
        <v>1240</v>
      </c>
      <c r="K527" s="81"/>
      <c r="L527" s="81"/>
      <c r="M527" s="81"/>
      <c r="N527" s="81"/>
      <c r="O527" s="81"/>
      <c r="P527" s="81"/>
      <c r="Q527" s="81"/>
      <c r="R527" s="81"/>
      <c r="S527" s="81"/>
      <c r="T527" s="81"/>
      <c r="U527" s="283">
        <v>0</v>
      </c>
      <c r="V527" s="283">
        <v>0</v>
      </c>
      <c r="W527" s="283">
        <v>0</v>
      </c>
      <c r="X527" s="274">
        <f t="shared" si="78"/>
        <v>0</v>
      </c>
      <c r="Y527" s="274">
        <f t="shared" si="78"/>
        <v>0</v>
      </c>
      <c r="Z527" s="274">
        <f t="shared" si="78"/>
        <v>0</v>
      </c>
      <c r="AA527" s="274">
        <f t="shared" si="78"/>
        <v>0</v>
      </c>
      <c r="AB527" s="27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1344</v>
      </c>
      <c r="G528" s="78"/>
      <c r="H528" s="81" t="s">
        <v>1345</v>
      </c>
      <c r="I528" s="101" t="s">
        <v>582</v>
      </c>
      <c r="J528" s="101" t="s">
        <v>1240</v>
      </c>
      <c r="K528" s="81"/>
      <c r="L528" s="81"/>
      <c r="M528" s="81"/>
      <c r="N528" s="81"/>
      <c r="O528" s="81"/>
      <c r="P528" s="81"/>
      <c r="Q528" s="81"/>
      <c r="R528" s="81"/>
      <c r="S528" s="81"/>
      <c r="T528" s="81"/>
      <c r="U528" s="283">
        <v>0</v>
      </c>
      <c r="V528" s="283">
        <v>0</v>
      </c>
      <c r="W528" s="283">
        <v>0</v>
      </c>
      <c r="X528" s="274">
        <f t="shared" si="78"/>
        <v>0</v>
      </c>
      <c r="Y528" s="274">
        <f t="shared" si="78"/>
        <v>0</v>
      </c>
      <c r="Z528" s="274">
        <f t="shared" si="78"/>
        <v>0</v>
      </c>
      <c r="AA528" s="274">
        <f t="shared" si="78"/>
        <v>0</v>
      </c>
      <c r="AB528" s="27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275" t="s">
        <v>1346</v>
      </c>
      <c r="G529" s="78"/>
      <c r="H529" s="265" t="s">
        <v>1347</v>
      </c>
      <c r="I529" s="142"/>
      <c r="J529" s="142" t="s">
        <v>1140</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1348</v>
      </c>
      <c r="G530" s="78"/>
      <c r="H530" s="81" t="s">
        <v>685</v>
      </c>
      <c r="I530" s="101" t="s">
        <v>582</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1349</v>
      </c>
      <c r="G531" s="78"/>
      <c r="H531" s="81"/>
      <c r="I531" s="101" t="s">
        <v>582</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1350</v>
      </c>
      <c r="G532" s="78"/>
      <c r="H532" s="81"/>
      <c r="I532" s="101" t="s">
        <v>582</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1351</v>
      </c>
      <c r="G533" s="78"/>
      <c r="H533" s="81" t="s">
        <v>685</v>
      </c>
      <c r="I533" s="101" t="s">
        <v>582</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1352</v>
      </c>
      <c r="G534" s="78"/>
      <c r="H534" s="81"/>
      <c r="I534" s="101" t="s">
        <v>582</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1353</v>
      </c>
      <c r="G535" s="78"/>
      <c r="H535" s="81"/>
      <c r="I535" s="101" t="s">
        <v>582</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1354</v>
      </c>
      <c r="G536" s="78"/>
      <c r="H536" s="81" t="s">
        <v>685</v>
      </c>
      <c r="I536" s="101" t="s">
        <v>582</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1355</v>
      </c>
      <c r="G537" s="78"/>
      <c r="H537" s="81"/>
      <c r="I537" s="101" t="s">
        <v>582</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1356</v>
      </c>
      <c r="G538" s="78"/>
      <c r="H538" s="81"/>
      <c r="I538" s="101" t="s">
        <v>582</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1357</v>
      </c>
      <c r="G539" s="78"/>
      <c r="H539" s="81" t="s">
        <v>685</v>
      </c>
      <c r="I539" s="101" t="s">
        <v>582</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1358</v>
      </c>
      <c r="G540" s="78"/>
      <c r="H540" s="81"/>
      <c r="I540" s="101" t="s">
        <v>582</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1359</v>
      </c>
      <c r="G541" s="78"/>
      <c r="H541" s="81"/>
      <c r="I541" s="101" t="s">
        <v>582</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1360</v>
      </c>
      <c r="G542" s="78"/>
      <c r="H542" s="81" t="s">
        <v>685</v>
      </c>
      <c r="I542" s="101" t="s">
        <v>582</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1361</v>
      </c>
      <c r="G543" s="78"/>
      <c r="H543" s="81"/>
      <c r="I543" s="101" t="s">
        <v>582</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1362</v>
      </c>
      <c r="G544" s="78"/>
      <c r="H544" s="81"/>
      <c r="I544" s="101" t="s">
        <v>582</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1363</v>
      </c>
      <c r="G545" s="78"/>
      <c r="H545" s="81" t="s">
        <v>685</v>
      </c>
      <c r="I545" s="101" t="s">
        <v>582</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1364</v>
      </c>
      <c r="G546" s="78"/>
      <c r="H546" s="81"/>
      <c r="I546" s="101" t="s">
        <v>582</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1365</v>
      </c>
      <c r="G547" s="78"/>
      <c r="H547" s="81"/>
      <c r="I547" s="101" t="s">
        <v>582</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1366</v>
      </c>
      <c r="G548" s="78"/>
      <c r="H548" s="81" t="s">
        <v>685</v>
      </c>
      <c r="I548" s="101" t="s">
        <v>582</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1367</v>
      </c>
      <c r="G549" s="78"/>
      <c r="H549" s="81"/>
      <c r="I549" s="101" t="s">
        <v>582</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1368</v>
      </c>
      <c r="G550" s="78"/>
      <c r="H550" s="81"/>
      <c r="I550" s="101" t="s">
        <v>582</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1369</v>
      </c>
      <c r="G551" s="78"/>
      <c r="H551" s="81" t="s">
        <v>685</v>
      </c>
      <c r="I551" s="101" t="s">
        <v>582</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1370</v>
      </c>
      <c r="G552" s="78"/>
      <c r="H552" s="81"/>
      <c r="I552" s="101" t="s">
        <v>582</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1371</v>
      </c>
      <c r="G553" s="78"/>
      <c r="H553" s="81"/>
      <c r="I553" s="101" t="s">
        <v>582</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1372</v>
      </c>
      <c r="G554" s="78"/>
      <c r="H554" s="81" t="s">
        <v>1373</v>
      </c>
      <c r="I554" s="101" t="s">
        <v>582</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1374</v>
      </c>
      <c r="AE554" s="81"/>
      <c r="AF554" s="102">
        <v>1</v>
      </c>
      <c r="AG554" s="102">
        <v>1</v>
      </c>
      <c r="AH554" s="78"/>
      <c r="AI554" s="60"/>
      <c r="AJ554" s="48"/>
      <c r="AK554" s="48"/>
      <c r="AL554" s="48"/>
    </row>
    <row r="555" spans="1:38" outlineLevel="2" x14ac:dyDescent="0.25">
      <c r="A555" s="48"/>
      <c r="B555" s="57"/>
      <c r="C555" s="50">
        <f t="shared" si="79"/>
        <v>3</v>
      </c>
      <c r="D555" s="78"/>
      <c r="E555" s="73"/>
      <c r="F555" s="73" t="s">
        <v>1375</v>
      </c>
      <c r="G555" s="78"/>
      <c r="H555" s="81" t="s">
        <v>1376</v>
      </c>
      <c r="I555" s="101" t="s">
        <v>582</v>
      </c>
      <c r="J555" s="101"/>
      <c r="K555" s="81"/>
      <c r="L555" s="81"/>
      <c r="M555" s="81"/>
      <c r="N555" s="81"/>
      <c r="O555" s="81"/>
      <c r="P555" s="81"/>
      <c r="Q555" s="81"/>
      <c r="R555" s="81"/>
      <c r="S555" s="81"/>
      <c r="T555" s="81"/>
      <c r="U555" s="102">
        <v>-2.5209999999999999</v>
      </c>
      <c r="V555" s="102">
        <v>-2.5209999999999999</v>
      </c>
      <c r="W555" s="102">
        <v>-2.5209999999999999</v>
      </c>
      <c r="X555" s="274">
        <f>W555</f>
        <v>-2.5209999999999999</v>
      </c>
      <c r="Y555" s="274">
        <f>X555</f>
        <v>-2.5209999999999999</v>
      </c>
      <c r="Z555" s="274">
        <f>Y555</f>
        <v>-2.5209999999999999</v>
      </c>
      <c r="AA555" s="274">
        <f>Z555</f>
        <v>-2.5209999999999999</v>
      </c>
      <c r="AB555" s="27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1377</v>
      </c>
      <c r="G556" s="78"/>
      <c r="H556" s="81" t="s">
        <v>1378</v>
      </c>
      <c r="I556" s="101" t="s">
        <v>582</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1379</v>
      </c>
      <c r="G557" s="78"/>
      <c r="H557" s="81" t="s">
        <v>1380</v>
      </c>
      <c r="I557" s="101" t="s">
        <v>582</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1374</v>
      </c>
      <c r="AE557" s="81"/>
      <c r="AF557" s="102">
        <v>1</v>
      </c>
      <c r="AG557" s="102">
        <v>1</v>
      </c>
      <c r="AH557" s="78"/>
      <c r="AI557" s="60"/>
      <c r="AJ557" s="48"/>
      <c r="AK557" s="48"/>
      <c r="AL557" s="48"/>
    </row>
    <row r="558" spans="1:38" outlineLevel="2" x14ac:dyDescent="0.25">
      <c r="A558" s="48"/>
      <c r="B558" s="57"/>
      <c r="C558" s="50">
        <f t="shared" si="79"/>
        <v>3</v>
      </c>
      <c r="D558" s="78"/>
      <c r="E558" s="73"/>
      <c r="F558" s="73" t="s">
        <v>1381</v>
      </c>
      <c r="G558" s="78"/>
      <c r="H558" s="81" t="s">
        <v>1382</v>
      </c>
      <c r="I558" s="101" t="s">
        <v>582</v>
      </c>
      <c r="J558" s="101"/>
      <c r="K558" s="81"/>
      <c r="L558" s="81"/>
      <c r="M558" s="81"/>
      <c r="N558" s="81"/>
      <c r="O558" s="81"/>
      <c r="P558" s="81"/>
      <c r="Q558" s="81"/>
      <c r="R558" s="81"/>
      <c r="S558" s="81"/>
      <c r="T558" s="81"/>
      <c r="U558" s="102">
        <v>2.9299999999999999E-3</v>
      </c>
      <c r="V558" s="102">
        <v>2.9299999999999999E-3</v>
      </c>
      <c r="W558" s="102">
        <v>2.9299999999999999E-3</v>
      </c>
      <c r="X558" s="274">
        <f>W558</f>
        <v>2.9299999999999999E-3</v>
      </c>
      <c r="Y558" s="274">
        <f>X558</f>
        <v>2.9299999999999999E-3</v>
      </c>
      <c r="Z558" s="274">
        <f>Y558</f>
        <v>2.9299999999999999E-3</v>
      </c>
      <c r="AA558" s="274">
        <f>Z558</f>
        <v>2.9299999999999999E-3</v>
      </c>
      <c r="AB558" s="27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1383</v>
      </c>
      <c r="G559" s="78"/>
      <c r="H559" s="81" t="s">
        <v>1384</v>
      </c>
      <c r="I559" s="101" t="s">
        <v>582</v>
      </c>
      <c r="J559" s="101"/>
      <c r="K559" s="81"/>
      <c r="L559" s="81"/>
      <c r="M559" s="81"/>
      <c r="N559" s="81"/>
      <c r="O559" s="81"/>
      <c r="P559" s="81"/>
      <c r="Q559" s="81"/>
      <c r="R559" s="81"/>
      <c r="S559" s="81"/>
      <c r="T559" s="81"/>
      <c r="U559" s="81">
        <v>0</v>
      </c>
      <c r="V559" s="81">
        <v>0</v>
      </c>
      <c r="W559" s="81">
        <v>0</v>
      </c>
      <c r="X559" s="81">
        <v>0</v>
      </c>
      <c r="Y559" s="274">
        <f>X559</f>
        <v>0</v>
      </c>
      <c r="Z559" s="274">
        <f>Y559</f>
        <v>0</v>
      </c>
      <c r="AA559" s="274">
        <f>Z559</f>
        <v>0</v>
      </c>
      <c r="AB559" s="27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1385</v>
      </c>
      <c r="G560" s="78"/>
      <c r="H560" s="81" t="s">
        <v>1386</v>
      </c>
      <c r="I560" s="101"/>
      <c r="J560" s="101" t="s">
        <v>1283</v>
      </c>
      <c r="K560" s="102">
        <v>1.1499999999999999</v>
      </c>
      <c r="L560" s="102">
        <v>1.1499999999999999</v>
      </c>
      <c r="M560" s="102">
        <v>1.1499999999999999</v>
      </c>
      <c r="N560" s="102">
        <v>1.1499999999999999</v>
      </c>
      <c r="O560" s="102">
        <v>1.1499999999999999</v>
      </c>
      <c r="P560" s="102">
        <v>1.1499999999999999</v>
      </c>
      <c r="Q560" s="81"/>
      <c r="R560" s="81" t="s">
        <v>593</v>
      </c>
      <c r="S560" s="81" t="s">
        <v>593</v>
      </c>
      <c r="T560" s="81"/>
      <c r="U560" s="272">
        <f t="shared" ref="U560:AB565" si="81">INDEX($K560:$Q560,1,U$54)</f>
        <v>1.1499999999999999</v>
      </c>
      <c r="V560" s="272">
        <f t="shared" si="81"/>
        <v>1.1499999999999999</v>
      </c>
      <c r="W560" s="272">
        <f t="shared" si="81"/>
        <v>1.1499999999999999</v>
      </c>
      <c r="X560" s="272">
        <f t="shared" si="81"/>
        <v>1.1499999999999999</v>
      </c>
      <c r="Y560" s="272">
        <f t="shared" si="81"/>
        <v>1.1499999999999999</v>
      </c>
      <c r="Z560" s="272">
        <f t="shared" si="81"/>
        <v>1.1499999999999999</v>
      </c>
      <c r="AA560" s="272">
        <f t="shared" si="81"/>
        <v>1.1499999999999999</v>
      </c>
      <c r="AB560" s="27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1387</v>
      </c>
      <c r="G561" s="78"/>
      <c r="H561" s="81" t="s">
        <v>1388</v>
      </c>
      <c r="I561" s="101"/>
      <c r="J561" s="101" t="s">
        <v>1283</v>
      </c>
      <c r="K561" s="102">
        <v>1</v>
      </c>
      <c r="L561" s="102">
        <v>1</v>
      </c>
      <c r="M561" s="102">
        <v>1</v>
      </c>
      <c r="N561" s="102">
        <v>1</v>
      </c>
      <c r="O561" s="102">
        <v>1</v>
      </c>
      <c r="P561" s="102">
        <v>1</v>
      </c>
      <c r="Q561" s="81"/>
      <c r="R561" s="81" t="s">
        <v>593</v>
      </c>
      <c r="S561" s="81" t="s">
        <v>593</v>
      </c>
      <c r="T561" s="81"/>
      <c r="U561" s="272">
        <f t="shared" si="81"/>
        <v>1</v>
      </c>
      <c r="V561" s="272">
        <f t="shared" si="81"/>
        <v>1</v>
      </c>
      <c r="W561" s="272">
        <f t="shared" si="81"/>
        <v>1</v>
      </c>
      <c r="X561" s="272">
        <f t="shared" si="81"/>
        <v>1</v>
      </c>
      <c r="Y561" s="272">
        <f t="shared" si="81"/>
        <v>1</v>
      </c>
      <c r="Z561" s="272">
        <f t="shared" si="81"/>
        <v>1</v>
      </c>
      <c r="AA561" s="272">
        <f t="shared" si="81"/>
        <v>1</v>
      </c>
      <c r="AB561" s="27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1389</v>
      </c>
      <c r="G562" s="78"/>
      <c r="H562" s="81" t="s">
        <v>1390</v>
      </c>
      <c r="I562" s="101"/>
      <c r="J562" s="101" t="s">
        <v>1283</v>
      </c>
      <c r="K562" s="102">
        <v>1</v>
      </c>
      <c r="L562" s="102">
        <v>1</v>
      </c>
      <c r="M562" s="102">
        <v>1</v>
      </c>
      <c r="N562" s="102">
        <v>1</v>
      </c>
      <c r="O562" s="102">
        <v>1</v>
      </c>
      <c r="P562" s="102">
        <v>1</v>
      </c>
      <c r="Q562" s="81"/>
      <c r="R562" s="81" t="s">
        <v>593</v>
      </c>
      <c r="S562" s="81" t="s">
        <v>593</v>
      </c>
      <c r="T562" s="81"/>
      <c r="U562" s="272">
        <f t="shared" si="81"/>
        <v>1</v>
      </c>
      <c r="V562" s="272">
        <f t="shared" si="81"/>
        <v>1</v>
      </c>
      <c r="W562" s="272">
        <f t="shared" si="81"/>
        <v>1</v>
      </c>
      <c r="X562" s="272">
        <f t="shared" si="81"/>
        <v>1</v>
      </c>
      <c r="Y562" s="272">
        <f t="shared" si="81"/>
        <v>1</v>
      </c>
      <c r="Z562" s="272">
        <f t="shared" si="81"/>
        <v>1</v>
      </c>
      <c r="AA562" s="272">
        <f t="shared" si="81"/>
        <v>1</v>
      </c>
      <c r="AB562" s="27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1391</v>
      </c>
      <c r="G563" s="78"/>
      <c r="H563" s="81" t="s">
        <v>1392</v>
      </c>
      <c r="I563" s="101"/>
      <c r="J563" s="101" t="s">
        <v>1283</v>
      </c>
      <c r="K563" s="102">
        <v>1.4</v>
      </c>
      <c r="L563" s="102">
        <v>1.4</v>
      </c>
      <c r="M563" s="102">
        <v>1.4</v>
      </c>
      <c r="N563" s="102">
        <v>1.4</v>
      </c>
      <c r="O563" s="102">
        <v>1.4</v>
      </c>
      <c r="P563" s="102">
        <v>1.4</v>
      </c>
      <c r="Q563" s="81"/>
      <c r="R563" s="81" t="s">
        <v>593</v>
      </c>
      <c r="S563" s="81" t="s">
        <v>593</v>
      </c>
      <c r="T563" s="81"/>
      <c r="U563" s="272">
        <f t="shared" si="81"/>
        <v>1.4</v>
      </c>
      <c r="V563" s="272">
        <f t="shared" si="81"/>
        <v>1.4</v>
      </c>
      <c r="W563" s="272">
        <f t="shared" si="81"/>
        <v>1.4</v>
      </c>
      <c r="X563" s="272">
        <f t="shared" si="81"/>
        <v>1.4</v>
      </c>
      <c r="Y563" s="272">
        <f t="shared" si="81"/>
        <v>1.4</v>
      </c>
      <c r="Z563" s="272">
        <f t="shared" si="81"/>
        <v>1.4</v>
      </c>
      <c r="AA563" s="272">
        <f t="shared" si="81"/>
        <v>1.4</v>
      </c>
      <c r="AB563" s="27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1393</v>
      </c>
      <c r="G564" s="78"/>
      <c r="H564" s="81" t="s">
        <v>1394</v>
      </c>
      <c r="I564" s="101"/>
      <c r="J564" s="101" t="s">
        <v>1283</v>
      </c>
      <c r="K564" s="102">
        <v>1</v>
      </c>
      <c r="L564" s="102">
        <v>1</v>
      </c>
      <c r="M564" s="102">
        <v>1</v>
      </c>
      <c r="N564" s="102">
        <v>1</v>
      </c>
      <c r="O564" s="102">
        <v>1</v>
      </c>
      <c r="P564" s="102">
        <v>1</v>
      </c>
      <c r="Q564" s="81"/>
      <c r="R564" s="81" t="s">
        <v>593</v>
      </c>
      <c r="S564" s="81" t="s">
        <v>593</v>
      </c>
      <c r="T564" s="81"/>
      <c r="U564" s="272">
        <f t="shared" si="81"/>
        <v>1</v>
      </c>
      <c r="V564" s="272">
        <f t="shared" si="81"/>
        <v>1</v>
      </c>
      <c r="W564" s="272">
        <f t="shared" si="81"/>
        <v>1</v>
      </c>
      <c r="X564" s="272">
        <f t="shared" si="81"/>
        <v>1</v>
      </c>
      <c r="Y564" s="272">
        <f t="shared" si="81"/>
        <v>1</v>
      </c>
      <c r="Z564" s="272">
        <f t="shared" si="81"/>
        <v>1</v>
      </c>
      <c r="AA564" s="272">
        <f t="shared" si="81"/>
        <v>1</v>
      </c>
      <c r="AB564" s="27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1395</v>
      </c>
      <c r="G565" s="78"/>
      <c r="H565" s="81" t="s">
        <v>1396</v>
      </c>
      <c r="I565" s="101"/>
      <c r="J565" s="101" t="s">
        <v>1283</v>
      </c>
      <c r="K565" s="102">
        <v>1.2</v>
      </c>
      <c r="L565" s="102">
        <v>1.2</v>
      </c>
      <c r="M565" s="102">
        <v>1.2</v>
      </c>
      <c r="N565" s="102">
        <v>1.2</v>
      </c>
      <c r="O565" s="102">
        <v>1.2</v>
      </c>
      <c r="P565" s="102">
        <v>1.2</v>
      </c>
      <c r="Q565" s="81"/>
      <c r="R565" s="81" t="s">
        <v>593</v>
      </c>
      <c r="S565" s="81" t="s">
        <v>593</v>
      </c>
      <c r="T565" s="81"/>
      <c r="U565" s="272">
        <f t="shared" si="81"/>
        <v>1.2</v>
      </c>
      <c r="V565" s="272">
        <f t="shared" si="81"/>
        <v>1.2</v>
      </c>
      <c r="W565" s="272">
        <f t="shared" si="81"/>
        <v>1.2</v>
      </c>
      <c r="X565" s="272">
        <f t="shared" si="81"/>
        <v>1.2</v>
      </c>
      <c r="Y565" s="272">
        <f t="shared" si="81"/>
        <v>1.2</v>
      </c>
      <c r="Z565" s="272">
        <f t="shared" si="81"/>
        <v>1.2</v>
      </c>
      <c r="AA565" s="272">
        <f t="shared" si="81"/>
        <v>1.2</v>
      </c>
      <c r="AB565" s="27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1397</v>
      </c>
      <c r="G566" s="78"/>
      <c r="H566" s="81" t="s">
        <v>1398</v>
      </c>
      <c r="I566" s="101" t="s">
        <v>582</v>
      </c>
      <c r="J566" s="101" t="s">
        <v>1240</v>
      </c>
      <c r="K566" s="81"/>
      <c r="L566" s="81"/>
      <c r="M566" s="81"/>
      <c r="N566" s="81"/>
      <c r="O566" s="81"/>
      <c r="P566" s="81"/>
      <c r="Q566" s="81"/>
      <c r="R566" s="81"/>
      <c r="S566" s="81"/>
      <c r="T566" s="81"/>
      <c r="U566" s="102">
        <v>0</v>
      </c>
      <c r="V566" s="102">
        <v>0</v>
      </c>
      <c r="W566" s="102">
        <v>0</v>
      </c>
      <c r="X566" s="274">
        <f t="shared" ref="X566:AB571" si="82">W566</f>
        <v>0</v>
      </c>
      <c r="Y566" s="274">
        <f t="shared" si="82"/>
        <v>0</v>
      </c>
      <c r="Z566" s="274">
        <f t="shared" si="82"/>
        <v>0</v>
      </c>
      <c r="AA566" s="274">
        <f t="shared" si="82"/>
        <v>0</v>
      </c>
      <c r="AB566" s="27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1399</v>
      </c>
      <c r="G567" s="78"/>
      <c r="H567" s="81" t="s">
        <v>1400</v>
      </c>
      <c r="I567" s="101" t="s">
        <v>582</v>
      </c>
      <c r="J567" s="101" t="s">
        <v>1240</v>
      </c>
      <c r="K567" s="81"/>
      <c r="L567" s="81"/>
      <c r="M567" s="81"/>
      <c r="N567" s="81"/>
      <c r="O567" s="81"/>
      <c r="P567" s="81"/>
      <c r="Q567" s="81"/>
      <c r="R567" s="81"/>
      <c r="S567" s="81"/>
      <c r="T567" s="81"/>
      <c r="U567" s="102">
        <v>0</v>
      </c>
      <c r="V567" s="102">
        <v>0</v>
      </c>
      <c r="W567" s="102">
        <v>0</v>
      </c>
      <c r="X567" s="274">
        <f t="shared" si="82"/>
        <v>0</v>
      </c>
      <c r="Y567" s="274">
        <f t="shared" si="82"/>
        <v>0</v>
      </c>
      <c r="Z567" s="274">
        <f t="shared" si="82"/>
        <v>0</v>
      </c>
      <c r="AA567" s="274">
        <f t="shared" si="82"/>
        <v>0</v>
      </c>
      <c r="AB567" s="27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1401</v>
      </c>
      <c r="G568" s="78"/>
      <c r="H568" s="81" t="s">
        <v>1402</v>
      </c>
      <c r="I568" s="101" t="s">
        <v>582</v>
      </c>
      <c r="J568" s="101" t="s">
        <v>1240</v>
      </c>
      <c r="K568" s="81"/>
      <c r="L568" s="81"/>
      <c r="M568" s="81"/>
      <c r="N568" s="81"/>
      <c r="O568" s="81"/>
      <c r="P568" s="81"/>
      <c r="Q568" s="81"/>
      <c r="R568" s="81"/>
      <c r="S568" s="81"/>
      <c r="T568" s="81"/>
      <c r="U568" s="102">
        <v>0</v>
      </c>
      <c r="V568" s="102">
        <v>0</v>
      </c>
      <c r="W568" s="102">
        <v>0</v>
      </c>
      <c r="X568" s="274">
        <f t="shared" si="82"/>
        <v>0</v>
      </c>
      <c r="Y568" s="274">
        <f t="shared" si="82"/>
        <v>0</v>
      </c>
      <c r="Z568" s="274">
        <f t="shared" si="82"/>
        <v>0</v>
      </c>
      <c r="AA568" s="274">
        <f t="shared" si="82"/>
        <v>0</v>
      </c>
      <c r="AB568" s="27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1403</v>
      </c>
      <c r="G569" s="78"/>
      <c r="H569" s="81" t="s">
        <v>1404</v>
      </c>
      <c r="I569" s="101" t="s">
        <v>582</v>
      </c>
      <c r="J569" s="101" t="s">
        <v>1240</v>
      </c>
      <c r="K569" s="81"/>
      <c r="L569" s="81"/>
      <c r="M569" s="81"/>
      <c r="N569" s="81"/>
      <c r="O569" s="81"/>
      <c r="P569" s="81"/>
      <c r="Q569" s="81"/>
      <c r="R569" s="81"/>
      <c r="S569" s="81"/>
      <c r="T569" s="81"/>
      <c r="U569" s="102">
        <v>0</v>
      </c>
      <c r="V569" s="102">
        <v>0</v>
      </c>
      <c r="W569" s="102">
        <v>0</v>
      </c>
      <c r="X569" s="274">
        <f t="shared" si="82"/>
        <v>0</v>
      </c>
      <c r="Y569" s="274">
        <f t="shared" si="82"/>
        <v>0</v>
      </c>
      <c r="Z569" s="274">
        <f t="shared" si="82"/>
        <v>0</v>
      </c>
      <c r="AA569" s="274">
        <f t="shared" si="82"/>
        <v>0</v>
      </c>
      <c r="AB569" s="27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1405</v>
      </c>
      <c r="G570" s="78"/>
      <c r="H570" s="81" t="s">
        <v>1406</v>
      </c>
      <c r="I570" s="101" t="s">
        <v>582</v>
      </c>
      <c r="J570" s="101" t="s">
        <v>1240</v>
      </c>
      <c r="K570" s="81"/>
      <c r="L570" s="81"/>
      <c r="M570" s="81"/>
      <c r="N570" s="81"/>
      <c r="O570" s="81"/>
      <c r="P570" s="81"/>
      <c r="Q570" s="81"/>
      <c r="R570" s="81"/>
      <c r="S570" s="81"/>
      <c r="T570" s="81"/>
      <c r="U570" s="102">
        <v>0.26</v>
      </c>
      <c r="V570" s="102">
        <v>0.26</v>
      </c>
      <c r="W570" s="102">
        <v>0.26</v>
      </c>
      <c r="X570" s="274">
        <f t="shared" si="82"/>
        <v>0.26</v>
      </c>
      <c r="Y570" s="274">
        <f t="shared" si="82"/>
        <v>0.26</v>
      </c>
      <c r="Z570" s="274">
        <f t="shared" si="82"/>
        <v>0.26</v>
      </c>
      <c r="AA570" s="274">
        <f t="shared" si="82"/>
        <v>0.26</v>
      </c>
      <c r="AB570" s="274">
        <f t="shared" si="82"/>
        <v>0.26</v>
      </c>
      <c r="AC570" s="81"/>
      <c r="AD570" s="102" t="s">
        <v>1407</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1408</v>
      </c>
      <c r="G571" s="78"/>
      <c r="H571" s="81" t="s">
        <v>1409</v>
      </c>
      <c r="I571" s="101" t="s">
        <v>582</v>
      </c>
      <c r="J571" s="101" t="s">
        <v>1240</v>
      </c>
      <c r="K571" s="81"/>
      <c r="L571" s="81"/>
      <c r="M571" s="81"/>
      <c r="N571" s="81"/>
      <c r="O571" s="81"/>
      <c r="P571" s="81"/>
      <c r="Q571" s="81"/>
      <c r="R571" s="81"/>
      <c r="S571" s="81"/>
      <c r="T571" s="81"/>
      <c r="U571" s="102">
        <v>0</v>
      </c>
      <c r="V571" s="102">
        <v>0</v>
      </c>
      <c r="W571" s="102">
        <v>0</v>
      </c>
      <c r="X571" s="274">
        <f t="shared" si="82"/>
        <v>0</v>
      </c>
      <c r="Y571" s="274">
        <f t="shared" si="82"/>
        <v>0</v>
      </c>
      <c r="Z571" s="274">
        <f t="shared" si="82"/>
        <v>0</v>
      </c>
      <c r="AA571" s="274">
        <f t="shared" si="82"/>
        <v>0</v>
      </c>
      <c r="AB571" s="27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1410</v>
      </c>
      <c r="G572" s="78"/>
      <c r="H572" s="81" t="s">
        <v>685</v>
      </c>
      <c r="I572" s="101" t="s">
        <v>582</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1411</v>
      </c>
      <c r="G573" s="78"/>
      <c r="H573" s="81"/>
      <c r="I573" s="101" t="s">
        <v>582</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1412</v>
      </c>
      <c r="G574" s="78"/>
      <c r="H574" s="81"/>
      <c r="I574" s="101" t="s">
        <v>582</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1413</v>
      </c>
      <c r="G575" s="78"/>
      <c r="H575" s="81" t="s">
        <v>1414</v>
      </c>
      <c r="I575" s="101"/>
      <c r="J575" s="101" t="s">
        <v>1283</v>
      </c>
      <c r="K575" s="102">
        <f>5.1/5</f>
        <v>1.02</v>
      </c>
      <c r="L575" s="102">
        <f>5.1/5</f>
        <v>1.02</v>
      </c>
      <c r="M575" s="102">
        <v>1</v>
      </c>
      <c r="N575" s="102">
        <v>1</v>
      </c>
      <c r="O575" s="102">
        <v>1</v>
      </c>
      <c r="P575" s="102">
        <v>1</v>
      </c>
      <c r="Q575" s="81"/>
      <c r="R575" s="81" t="s">
        <v>1415</v>
      </c>
      <c r="S575" s="81"/>
      <c r="T575" s="81"/>
      <c r="U575" s="272">
        <f t="shared" ref="U575:AB577" si="83">INDEX($K575:$Q575,1,U$54)</f>
        <v>1.02</v>
      </c>
      <c r="V575" s="272">
        <f t="shared" si="83"/>
        <v>1.02</v>
      </c>
      <c r="W575" s="272">
        <f t="shared" si="83"/>
        <v>1.02</v>
      </c>
      <c r="X575" s="272">
        <f t="shared" si="83"/>
        <v>1.02</v>
      </c>
      <c r="Y575" s="272">
        <f t="shared" si="83"/>
        <v>1.02</v>
      </c>
      <c r="Z575" s="272">
        <f t="shared" si="83"/>
        <v>1.02</v>
      </c>
      <c r="AA575" s="272">
        <f t="shared" si="83"/>
        <v>1.02</v>
      </c>
      <c r="AB575" s="27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1416</v>
      </c>
      <c r="G576" s="78"/>
      <c r="H576" s="81" t="s">
        <v>1417</v>
      </c>
      <c r="I576" s="101"/>
      <c r="J576" s="101" t="s">
        <v>1283</v>
      </c>
      <c r="K576" s="102">
        <f>4.9/5</f>
        <v>0.98000000000000009</v>
      </c>
      <c r="L576" s="102">
        <f>4.9/5</f>
        <v>0.98000000000000009</v>
      </c>
      <c r="M576" s="102">
        <v>1</v>
      </c>
      <c r="N576" s="102">
        <v>1</v>
      </c>
      <c r="O576" s="102">
        <v>1</v>
      </c>
      <c r="P576" s="102">
        <v>1</v>
      </c>
      <c r="Q576" s="81"/>
      <c r="R576" s="81" t="s">
        <v>1418</v>
      </c>
      <c r="S576" s="81"/>
      <c r="T576" s="81"/>
      <c r="U576" s="272">
        <f t="shared" si="83"/>
        <v>0.98000000000000009</v>
      </c>
      <c r="V576" s="272">
        <f t="shared" si="83"/>
        <v>0.98000000000000009</v>
      </c>
      <c r="W576" s="272">
        <f t="shared" si="83"/>
        <v>0.98000000000000009</v>
      </c>
      <c r="X576" s="272">
        <f t="shared" si="83"/>
        <v>0.98000000000000009</v>
      </c>
      <c r="Y576" s="272">
        <f t="shared" si="83"/>
        <v>0.98000000000000009</v>
      </c>
      <c r="Z576" s="272">
        <f t="shared" si="83"/>
        <v>0.98000000000000009</v>
      </c>
      <c r="AA576" s="272">
        <f t="shared" si="83"/>
        <v>0.98000000000000009</v>
      </c>
      <c r="AB576" s="27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1419</v>
      </c>
      <c r="G577" s="78"/>
      <c r="H577" s="81" t="s">
        <v>2529</v>
      </c>
      <c r="I577" s="101"/>
      <c r="J577" s="101" t="s">
        <v>1283</v>
      </c>
      <c r="K577" s="272">
        <f t="shared" ref="K577:P577" si="84">K575</f>
        <v>1.02</v>
      </c>
      <c r="L577" s="272">
        <f t="shared" si="84"/>
        <v>1.02</v>
      </c>
      <c r="M577" s="272">
        <f t="shared" si="84"/>
        <v>1</v>
      </c>
      <c r="N577" s="272">
        <f t="shared" si="84"/>
        <v>1</v>
      </c>
      <c r="O577" s="272">
        <f t="shared" si="84"/>
        <v>1</v>
      </c>
      <c r="P577" s="272">
        <f t="shared" si="84"/>
        <v>1</v>
      </c>
      <c r="Q577" s="81"/>
      <c r="R577" s="81"/>
      <c r="S577" s="81"/>
      <c r="T577" s="81"/>
      <c r="U577" s="272">
        <f t="shared" si="83"/>
        <v>1.02</v>
      </c>
      <c r="V577" s="272">
        <f t="shared" si="83"/>
        <v>1.02</v>
      </c>
      <c r="W577" s="272">
        <f t="shared" si="83"/>
        <v>1.02</v>
      </c>
      <c r="X577" s="272">
        <f t="shared" si="83"/>
        <v>1.02</v>
      </c>
      <c r="Y577" s="272">
        <f t="shared" si="83"/>
        <v>1.02</v>
      </c>
      <c r="Z577" s="272">
        <f t="shared" si="83"/>
        <v>1.02</v>
      </c>
      <c r="AA577" s="272">
        <f t="shared" si="83"/>
        <v>1.02</v>
      </c>
      <c r="AB577" s="27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1420</v>
      </c>
      <c r="G578" s="78"/>
      <c r="H578" s="81" t="s">
        <v>1421</v>
      </c>
      <c r="I578" s="101" t="s">
        <v>582</v>
      </c>
      <c r="J578" s="101" t="s">
        <v>1240</v>
      </c>
      <c r="K578" s="81"/>
      <c r="L578" s="81"/>
      <c r="M578" s="81"/>
      <c r="N578" s="81"/>
      <c r="O578" s="81"/>
      <c r="P578" s="81"/>
      <c r="Q578" s="81"/>
      <c r="R578" s="81"/>
      <c r="S578" s="81"/>
      <c r="T578" s="81"/>
      <c r="U578" s="102">
        <v>0</v>
      </c>
      <c r="V578" s="102">
        <v>0</v>
      </c>
      <c r="W578" s="102">
        <v>0</v>
      </c>
      <c r="X578" s="274">
        <f t="shared" ref="X578:AB586" si="85">W578</f>
        <v>0</v>
      </c>
      <c r="Y578" s="102">
        <v>0.34899999999999998</v>
      </c>
      <c r="Z578" s="274">
        <f t="shared" si="85"/>
        <v>0.34899999999999998</v>
      </c>
      <c r="AA578" s="274">
        <f t="shared" si="85"/>
        <v>0.34899999999999998</v>
      </c>
      <c r="AB578" s="274">
        <f t="shared" si="85"/>
        <v>0.34899999999999998</v>
      </c>
      <c r="AC578" s="81"/>
      <c r="AD578" s="102" t="s">
        <v>2347</v>
      </c>
      <c r="AE578" s="81"/>
      <c r="AF578" s="102">
        <v>1</v>
      </c>
      <c r="AG578" s="102">
        <v>1</v>
      </c>
      <c r="AH578" s="78"/>
      <c r="AI578" s="60"/>
      <c r="AJ578" s="48"/>
      <c r="AK578" s="48"/>
      <c r="AL578" s="48"/>
    </row>
    <row r="579" spans="1:38" outlineLevel="2" x14ac:dyDescent="0.25">
      <c r="A579" s="48"/>
      <c r="B579" s="57"/>
      <c r="C579" s="50">
        <f t="shared" si="79"/>
        <v>3</v>
      </c>
      <c r="D579" s="78"/>
      <c r="E579" s="73"/>
      <c r="F579" s="73" t="s">
        <v>1422</v>
      </c>
      <c r="G579" s="78"/>
      <c r="H579" s="81" t="s">
        <v>1423</v>
      </c>
      <c r="I579" s="101" t="s">
        <v>582</v>
      </c>
      <c r="J579" s="101" t="s">
        <v>1240</v>
      </c>
      <c r="K579" s="81"/>
      <c r="L579" s="81"/>
      <c r="M579" s="81"/>
      <c r="N579" s="81"/>
      <c r="O579" s="81"/>
      <c r="P579" s="81"/>
      <c r="Q579" s="81"/>
      <c r="R579" s="81"/>
      <c r="S579" s="81"/>
      <c r="T579" s="81"/>
      <c r="U579" s="102">
        <v>-0.2</v>
      </c>
      <c r="V579" s="102">
        <v>-0.2</v>
      </c>
      <c r="W579" s="102">
        <v>-0.2</v>
      </c>
      <c r="X579" s="274">
        <f t="shared" si="85"/>
        <v>-0.2</v>
      </c>
      <c r="Y579" s="102">
        <v>0</v>
      </c>
      <c r="Z579" s="274">
        <f t="shared" si="85"/>
        <v>0</v>
      </c>
      <c r="AA579" s="274">
        <f t="shared" si="85"/>
        <v>0</v>
      </c>
      <c r="AB579" s="27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1424</v>
      </c>
      <c r="G580" s="78"/>
      <c r="H580" s="81" t="s">
        <v>1425</v>
      </c>
      <c r="I580" s="101" t="s">
        <v>582</v>
      </c>
      <c r="J580" s="101" t="s">
        <v>1240</v>
      </c>
      <c r="K580" s="81"/>
      <c r="L580" s="81"/>
      <c r="M580" s="81"/>
      <c r="N580" s="81"/>
      <c r="O580" s="81"/>
      <c r="P580" s="81"/>
      <c r="Q580" s="81"/>
      <c r="R580" s="81"/>
      <c r="S580" s="81"/>
      <c r="T580" s="81"/>
      <c r="U580" s="102">
        <v>0</v>
      </c>
      <c r="V580" s="102">
        <v>0</v>
      </c>
      <c r="W580" s="102">
        <v>0</v>
      </c>
      <c r="X580" s="274">
        <f t="shared" si="85"/>
        <v>0</v>
      </c>
      <c r="Y580" s="272">
        <f>Y578</f>
        <v>0.34899999999999998</v>
      </c>
      <c r="Z580" s="274">
        <f t="shared" si="85"/>
        <v>0.34899999999999998</v>
      </c>
      <c r="AA580" s="274">
        <f t="shared" si="85"/>
        <v>0.34899999999999998</v>
      </c>
      <c r="AB580" s="27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1426</v>
      </c>
      <c r="G581" s="78"/>
      <c r="H581" s="81" t="s">
        <v>1427</v>
      </c>
      <c r="I581" s="101" t="s">
        <v>582</v>
      </c>
      <c r="J581" s="101" t="s">
        <v>1240</v>
      </c>
      <c r="K581" s="81"/>
      <c r="L581" s="81"/>
      <c r="M581" s="81"/>
      <c r="N581" s="81"/>
      <c r="O581" s="81"/>
      <c r="P581" s="81"/>
      <c r="Q581" s="81"/>
      <c r="R581" s="81"/>
      <c r="S581" s="81"/>
      <c r="T581" s="81"/>
      <c r="U581" s="102">
        <v>0</v>
      </c>
      <c r="V581" s="102">
        <v>0</v>
      </c>
      <c r="W581" s="102">
        <v>0</v>
      </c>
      <c r="X581" s="274">
        <f t="shared" si="85"/>
        <v>0</v>
      </c>
      <c r="Y581" s="102">
        <v>1.42</v>
      </c>
      <c r="Z581" s="274">
        <f t="shared" si="85"/>
        <v>1.42</v>
      </c>
      <c r="AA581" s="274">
        <f t="shared" si="85"/>
        <v>1.42</v>
      </c>
      <c r="AB581" s="274">
        <f t="shared" si="85"/>
        <v>1.42</v>
      </c>
      <c r="AC581" s="81"/>
      <c r="AD581" s="102" t="s">
        <v>2347</v>
      </c>
      <c r="AE581" s="81"/>
      <c r="AF581" s="102">
        <v>1</v>
      </c>
      <c r="AG581" s="102">
        <v>1</v>
      </c>
      <c r="AH581" s="78"/>
      <c r="AI581" s="60"/>
      <c r="AJ581" s="48"/>
      <c r="AK581" s="48"/>
      <c r="AL581" s="48"/>
    </row>
    <row r="582" spans="1:38" outlineLevel="2" x14ac:dyDescent="0.25">
      <c r="A582" s="48"/>
      <c r="B582" s="57"/>
      <c r="C582" s="50">
        <f t="shared" si="79"/>
        <v>3</v>
      </c>
      <c r="D582" s="78"/>
      <c r="E582" s="73"/>
      <c r="F582" s="73" t="s">
        <v>1428</v>
      </c>
      <c r="G582" s="78"/>
      <c r="H582" s="81" t="s">
        <v>1429</v>
      </c>
      <c r="I582" s="101" t="s">
        <v>582</v>
      </c>
      <c r="J582" s="101" t="s">
        <v>1240</v>
      </c>
      <c r="K582" s="81"/>
      <c r="L582" s="81"/>
      <c r="M582" s="81"/>
      <c r="N582" s="81"/>
      <c r="O582" s="81"/>
      <c r="P582" s="81"/>
      <c r="Q582" s="81"/>
      <c r="R582" s="81"/>
      <c r="S582" s="81"/>
      <c r="T582" s="81"/>
      <c r="U582" s="102">
        <v>-0.72</v>
      </c>
      <c r="V582" s="102">
        <v>-0.72</v>
      </c>
      <c r="W582" s="102">
        <v>-0.72</v>
      </c>
      <c r="X582" s="274">
        <f t="shared" si="85"/>
        <v>-0.72</v>
      </c>
      <c r="Y582" s="102">
        <v>0</v>
      </c>
      <c r="Z582" s="274">
        <f t="shared" si="85"/>
        <v>0</v>
      </c>
      <c r="AA582" s="274">
        <f t="shared" si="85"/>
        <v>0</v>
      </c>
      <c r="AB582" s="274">
        <f t="shared" si="85"/>
        <v>0</v>
      </c>
      <c r="AC582" s="81"/>
      <c r="AD582" s="102" t="s">
        <v>1430</v>
      </c>
      <c r="AE582" s="81"/>
      <c r="AF582" s="102">
        <v>1</v>
      </c>
      <c r="AG582" s="102">
        <v>1</v>
      </c>
      <c r="AH582" s="78"/>
      <c r="AI582" s="60"/>
      <c r="AJ582" s="48"/>
      <c r="AK582" s="48"/>
      <c r="AL582" s="48"/>
    </row>
    <row r="583" spans="1:38" outlineLevel="2" x14ac:dyDescent="0.25">
      <c r="A583" s="48"/>
      <c r="B583" s="57"/>
      <c r="C583" s="50">
        <f t="shared" si="79"/>
        <v>3</v>
      </c>
      <c r="D583" s="78"/>
      <c r="E583" s="73"/>
      <c r="F583" s="73" t="s">
        <v>1431</v>
      </c>
      <c r="G583" s="78"/>
      <c r="H583" s="81" t="s">
        <v>1432</v>
      </c>
      <c r="I583" s="101" t="s">
        <v>582</v>
      </c>
      <c r="J583" s="101" t="s">
        <v>1240</v>
      </c>
      <c r="K583" s="81"/>
      <c r="L583" s="81"/>
      <c r="M583" s="81"/>
      <c r="N583" s="81"/>
      <c r="O583" s="81"/>
      <c r="P583" s="81"/>
      <c r="Q583" s="81"/>
      <c r="R583" s="81"/>
      <c r="S583" s="81"/>
      <c r="T583" s="81"/>
      <c r="U583" s="102">
        <v>0</v>
      </c>
      <c r="V583" s="102">
        <v>0</v>
      </c>
      <c r="W583" s="102">
        <v>0</v>
      </c>
      <c r="X583" s="274">
        <f t="shared" si="85"/>
        <v>0</v>
      </c>
      <c r="Y583" s="272">
        <f>Y581</f>
        <v>1.42</v>
      </c>
      <c r="Z583" s="274">
        <f t="shared" si="85"/>
        <v>1.42</v>
      </c>
      <c r="AA583" s="274">
        <f t="shared" si="85"/>
        <v>1.42</v>
      </c>
      <c r="AB583" s="27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1433</v>
      </c>
      <c r="G584" s="78"/>
      <c r="H584" s="81" t="s">
        <v>1434</v>
      </c>
      <c r="I584" s="101" t="s">
        <v>582</v>
      </c>
      <c r="J584" s="101" t="s">
        <v>1240</v>
      </c>
      <c r="K584" s="81"/>
      <c r="L584" s="81"/>
      <c r="M584" s="81"/>
      <c r="N584" s="81"/>
      <c r="O584" s="81"/>
      <c r="P584" s="81"/>
      <c r="Q584" s="81"/>
      <c r="R584" s="81"/>
      <c r="S584" s="81"/>
      <c r="T584" s="81"/>
      <c r="U584" s="102">
        <v>0</v>
      </c>
      <c r="V584" s="102">
        <v>0</v>
      </c>
      <c r="W584" s="102">
        <v>0</v>
      </c>
      <c r="X584" s="274">
        <f t="shared" si="85"/>
        <v>0</v>
      </c>
      <c r="Y584" s="274">
        <f t="shared" si="85"/>
        <v>0</v>
      </c>
      <c r="Z584" s="274">
        <f t="shared" si="85"/>
        <v>0</v>
      </c>
      <c r="AA584" s="274">
        <f t="shared" si="85"/>
        <v>0</v>
      </c>
      <c r="AB584" s="27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1435</v>
      </c>
      <c r="G585" s="78"/>
      <c r="H585" s="81" t="s">
        <v>1436</v>
      </c>
      <c r="I585" s="101" t="s">
        <v>582</v>
      </c>
      <c r="J585" s="101" t="s">
        <v>1240</v>
      </c>
      <c r="K585" s="81"/>
      <c r="L585" s="81"/>
      <c r="M585" s="81"/>
      <c r="N585" s="81"/>
      <c r="O585" s="81"/>
      <c r="P585" s="81"/>
      <c r="Q585" s="81"/>
      <c r="R585" s="81"/>
      <c r="S585" s="81"/>
      <c r="T585" s="81"/>
      <c r="U585" s="102">
        <f>-7/1000</f>
        <v>-7.0000000000000001E-3</v>
      </c>
      <c r="V585" s="102">
        <f>-7/1000</f>
        <v>-7.0000000000000001E-3</v>
      </c>
      <c r="W585" s="102">
        <f>-7/1000</f>
        <v>-7.0000000000000001E-3</v>
      </c>
      <c r="X585" s="274">
        <f t="shared" si="85"/>
        <v>-7.0000000000000001E-3</v>
      </c>
      <c r="Y585" s="274">
        <f t="shared" si="85"/>
        <v>-7.0000000000000001E-3</v>
      </c>
      <c r="Z585" s="274">
        <f t="shared" si="85"/>
        <v>-7.0000000000000001E-3</v>
      </c>
      <c r="AA585" s="274">
        <f t="shared" si="85"/>
        <v>-7.0000000000000001E-3</v>
      </c>
      <c r="AB585" s="274">
        <f t="shared" si="85"/>
        <v>-7.0000000000000001E-3</v>
      </c>
      <c r="AC585" s="81"/>
      <c r="AD585" s="102" t="s">
        <v>1437</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1438</v>
      </c>
      <c r="G586" s="78"/>
      <c r="H586" s="81" t="s">
        <v>1439</v>
      </c>
      <c r="I586" s="101" t="s">
        <v>582</v>
      </c>
      <c r="J586" s="101" t="s">
        <v>1240</v>
      </c>
      <c r="K586" s="81"/>
      <c r="L586" s="81"/>
      <c r="M586" s="81"/>
      <c r="N586" s="81"/>
      <c r="O586" s="81"/>
      <c r="P586" s="81"/>
      <c r="Q586" s="81"/>
      <c r="R586" s="81"/>
      <c r="S586" s="81"/>
      <c r="T586" s="81"/>
      <c r="U586" s="102">
        <v>0</v>
      </c>
      <c r="V586" s="102">
        <v>0</v>
      </c>
      <c r="W586" s="102">
        <v>0</v>
      </c>
      <c r="X586" s="274">
        <f t="shared" si="85"/>
        <v>0</v>
      </c>
      <c r="Y586" s="274">
        <f t="shared" si="85"/>
        <v>0</v>
      </c>
      <c r="Z586" s="274">
        <f t="shared" si="85"/>
        <v>0</v>
      </c>
      <c r="AA586" s="274">
        <f t="shared" si="85"/>
        <v>0</v>
      </c>
      <c r="AB586" s="27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1440</v>
      </c>
      <c r="G587" s="78"/>
      <c r="H587" s="81" t="s">
        <v>685</v>
      </c>
      <c r="I587" s="101" t="s">
        <v>582</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1441</v>
      </c>
      <c r="G588" s="78"/>
      <c r="H588" s="81"/>
      <c r="I588" s="101" t="s">
        <v>582</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1442</v>
      </c>
      <c r="G589" s="78"/>
      <c r="H589" s="81"/>
      <c r="I589" s="101" t="s">
        <v>582</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1443</v>
      </c>
      <c r="G590" s="78"/>
      <c r="H590" s="81" t="s">
        <v>1444</v>
      </c>
      <c r="I590" s="101" t="s">
        <v>582</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1445</v>
      </c>
      <c r="AE590" s="81"/>
      <c r="AF590" s="102">
        <v>1</v>
      </c>
      <c r="AG590" s="102">
        <v>1</v>
      </c>
      <c r="AH590" s="78"/>
      <c r="AI590" s="60"/>
      <c r="AJ590" s="48"/>
      <c r="AK590" s="48"/>
      <c r="AL590" s="48"/>
    </row>
    <row r="591" spans="1:38" outlineLevel="2" x14ac:dyDescent="0.25">
      <c r="A591" s="48"/>
      <c r="B591" s="57"/>
      <c r="C591" s="50">
        <f t="shared" si="79"/>
        <v>3</v>
      </c>
      <c r="D591" s="78"/>
      <c r="E591" s="73"/>
      <c r="F591" s="73" t="s">
        <v>1446</v>
      </c>
      <c r="G591" s="78"/>
      <c r="H591" s="81" t="s">
        <v>1447</v>
      </c>
      <c r="I591" s="101" t="s">
        <v>582</v>
      </c>
      <c r="J591" s="101"/>
      <c r="K591" s="81"/>
      <c r="L591" s="81"/>
      <c r="M591" s="81"/>
      <c r="N591" s="81"/>
      <c r="O591" s="81"/>
      <c r="P591" s="81"/>
      <c r="Q591" s="81"/>
      <c r="R591" s="81"/>
      <c r="S591" s="81"/>
      <c r="T591" s="81"/>
      <c r="U591" s="102">
        <v>0.34200000000000003</v>
      </c>
      <c r="V591" s="102">
        <v>0.34200000000000003</v>
      </c>
      <c r="W591" s="102">
        <v>0.34200000000000003</v>
      </c>
      <c r="X591" s="274">
        <f>W591</f>
        <v>0.34200000000000003</v>
      </c>
      <c r="Y591" s="274">
        <f>X591</f>
        <v>0.34200000000000003</v>
      </c>
      <c r="Z591" s="274">
        <f>Y591</f>
        <v>0.34200000000000003</v>
      </c>
      <c r="AA591" s="274">
        <f>Z591</f>
        <v>0.34200000000000003</v>
      </c>
      <c r="AB591" s="274">
        <f>AA591</f>
        <v>0.34200000000000003</v>
      </c>
      <c r="AC591" s="81"/>
      <c r="AD591" s="102" t="s">
        <v>1448</v>
      </c>
      <c r="AE591" s="81"/>
      <c r="AF591" s="102">
        <v>1</v>
      </c>
      <c r="AG591" s="102">
        <v>1</v>
      </c>
      <c r="AH591" s="78"/>
      <c r="AI591" s="60"/>
      <c r="AJ591" s="48"/>
      <c r="AK591" s="48"/>
      <c r="AL591" s="48"/>
    </row>
    <row r="592" spans="1:38" outlineLevel="2" x14ac:dyDescent="0.25">
      <c r="A592" s="48"/>
      <c r="B592" s="57"/>
      <c r="C592" s="50">
        <f t="shared" si="79"/>
        <v>3</v>
      </c>
      <c r="D592" s="78"/>
      <c r="E592" s="73"/>
      <c r="F592" s="73" t="s">
        <v>1449</v>
      </c>
      <c r="G592" s="78"/>
      <c r="H592" s="81" t="s">
        <v>1450</v>
      </c>
      <c r="I592" s="101" t="s">
        <v>582</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1451</v>
      </c>
      <c r="G593" s="78"/>
      <c r="H593" s="81" t="s">
        <v>1452</v>
      </c>
      <c r="I593" s="101" t="s">
        <v>582</v>
      </c>
      <c r="J593" s="101"/>
      <c r="K593" s="81"/>
      <c r="L593" s="81"/>
      <c r="M593" s="81"/>
      <c r="N593" s="81"/>
      <c r="O593" s="81"/>
      <c r="P593" s="81"/>
      <c r="Q593" s="81"/>
      <c r="R593" s="81"/>
      <c r="S593" s="81"/>
      <c r="T593" s="81"/>
      <c r="U593" s="102">
        <v>0</v>
      </c>
      <c r="V593" s="102">
        <v>0</v>
      </c>
      <c r="W593" s="102">
        <v>0</v>
      </c>
      <c r="X593" s="274">
        <f t="shared" ref="X593:AB595" si="86">W593</f>
        <v>0</v>
      </c>
      <c r="Y593" s="274">
        <f t="shared" si="86"/>
        <v>0</v>
      </c>
      <c r="Z593" s="274">
        <f t="shared" si="86"/>
        <v>0</v>
      </c>
      <c r="AA593" s="274">
        <f t="shared" si="86"/>
        <v>0</v>
      </c>
      <c r="AB593" s="27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1453</v>
      </c>
      <c r="G594" s="78"/>
      <c r="H594" s="81" t="s">
        <v>1454</v>
      </c>
      <c r="I594" s="101" t="s">
        <v>582</v>
      </c>
      <c r="J594" s="101"/>
      <c r="K594" s="81"/>
      <c r="L594" s="81"/>
      <c r="M594" s="81"/>
      <c r="N594" s="81"/>
      <c r="O594" s="81"/>
      <c r="P594" s="81"/>
      <c r="Q594" s="81"/>
      <c r="R594" s="81"/>
      <c r="S594" s="81"/>
      <c r="T594" s="81"/>
      <c r="U594" s="102">
        <v>0</v>
      </c>
      <c r="V594" s="102">
        <v>0</v>
      </c>
      <c r="W594" s="102">
        <v>0</v>
      </c>
      <c r="X594" s="274">
        <f t="shared" si="86"/>
        <v>0</v>
      </c>
      <c r="Y594" s="274">
        <f t="shared" si="86"/>
        <v>0</v>
      </c>
      <c r="Z594" s="274">
        <f t="shared" si="86"/>
        <v>0</v>
      </c>
      <c r="AA594" s="274">
        <f t="shared" si="86"/>
        <v>0</v>
      </c>
      <c r="AB594" s="27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1455</v>
      </c>
      <c r="G595" s="78"/>
      <c r="H595" s="81" t="s">
        <v>1456</v>
      </c>
      <c r="I595" s="101" t="s">
        <v>582</v>
      </c>
      <c r="J595" s="101"/>
      <c r="K595" s="81"/>
      <c r="L595" s="81"/>
      <c r="M595" s="81"/>
      <c r="N595" s="81"/>
      <c r="O595" s="81"/>
      <c r="P595" s="81"/>
      <c r="Q595" s="81"/>
      <c r="R595" s="81"/>
      <c r="S595" s="81"/>
      <c r="T595" s="81"/>
      <c r="U595" s="102">
        <v>0</v>
      </c>
      <c r="V595" s="102">
        <v>0</v>
      </c>
      <c r="W595" s="102">
        <v>0</v>
      </c>
      <c r="X595" s="274">
        <f t="shared" si="86"/>
        <v>0</v>
      </c>
      <c r="Y595" s="274">
        <f t="shared" si="86"/>
        <v>0</v>
      </c>
      <c r="Z595" s="274">
        <f t="shared" si="86"/>
        <v>0</v>
      </c>
      <c r="AA595" s="274">
        <f t="shared" si="86"/>
        <v>0</v>
      </c>
      <c r="AB595" s="27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1457</v>
      </c>
      <c r="G596" s="78"/>
      <c r="H596" s="81" t="s">
        <v>685</v>
      </c>
      <c r="I596" s="101" t="s">
        <v>582</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1458</v>
      </c>
      <c r="G597" s="78"/>
      <c r="H597" s="81"/>
      <c r="I597" s="101" t="s">
        <v>582</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1459</v>
      </c>
      <c r="G598" s="78"/>
      <c r="H598" s="81"/>
      <c r="I598" s="101" t="s">
        <v>582</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1460</v>
      </c>
      <c r="G599" s="78"/>
      <c r="H599" s="81" t="s">
        <v>1461</v>
      </c>
      <c r="I599" s="101" t="s">
        <v>582</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1462</v>
      </c>
      <c r="G600" s="78"/>
      <c r="H600" s="81" t="s">
        <v>1463</v>
      </c>
      <c r="I600" s="101" t="s">
        <v>582</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1464</v>
      </c>
      <c r="AE600" s="81"/>
      <c r="AF600" s="102">
        <v>1</v>
      </c>
      <c r="AG600" s="102">
        <v>1</v>
      </c>
      <c r="AH600" s="78"/>
      <c r="AI600" s="60"/>
      <c r="AJ600" s="48"/>
      <c r="AK600" s="48"/>
      <c r="AL600" s="48"/>
    </row>
    <row r="601" spans="1:38" outlineLevel="2" x14ac:dyDescent="0.25">
      <c r="A601" s="48"/>
      <c r="B601" s="57"/>
      <c r="C601" s="50">
        <f t="shared" si="79"/>
        <v>3</v>
      </c>
      <c r="D601" s="78"/>
      <c r="E601" s="73"/>
      <c r="F601" s="73" t="s">
        <v>1465</v>
      </c>
      <c r="G601" s="78"/>
      <c r="H601" s="81" t="s">
        <v>1466</v>
      </c>
      <c r="I601" s="101" t="s">
        <v>582</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275" t="s">
        <v>1467</v>
      </c>
      <c r="G602" s="78"/>
      <c r="H602" s="265" t="s">
        <v>1468</v>
      </c>
      <c r="I602" s="142"/>
      <c r="J602" s="142" t="s">
        <v>1140</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1469</v>
      </c>
      <c r="G603" s="78"/>
      <c r="H603" s="81" t="s">
        <v>685</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1470</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1471</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1472</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1473</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1474</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1475</v>
      </c>
      <c r="G609" s="78"/>
      <c r="H609" s="81" t="s">
        <v>685</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1476</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1477</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1478</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1479</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1480</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1481</v>
      </c>
      <c r="G615" s="78"/>
      <c r="H615" s="81" t="s">
        <v>685</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1482</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1483</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1484</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1485</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1486</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1487</v>
      </c>
      <c r="G621" s="78"/>
      <c r="H621" s="81" t="s">
        <v>685</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1488</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1489</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1490</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1491</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1492</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1493</v>
      </c>
      <c r="G627" s="78"/>
      <c r="H627" s="81" t="s">
        <v>685</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1494</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1495</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1496</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1497</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1498</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1499</v>
      </c>
      <c r="G633" s="78"/>
      <c r="H633" s="81" t="s">
        <v>685</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1500</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1501</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1502</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1503</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1504</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1505</v>
      </c>
      <c r="G639" s="78"/>
      <c r="H639" s="81" t="s">
        <v>685</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1506</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1507</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1508</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1509</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1510</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1511</v>
      </c>
      <c r="G645" s="78"/>
      <c r="H645" s="81" t="s">
        <v>685</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1512</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1513</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1514</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1515</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1516</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1517</v>
      </c>
      <c r="G651" s="78"/>
      <c r="H651" s="81" t="s">
        <v>1518</v>
      </c>
      <c r="I651" s="101"/>
      <c r="J651" s="101"/>
      <c r="K651" s="81"/>
      <c r="L651" s="81"/>
      <c r="M651" s="81"/>
      <c r="N651" s="81"/>
      <c r="O651" s="81"/>
      <c r="P651" s="81"/>
      <c r="Q651" s="81"/>
      <c r="R651" s="81"/>
      <c r="S651" s="81"/>
      <c r="T651" s="81"/>
      <c r="U651" s="282">
        <f>U$751</f>
        <v>0</v>
      </c>
      <c r="V651" s="282">
        <f t="shared" ref="V651:AB651" si="89">V$751</f>
        <v>0</v>
      </c>
      <c r="W651" s="282">
        <f t="shared" si="89"/>
        <v>0</v>
      </c>
      <c r="X651" s="282">
        <f t="shared" si="89"/>
        <v>0</v>
      </c>
      <c r="Y651" s="282">
        <f t="shared" si="89"/>
        <v>0</v>
      </c>
      <c r="Z651" s="282">
        <f t="shared" si="89"/>
        <v>0</v>
      </c>
      <c r="AA651" s="282">
        <f t="shared" si="89"/>
        <v>0</v>
      </c>
      <c r="AB651" s="282">
        <f t="shared" si="89"/>
        <v>0</v>
      </c>
      <c r="AC651" s="81"/>
      <c r="AD651" s="102" t="s">
        <v>1519</v>
      </c>
      <c r="AE651" s="81"/>
      <c r="AF651" s="282">
        <f>AF$751</f>
        <v>1</v>
      </c>
      <c r="AG651" s="282">
        <f>AG$751</f>
        <v>1</v>
      </c>
      <c r="AH651" s="78"/>
      <c r="AI651" s="60"/>
      <c r="AJ651" s="48"/>
      <c r="AK651" s="48"/>
      <c r="AL651" s="48"/>
    </row>
    <row r="652" spans="1:38" outlineLevel="2" x14ac:dyDescent="0.25">
      <c r="A652" s="48"/>
      <c r="B652" s="57"/>
      <c r="C652" s="50">
        <f t="shared" si="88"/>
        <v>3</v>
      </c>
      <c r="D652" s="78"/>
      <c r="E652" s="73"/>
      <c r="F652" s="73" t="s">
        <v>1520</v>
      </c>
      <c r="G652" s="78"/>
      <c r="H652" s="81" t="s">
        <v>1521</v>
      </c>
      <c r="I652" s="101"/>
      <c r="J652" s="101"/>
      <c r="K652" s="81"/>
      <c r="L652" s="81"/>
      <c r="M652" s="81"/>
      <c r="N652" s="81"/>
      <c r="O652" s="81"/>
      <c r="P652" s="81"/>
      <c r="Q652" s="81"/>
      <c r="R652" s="81"/>
      <c r="S652" s="81"/>
      <c r="T652" s="81"/>
      <c r="U652" s="282">
        <f>U$752</f>
        <v>-0.48270000000000002</v>
      </c>
      <c r="V652" s="282">
        <f t="shared" ref="V652:AB652" si="90">V$752</f>
        <v>-0.48270000000000002</v>
      </c>
      <c r="W652" s="282">
        <f t="shared" si="90"/>
        <v>-0.55427188413696349</v>
      </c>
      <c r="X652" s="282">
        <f t="shared" si="90"/>
        <v>-0.55427188413696349</v>
      </c>
      <c r="Y652" s="282">
        <f t="shared" si="90"/>
        <v>-0.55427188413696349</v>
      </c>
      <c r="Z652" s="282">
        <f t="shared" si="90"/>
        <v>-0.55427188413696349</v>
      </c>
      <c r="AA652" s="282">
        <f t="shared" si="90"/>
        <v>-0.55427188413696349</v>
      </c>
      <c r="AB652" s="282">
        <f t="shared" si="90"/>
        <v>-0.55427188413696349</v>
      </c>
      <c r="AC652" s="81"/>
      <c r="AD652" s="81"/>
      <c r="AE652" s="81"/>
      <c r="AF652" s="282">
        <f>AF$752</f>
        <v>1</v>
      </c>
      <c r="AG652" s="282">
        <f>AG$752</f>
        <v>1</v>
      </c>
      <c r="AH652" s="78"/>
      <c r="AI652" s="60"/>
      <c r="AJ652" s="48"/>
      <c r="AK652" s="48"/>
      <c r="AL652" s="48"/>
    </row>
    <row r="653" spans="1:38" outlineLevel="2" x14ac:dyDescent="0.25">
      <c r="A653" s="48"/>
      <c r="B653" s="57"/>
      <c r="C653" s="50">
        <f t="shared" si="88"/>
        <v>3</v>
      </c>
      <c r="D653" s="78"/>
      <c r="E653" s="73"/>
      <c r="F653" s="73" t="s">
        <v>1522</v>
      </c>
      <c r="G653" s="78"/>
      <c r="H653" s="81" t="s">
        <v>1523</v>
      </c>
      <c r="I653" s="101"/>
      <c r="J653" s="101"/>
      <c r="K653" s="81"/>
      <c r="L653" s="81"/>
      <c r="M653" s="81"/>
      <c r="N653" s="81"/>
      <c r="O653" s="81"/>
      <c r="P653" s="81"/>
      <c r="Q653" s="81"/>
      <c r="R653" s="81"/>
      <c r="S653" s="81"/>
      <c r="T653" s="81"/>
      <c r="U653" s="282">
        <f>U$753</f>
        <v>-0.48270000000000002</v>
      </c>
      <c r="V653" s="282">
        <f t="shared" ref="V653:AB653" si="91">V$753</f>
        <v>-0.48270000000000002</v>
      </c>
      <c r="W653" s="282">
        <f t="shared" si="91"/>
        <v>-0.55427188413696349</v>
      </c>
      <c r="X653" s="282">
        <f t="shared" si="91"/>
        <v>-0.55427188413696349</v>
      </c>
      <c r="Y653" s="282">
        <f t="shared" si="91"/>
        <v>-0.55427188413696349</v>
      </c>
      <c r="Z653" s="282">
        <f t="shared" si="91"/>
        <v>-0.55427188413696349</v>
      </c>
      <c r="AA653" s="282">
        <f t="shared" si="91"/>
        <v>-0.55427188413696349</v>
      </c>
      <c r="AB653" s="282">
        <f t="shared" si="91"/>
        <v>-0.55427188413696349</v>
      </c>
      <c r="AC653" s="81"/>
      <c r="AD653" s="81"/>
      <c r="AE653" s="81"/>
      <c r="AF653" s="282">
        <f>AF$753</f>
        <v>1</v>
      </c>
      <c r="AG653" s="282">
        <f>AG$753</f>
        <v>1</v>
      </c>
      <c r="AH653" s="78"/>
      <c r="AI653" s="60"/>
      <c r="AJ653" s="48"/>
      <c r="AK653" s="48"/>
      <c r="AL653" s="48"/>
    </row>
    <row r="654" spans="1:38" outlineLevel="2" x14ac:dyDescent="0.25">
      <c r="A654" s="48"/>
      <c r="B654" s="57"/>
      <c r="C654" s="50">
        <f t="shared" si="88"/>
        <v>3</v>
      </c>
      <c r="D654" s="78"/>
      <c r="E654" s="73"/>
      <c r="F654" s="73" t="s">
        <v>1524</v>
      </c>
      <c r="G654" s="78"/>
      <c r="H654" s="81" t="s">
        <v>1525</v>
      </c>
      <c r="I654" s="101"/>
      <c r="J654" s="101"/>
      <c r="K654" s="81"/>
      <c r="L654" s="81"/>
      <c r="M654" s="81"/>
      <c r="N654" s="81"/>
      <c r="O654" s="81"/>
      <c r="P654" s="81"/>
      <c r="Q654" s="81"/>
      <c r="R654" s="81"/>
      <c r="S654" s="81"/>
      <c r="T654" s="81"/>
      <c r="U654" s="282">
        <f>$752:$752</f>
        <v>-0.48270000000000002</v>
      </c>
      <c r="V654" s="282">
        <f t="shared" ref="V654:AB654" si="92">$752:$752</f>
        <v>-0.48270000000000002</v>
      </c>
      <c r="W654" s="282">
        <f t="shared" si="92"/>
        <v>-0.55427188413696349</v>
      </c>
      <c r="X654" s="282">
        <f t="shared" si="92"/>
        <v>-0.55427188413696349</v>
      </c>
      <c r="Y654" s="282">
        <f t="shared" si="92"/>
        <v>-0.55427188413696349</v>
      </c>
      <c r="Z654" s="282">
        <f t="shared" si="92"/>
        <v>-0.55427188413696349</v>
      </c>
      <c r="AA654" s="282">
        <f t="shared" si="92"/>
        <v>-0.55427188413696349</v>
      </c>
      <c r="AB654" s="282">
        <f t="shared" si="92"/>
        <v>-0.55427188413696349</v>
      </c>
      <c r="AC654" s="81"/>
      <c r="AD654" s="81"/>
      <c r="AE654" s="81"/>
      <c r="AF654" s="282">
        <f>$752:$752</f>
        <v>1</v>
      </c>
      <c r="AG654" s="282">
        <f>$752:$752</f>
        <v>1</v>
      </c>
      <c r="AH654" s="78"/>
      <c r="AI654" s="60"/>
      <c r="AJ654" s="48"/>
      <c r="AK654" s="48"/>
      <c r="AL654" s="48"/>
    </row>
    <row r="655" spans="1:38" outlineLevel="2" x14ac:dyDescent="0.25">
      <c r="A655" s="48">
        <v>4</v>
      </c>
      <c r="B655" s="57"/>
      <c r="C655" s="50">
        <f t="shared" si="88"/>
        <v>3</v>
      </c>
      <c r="D655" s="78"/>
      <c r="E655" s="73"/>
      <c r="F655" s="73" t="s">
        <v>1526</v>
      </c>
      <c r="G655" s="78"/>
      <c r="H655" s="81" t="s">
        <v>1527</v>
      </c>
      <c r="I655" s="101"/>
      <c r="J655" s="101"/>
      <c r="K655" s="81"/>
      <c r="L655" s="81"/>
      <c r="M655" s="81"/>
      <c r="N655" s="81"/>
      <c r="O655" s="81"/>
      <c r="P655" s="81"/>
      <c r="Q655" s="81"/>
      <c r="R655" s="81"/>
      <c r="S655" s="81"/>
      <c r="T655" s="81"/>
      <c r="U655" s="282">
        <f>$753:$753</f>
        <v>-0.48270000000000002</v>
      </c>
      <c r="V655" s="282">
        <f t="shared" ref="V655:AB656" si="93">$753:$753</f>
        <v>-0.48270000000000002</v>
      </c>
      <c r="W655" s="282">
        <f t="shared" si="93"/>
        <v>-0.55427188413696349</v>
      </c>
      <c r="X655" s="282">
        <f t="shared" si="93"/>
        <v>-0.55427188413696349</v>
      </c>
      <c r="Y655" s="282">
        <f t="shared" si="93"/>
        <v>-0.55427188413696349</v>
      </c>
      <c r="Z655" s="282">
        <f t="shared" si="93"/>
        <v>-0.55427188413696349</v>
      </c>
      <c r="AA655" s="282">
        <f t="shared" si="93"/>
        <v>-0.55427188413696349</v>
      </c>
      <c r="AB655" s="282">
        <f t="shared" si="93"/>
        <v>-0.55427188413696349</v>
      </c>
      <c r="AC655" s="81"/>
      <c r="AD655" s="81"/>
      <c r="AE655" s="81"/>
      <c r="AF655" s="282">
        <f>$753:$753</f>
        <v>1</v>
      </c>
      <c r="AG655" s="282">
        <f>$753:$753</f>
        <v>1</v>
      </c>
      <c r="AH655" s="78"/>
      <c r="AI655" s="60"/>
      <c r="AJ655" s="48"/>
      <c r="AK655" s="48"/>
      <c r="AL655" s="48"/>
    </row>
    <row r="656" spans="1:38" outlineLevel="2" collapsed="1" x14ac:dyDescent="0.25">
      <c r="A656" s="48">
        <f>A655</f>
        <v>4</v>
      </c>
      <c r="B656" s="57"/>
      <c r="C656" s="50">
        <f t="shared" si="88"/>
        <v>3</v>
      </c>
      <c r="D656" s="78"/>
      <c r="E656" s="73"/>
      <c r="F656" s="73" t="s">
        <v>1528</v>
      </c>
      <c r="G656" s="78"/>
      <c r="H656" s="81" t="s">
        <v>1529</v>
      </c>
      <c r="I656" s="101"/>
      <c r="J656" s="101"/>
      <c r="K656" s="81"/>
      <c r="L656" s="81"/>
      <c r="M656" s="81"/>
      <c r="N656" s="81"/>
      <c r="O656" s="81"/>
      <c r="P656" s="81"/>
      <c r="Q656" s="81"/>
      <c r="R656" s="81"/>
      <c r="S656" s="81"/>
      <c r="T656" s="81"/>
      <c r="U656" s="282">
        <f>$753:$753</f>
        <v>-0.48270000000000002</v>
      </c>
      <c r="V656" s="282">
        <f t="shared" si="93"/>
        <v>-0.48270000000000002</v>
      </c>
      <c r="W656" s="282">
        <f t="shared" si="93"/>
        <v>-0.55427188413696349</v>
      </c>
      <c r="X656" s="282">
        <f t="shared" si="93"/>
        <v>-0.55427188413696349</v>
      </c>
      <c r="Y656" s="282">
        <f t="shared" si="93"/>
        <v>-0.55427188413696349</v>
      </c>
      <c r="Z656" s="282">
        <f t="shared" si="93"/>
        <v>-0.55427188413696349</v>
      </c>
      <c r="AA656" s="282">
        <f t="shared" si="93"/>
        <v>-0.55427188413696349</v>
      </c>
      <c r="AB656" s="282">
        <f t="shared" si="93"/>
        <v>-0.55427188413696349</v>
      </c>
      <c r="AC656" s="81"/>
      <c r="AD656" s="81"/>
      <c r="AE656" s="81"/>
      <c r="AF656" s="282">
        <f>$753:$753</f>
        <v>1</v>
      </c>
      <c r="AG656" s="282">
        <f>$753:$753</f>
        <v>1</v>
      </c>
      <c r="AH656" s="78"/>
      <c r="AI656" s="60"/>
      <c r="AJ656" s="48"/>
      <c r="AK656" s="48"/>
      <c r="AL656" s="48"/>
    </row>
    <row r="657" spans="1:38" hidden="1" outlineLevel="3" x14ac:dyDescent="0.25">
      <c r="A657" s="48"/>
      <c r="B657" s="57"/>
      <c r="C657" s="50">
        <f t="shared" si="87"/>
        <v>4</v>
      </c>
      <c r="D657" s="78"/>
      <c r="E657" s="73"/>
      <c r="F657" s="73" t="s">
        <v>1530</v>
      </c>
      <c r="G657" s="78"/>
      <c r="H657" s="81" t="s">
        <v>685</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1531</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1532</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1533</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1534</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1535</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1536</v>
      </c>
      <c r="G663" s="78"/>
      <c r="H663" s="81" t="s">
        <v>685</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1537</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1538</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1539</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1540</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1541</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1542</v>
      </c>
      <c r="G669" s="78"/>
      <c r="H669" s="81" t="s">
        <v>685</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1543</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1544</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1545</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1546</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1547</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1548</v>
      </c>
      <c r="G675" s="78"/>
      <c r="H675" s="81" t="s">
        <v>1549</v>
      </c>
      <c r="I675" s="101" t="s">
        <v>777</v>
      </c>
      <c r="J675" s="101" t="s">
        <v>1240</v>
      </c>
      <c r="K675" s="81"/>
      <c r="L675" s="81"/>
      <c r="M675" s="81"/>
      <c r="N675" s="81"/>
      <c r="O675" s="81"/>
      <c r="P675" s="81"/>
      <c r="Q675" s="81"/>
      <c r="R675" s="81"/>
      <c r="S675" s="81"/>
      <c r="T675" s="81"/>
      <c r="U675" s="102">
        <v>0</v>
      </c>
      <c r="V675" s="102">
        <v>0</v>
      </c>
      <c r="W675" s="102">
        <v>0</v>
      </c>
      <c r="X675" s="274">
        <f t="shared" ref="X675:AB686" si="96">W675</f>
        <v>0</v>
      </c>
      <c r="Y675" s="274">
        <f t="shared" si="96"/>
        <v>0</v>
      </c>
      <c r="Z675" s="274">
        <f t="shared" si="96"/>
        <v>0</v>
      </c>
      <c r="AA675" s="274">
        <f t="shared" si="96"/>
        <v>0</v>
      </c>
      <c r="AB675" s="274">
        <f t="shared" si="96"/>
        <v>0</v>
      </c>
      <c r="AC675" s="81"/>
      <c r="AD675" s="102" t="s">
        <v>1550</v>
      </c>
      <c r="AE675" s="81"/>
      <c r="AF675" s="102">
        <v>1</v>
      </c>
      <c r="AG675" s="102">
        <v>1</v>
      </c>
      <c r="AH675" s="78"/>
      <c r="AI675" s="60"/>
      <c r="AJ675" s="48"/>
      <c r="AK675" s="48"/>
      <c r="AL675" s="48"/>
    </row>
    <row r="676" spans="1:38" outlineLevel="2" x14ac:dyDescent="0.25">
      <c r="A676" s="48"/>
      <c r="B676" s="57"/>
      <c r="C676" s="50">
        <f t="shared" si="95"/>
        <v>3</v>
      </c>
      <c r="D676" s="78"/>
      <c r="E676" s="73"/>
      <c r="F676" s="73" t="s">
        <v>1551</v>
      </c>
      <c r="G676" s="78"/>
      <c r="H676" s="81" t="s">
        <v>1552</v>
      </c>
      <c r="I676" s="101" t="s">
        <v>777</v>
      </c>
      <c r="J676" s="101" t="s">
        <v>1240</v>
      </c>
      <c r="K676" s="81"/>
      <c r="L676" s="81"/>
      <c r="M676" s="81"/>
      <c r="N676" s="81"/>
      <c r="O676" s="81"/>
      <c r="P676" s="81"/>
      <c r="Q676" s="81"/>
      <c r="R676" s="81"/>
      <c r="S676" s="81"/>
      <c r="T676" s="81"/>
      <c r="U676" s="102">
        <v>-0.26400000000000001</v>
      </c>
      <c r="V676" s="102">
        <v>-0.26400000000000001</v>
      </c>
      <c r="W676" s="102">
        <v>-0.26400000000000001</v>
      </c>
      <c r="X676" s="274">
        <f t="shared" si="96"/>
        <v>-0.26400000000000001</v>
      </c>
      <c r="Y676" s="274">
        <f t="shared" si="96"/>
        <v>-0.26400000000000001</v>
      </c>
      <c r="Z676" s="274">
        <f t="shared" si="96"/>
        <v>-0.26400000000000001</v>
      </c>
      <c r="AA676" s="274">
        <f t="shared" si="96"/>
        <v>-0.26400000000000001</v>
      </c>
      <c r="AB676" s="274">
        <f t="shared" si="96"/>
        <v>-0.26400000000000001</v>
      </c>
      <c r="AC676" s="81"/>
      <c r="AD676" s="102" t="s">
        <v>1553</v>
      </c>
      <c r="AE676" s="81"/>
      <c r="AF676" s="102">
        <v>1</v>
      </c>
      <c r="AG676" s="102">
        <v>1</v>
      </c>
      <c r="AH676" s="78"/>
      <c r="AI676" s="60"/>
      <c r="AJ676" s="48"/>
      <c r="AK676" s="48"/>
      <c r="AL676" s="48"/>
    </row>
    <row r="677" spans="1:38" outlineLevel="2" x14ac:dyDescent="0.25">
      <c r="A677" s="48"/>
      <c r="B677" s="57"/>
      <c r="C677" s="50">
        <f t="shared" si="95"/>
        <v>3</v>
      </c>
      <c r="D677" s="78"/>
      <c r="E677" s="73"/>
      <c r="F677" s="73" t="s">
        <v>1554</v>
      </c>
      <c r="G677" s="78"/>
      <c r="H677" s="81" t="s">
        <v>1555</v>
      </c>
      <c r="I677" s="101" t="s">
        <v>777</v>
      </c>
      <c r="J677" s="101" t="s">
        <v>1240</v>
      </c>
      <c r="K677" s="81"/>
      <c r="L677" s="81"/>
      <c r="M677" s="81"/>
      <c r="N677" s="81"/>
      <c r="O677" s="81"/>
      <c r="P677" s="81"/>
      <c r="Q677" s="81"/>
      <c r="R677" s="81"/>
      <c r="S677" s="81"/>
      <c r="T677" s="81"/>
      <c r="U677" s="102">
        <v>-0.4</v>
      </c>
      <c r="V677" s="102">
        <v>-0.4</v>
      </c>
      <c r="W677" s="102">
        <v>-0.4</v>
      </c>
      <c r="X677" s="274">
        <f t="shared" si="96"/>
        <v>-0.4</v>
      </c>
      <c r="Y677" s="274">
        <f t="shared" si="96"/>
        <v>-0.4</v>
      </c>
      <c r="Z677" s="274">
        <f t="shared" si="96"/>
        <v>-0.4</v>
      </c>
      <c r="AA677" s="274">
        <f t="shared" si="96"/>
        <v>-0.4</v>
      </c>
      <c r="AB677" s="274">
        <f t="shared" si="96"/>
        <v>-0.4</v>
      </c>
      <c r="AC677" s="81"/>
      <c r="AD677" s="284" t="s">
        <v>1556</v>
      </c>
      <c r="AE677" s="81"/>
      <c r="AF677" s="102">
        <v>1</v>
      </c>
      <c r="AG677" s="102">
        <v>1</v>
      </c>
      <c r="AH677" s="78"/>
      <c r="AI677" s="60"/>
      <c r="AJ677" s="48"/>
      <c r="AK677" s="48"/>
      <c r="AL677" s="48"/>
    </row>
    <row r="678" spans="1:38" outlineLevel="2" x14ac:dyDescent="0.25">
      <c r="A678" s="48"/>
      <c r="B678" s="57"/>
      <c r="C678" s="50">
        <f t="shared" si="95"/>
        <v>3</v>
      </c>
      <c r="D678" s="78"/>
      <c r="E678" s="73"/>
      <c r="F678" s="73" t="s">
        <v>1557</v>
      </c>
      <c r="G678" s="78"/>
      <c r="H678" s="81" t="s">
        <v>1558</v>
      </c>
      <c r="I678" s="101" t="s">
        <v>777</v>
      </c>
      <c r="J678" s="101" t="s">
        <v>1240</v>
      </c>
      <c r="K678" s="81"/>
      <c r="L678" s="81"/>
      <c r="M678" s="81"/>
      <c r="N678" s="81"/>
      <c r="O678" s="81"/>
      <c r="P678" s="81"/>
      <c r="Q678" s="81"/>
      <c r="R678" s="81"/>
      <c r="S678" s="81"/>
      <c r="T678" s="81"/>
      <c r="U678" s="102">
        <v>-0.17799999999999999</v>
      </c>
      <c r="V678" s="102">
        <v>-0.17799999999999999</v>
      </c>
      <c r="W678" s="102">
        <v>-0.17799999999999999</v>
      </c>
      <c r="X678" s="274">
        <f t="shared" si="96"/>
        <v>-0.17799999999999999</v>
      </c>
      <c r="Y678" s="274">
        <f t="shared" si="96"/>
        <v>-0.17799999999999999</v>
      </c>
      <c r="Z678" s="274">
        <f t="shared" si="96"/>
        <v>-0.17799999999999999</v>
      </c>
      <c r="AA678" s="274">
        <f t="shared" si="96"/>
        <v>-0.17799999999999999</v>
      </c>
      <c r="AB678" s="274">
        <f t="shared" si="96"/>
        <v>-0.17799999999999999</v>
      </c>
      <c r="AC678" s="81"/>
      <c r="AD678" s="102" t="s">
        <v>1559</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1560</v>
      </c>
      <c r="G679" s="78"/>
      <c r="H679" s="81" t="s">
        <v>1561</v>
      </c>
      <c r="I679" s="101" t="s">
        <v>777</v>
      </c>
      <c r="J679" s="101" t="s">
        <v>1240</v>
      </c>
      <c r="K679" s="81"/>
      <c r="L679" s="81"/>
      <c r="M679" s="81"/>
      <c r="N679" s="81"/>
      <c r="O679" s="81"/>
      <c r="P679" s="81"/>
      <c r="Q679" s="81"/>
      <c r="R679" s="81"/>
      <c r="S679" s="81"/>
      <c r="T679" s="81"/>
      <c r="U679" s="102">
        <v>-0.26400000000000001</v>
      </c>
      <c r="V679" s="102">
        <v>-0.26400000000000001</v>
      </c>
      <c r="W679" s="102">
        <v>-0.26400000000000001</v>
      </c>
      <c r="X679" s="274">
        <f t="shared" si="96"/>
        <v>-0.26400000000000001</v>
      </c>
      <c r="Y679" s="274">
        <f t="shared" si="96"/>
        <v>-0.26400000000000001</v>
      </c>
      <c r="Z679" s="274">
        <f t="shared" si="96"/>
        <v>-0.26400000000000001</v>
      </c>
      <c r="AA679" s="274">
        <f t="shared" si="96"/>
        <v>-0.26400000000000001</v>
      </c>
      <c r="AB679" s="27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1562</v>
      </c>
      <c r="G680" s="78"/>
      <c r="H680" s="81" t="s">
        <v>1563</v>
      </c>
      <c r="I680" s="101" t="s">
        <v>777</v>
      </c>
      <c r="J680" s="101" t="s">
        <v>1240</v>
      </c>
      <c r="K680" s="81"/>
      <c r="L680" s="81"/>
      <c r="M680" s="81"/>
      <c r="N680" s="81"/>
      <c r="O680" s="81"/>
      <c r="P680" s="81"/>
      <c r="Q680" s="81"/>
      <c r="R680" s="81"/>
      <c r="S680" s="81"/>
      <c r="T680" s="81"/>
      <c r="U680" s="102">
        <v>-0.17799999999999999</v>
      </c>
      <c r="V680" s="102">
        <v>-0.17799999999999999</v>
      </c>
      <c r="W680" s="102">
        <v>-0.17799999999999999</v>
      </c>
      <c r="X680" s="274">
        <f t="shared" si="96"/>
        <v>-0.17799999999999999</v>
      </c>
      <c r="Y680" s="274">
        <f t="shared" si="96"/>
        <v>-0.17799999999999999</v>
      </c>
      <c r="Z680" s="274">
        <f t="shared" si="96"/>
        <v>-0.17799999999999999</v>
      </c>
      <c r="AA680" s="274">
        <f t="shared" si="96"/>
        <v>-0.17799999999999999</v>
      </c>
      <c r="AB680" s="27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1564</v>
      </c>
      <c r="G681" s="78"/>
      <c r="H681" s="81" t="s">
        <v>1565</v>
      </c>
      <c r="I681" s="101" t="s">
        <v>1566</v>
      </c>
      <c r="J681" s="101" t="s">
        <v>1240</v>
      </c>
      <c r="K681" s="81"/>
      <c r="L681" s="81"/>
      <c r="M681" s="81"/>
      <c r="N681" s="81"/>
      <c r="O681" s="81"/>
      <c r="P681" s="81"/>
      <c r="Q681" s="81"/>
      <c r="R681" s="81"/>
      <c r="S681" s="81"/>
      <c r="T681" s="81"/>
      <c r="U681" s="102">
        <v>0</v>
      </c>
      <c r="V681" s="102">
        <v>0</v>
      </c>
      <c r="W681" s="102">
        <v>0</v>
      </c>
      <c r="X681" s="274">
        <f t="shared" si="96"/>
        <v>0</v>
      </c>
      <c r="Y681" s="274">
        <f t="shared" si="96"/>
        <v>0</v>
      </c>
      <c r="Z681" s="274">
        <f t="shared" si="96"/>
        <v>0</v>
      </c>
      <c r="AA681" s="274">
        <f t="shared" si="96"/>
        <v>0</v>
      </c>
      <c r="AB681" s="274">
        <f t="shared" si="96"/>
        <v>0</v>
      </c>
      <c r="AC681" s="81"/>
      <c r="AD681" s="102" t="s">
        <v>1550</v>
      </c>
      <c r="AE681" s="81"/>
      <c r="AF681" s="102">
        <v>1</v>
      </c>
      <c r="AG681" s="102">
        <v>1</v>
      </c>
      <c r="AH681" s="78"/>
      <c r="AI681" s="60"/>
      <c r="AJ681" s="48"/>
      <c r="AK681" s="48"/>
      <c r="AL681" s="48"/>
    </row>
    <row r="682" spans="1:38" outlineLevel="2" x14ac:dyDescent="0.25">
      <c r="A682" s="48"/>
      <c r="B682" s="57"/>
      <c r="C682" s="50">
        <f t="shared" si="95"/>
        <v>3</v>
      </c>
      <c r="D682" s="78"/>
      <c r="E682" s="73"/>
      <c r="F682" s="73" t="s">
        <v>1567</v>
      </c>
      <c r="G682" s="78"/>
      <c r="H682" s="81" t="s">
        <v>1568</v>
      </c>
      <c r="I682" s="101" t="s">
        <v>1566</v>
      </c>
      <c r="J682" s="101" t="s">
        <v>1240</v>
      </c>
      <c r="K682" s="81"/>
      <c r="L682" s="81"/>
      <c r="M682" s="81"/>
      <c r="N682" s="81"/>
      <c r="O682" s="81"/>
      <c r="P682" s="81"/>
      <c r="Q682" s="81"/>
      <c r="R682" s="81"/>
      <c r="S682" s="81"/>
      <c r="T682" s="81"/>
      <c r="U682" s="102">
        <v>0.43</v>
      </c>
      <c r="V682" s="102">
        <v>0.43</v>
      </c>
      <c r="W682" s="102">
        <v>0.43</v>
      </c>
      <c r="X682" s="274">
        <f t="shared" si="96"/>
        <v>0.43</v>
      </c>
      <c r="Y682" s="274">
        <f t="shared" si="96"/>
        <v>0.43</v>
      </c>
      <c r="Z682" s="274">
        <f t="shared" si="96"/>
        <v>0.43</v>
      </c>
      <c r="AA682" s="274">
        <f t="shared" si="96"/>
        <v>0.43</v>
      </c>
      <c r="AB682" s="274">
        <f t="shared" si="96"/>
        <v>0.43</v>
      </c>
      <c r="AC682" s="81"/>
      <c r="AD682" s="102" t="s">
        <v>1553</v>
      </c>
      <c r="AE682" s="81"/>
      <c r="AF682" s="102">
        <v>1</v>
      </c>
      <c r="AG682" s="102">
        <v>1</v>
      </c>
      <c r="AH682" s="78"/>
      <c r="AI682" s="60"/>
      <c r="AJ682" s="48"/>
      <c r="AK682" s="48"/>
      <c r="AL682" s="48"/>
    </row>
    <row r="683" spans="1:38" outlineLevel="2" x14ac:dyDescent="0.25">
      <c r="A683" s="48"/>
      <c r="B683" s="57"/>
      <c r="C683" s="50">
        <f t="shared" si="95"/>
        <v>3</v>
      </c>
      <c r="D683" s="78"/>
      <c r="E683" s="73"/>
      <c r="F683" s="73" t="s">
        <v>1569</v>
      </c>
      <c r="G683" s="78"/>
      <c r="H683" s="81" t="s">
        <v>1570</v>
      </c>
      <c r="I683" s="101" t="s">
        <v>1566</v>
      </c>
      <c r="J683" s="101" t="s">
        <v>1240</v>
      </c>
      <c r="K683" s="81"/>
      <c r="L683" s="81"/>
      <c r="M683" s="81"/>
      <c r="N683" s="81"/>
      <c r="O683" s="81"/>
      <c r="P683" s="81"/>
      <c r="Q683" s="81"/>
      <c r="R683" s="81"/>
      <c r="S683" s="81"/>
      <c r="T683" s="81"/>
      <c r="U683" s="102">
        <v>0.8</v>
      </c>
      <c r="V683" s="102">
        <v>0.8</v>
      </c>
      <c r="W683" s="102">
        <v>0.8</v>
      </c>
      <c r="X683" s="274">
        <f t="shared" si="96"/>
        <v>0.8</v>
      </c>
      <c r="Y683" s="274">
        <f t="shared" si="96"/>
        <v>0.8</v>
      </c>
      <c r="Z683" s="274">
        <f t="shared" si="96"/>
        <v>0.8</v>
      </c>
      <c r="AA683" s="274">
        <f t="shared" si="96"/>
        <v>0.8</v>
      </c>
      <c r="AB683" s="274">
        <f t="shared" si="96"/>
        <v>0.8</v>
      </c>
      <c r="AC683" s="81"/>
      <c r="AD683" s="284" t="s">
        <v>1556</v>
      </c>
      <c r="AE683" s="81"/>
      <c r="AF683" s="102">
        <v>1</v>
      </c>
      <c r="AG683" s="102">
        <v>1</v>
      </c>
      <c r="AH683" s="78"/>
      <c r="AI683" s="60"/>
      <c r="AJ683" s="48"/>
      <c r="AK683" s="48"/>
      <c r="AL683" s="48"/>
    </row>
    <row r="684" spans="1:38" outlineLevel="2" x14ac:dyDescent="0.25">
      <c r="A684" s="48"/>
      <c r="B684" s="57"/>
      <c r="C684" s="50">
        <f t="shared" si="95"/>
        <v>3</v>
      </c>
      <c r="D684" s="78"/>
      <c r="E684" s="73"/>
      <c r="F684" s="73" t="s">
        <v>1571</v>
      </c>
      <c r="G684" s="78"/>
      <c r="H684" s="81" t="s">
        <v>1572</v>
      </c>
      <c r="I684" s="101" t="s">
        <v>1566</v>
      </c>
      <c r="J684" s="101" t="s">
        <v>1240</v>
      </c>
      <c r="K684" s="81"/>
      <c r="L684" s="81"/>
      <c r="M684" s="81"/>
      <c r="N684" s="81"/>
      <c r="O684" s="81"/>
      <c r="P684" s="81"/>
      <c r="Q684" s="81"/>
      <c r="R684" s="81"/>
      <c r="S684" s="81"/>
      <c r="T684" s="81"/>
      <c r="U684" s="102">
        <v>8.9999999999999993E-3</v>
      </c>
      <c r="V684" s="102">
        <v>8.9999999999999993E-3</v>
      </c>
      <c r="W684" s="102">
        <v>8.9999999999999993E-3</v>
      </c>
      <c r="X684" s="274">
        <f t="shared" si="96"/>
        <v>8.9999999999999993E-3</v>
      </c>
      <c r="Y684" s="274">
        <f t="shared" si="96"/>
        <v>8.9999999999999993E-3</v>
      </c>
      <c r="Z684" s="274">
        <f t="shared" si="96"/>
        <v>8.9999999999999993E-3</v>
      </c>
      <c r="AA684" s="274">
        <f t="shared" si="96"/>
        <v>8.9999999999999993E-3</v>
      </c>
      <c r="AB684" s="274">
        <f t="shared" si="96"/>
        <v>8.9999999999999993E-3</v>
      </c>
      <c r="AC684" s="81"/>
      <c r="AD684" s="102" t="s">
        <v>1573</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1574</v>
      </c>
      <c r="G685" s="78"/>
      <c r="H685" s="81" t="s">
        <v>1575</v>
      </c>
      <c r="I685" s="101" t="s">
        <v>1566</v>
      </c>
      <c r="J685" s="101" t="s">
        <v>1240</v>
      </c>
      <c r="K685" s="81"/>
      <c r="L685" s="81"/>
      <c r="M685" s="81"/>
      <c r="N685" s="81"/>
      <c r="O685" s="81"/>
      <c r="P685" s="81"/>
      <c r="Q685" s="81"/>
      <c r="R685" s="81"/>
      <c r="S685" s="81"/>
      <c r="T685" s="81"/>
      <c r="U685" s="102">
        <v>0.48199999999999998</v>
      </c>
      <c r="V685" s="102">
        <v>0.48199999999999998</v>
      </c>
      <c r="W685" s="102">
        <v>0.48199999999999998</v>
      </c>
      <c r="X685" s="274">
        <f t="shared" si="96"/>
        <v>0.48199999999999998</v>
      </c>
      <c r="Y685" s="274">
        <f t="shared" si="96"/>
        <v>0.48199999999999998</v>
      </c>
      <c r="Z685" s="274">
        <f t="shared" si="96"/>
        <v>0.48199999999999998</v>
      </c>
      <c r="AA685" s="274">
        <f t="shared" si="96"/>
        <v>0.48199999999999998</v>
      </c>
      <c r="AB685" s="27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1576</v>
      </c>
      <c r="G686" s="78"/>
      <c r="H686" s="81" t="s">
        <v>1577</v>
      </c>
      <c r="I686" s="101" t="s">
        <v>1566</v>
      </c>
      <c r="J686" s="101" t="s">
        <v>1240</v>
      </c>
      <c r="K686" s="81"/>
      <c r="L686" s="81"/>
      <c r="M686" s="81"/>
      <c r="N686" s="81"/>
      <c r="O686" s="81"/>
      <c r="P686" s="81"/>
      <c r="Q686" s="81"/>
      <c r="R686" s="81"/>
      <c r="S686" s="81"/>
      <c r="T686" s="81"/>
      <c r="U686" s="102">
        <v>0.128</v>
      </c>
      <c r="V686" s="102">
        <v>0.128</v>
      </c>
      <c r="W686" s="102">
        <v>0.128</v>
      </c>
      <c r="X686" s="274">
        <f t="shared" si="96"/>
        <v>0.128</v>
      </c>
      <c r="Y686" s="274">
        <f t="shared" si="96"/>
        <v>0.128</v>
      </c>
      <c r="Z686" s="274">
        <f t="shared" si="96"/>
        <v>0.128</v>
      </c>
      <c r="AA686" s="274">
        <f t="shared" si="96"/>
        <v>0.128</v>
      </c>
      <c r="AB686" s="27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1578</v>
      </c>
      <c r="G687" s="78"/>
      <c r="H687" s="81" t="s">
        <v>685</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1579</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1580</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1581</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1582</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1583</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1584</v>
      </c>
      <c r="G693" s="78"/>
      <c r="H693" s="81" t="s">
        <v>1585</v>
      </c>
      <c r="I693" s="101"/>
      <c r="J693" s="101" t="s">
        <v>1283</v>
      </c>
      <c r="K693" s="81"/>
      <c r="L693" s="81"/>
      <c r="M693" s="81"/>
      <c r="N693" s="81"/>
      <c r="O693" s="81"/>
      <c r="P693" s="81"/>
      <c r="Q693" s="81"/>
      <c r="R693" s="81"/>
      <c r="S693" s="81"/>
      <c r="T693" s="81"/>
      <c r="U693" s="282">
        <f>U$779</f>
        <v>0.1</v>
      </c>
      <c r="V693" s="282">
        <f t="shared" ref="V693:AB693" si="98">V$779</f>
        <v>0.1</v>
      </c>
      <c r="W693" s="282">
        <f t="shared" si="98"/>
        <v>0.1</v>
      </c>
      <c r="X693" s="282">
        <f t="shared" si="98"/>
        <v>0.1</v>
      </c>
      <c r="Y693" s="282">
        <f t="shared" si="98"/>
        <v>0.1</v>
      </c>
      <c r="Z693" s="282">
        <f t="shared" si="98"/>
        <v>0.1</v>
      </c>
      <c r="AA693" s="282">
        <f t="shared" si="98"/>
        <v>0.1</v>
      </c>
      <c r="AB693" s="282">
        <f t="shared" si="98"/>
        <v>0.1</v>
      </c>
      <c r="AC693" s="81"/>
      <c r="AD693" s="81" t="s">
        <v>1519</v>
      </c>
      <c r="AE693" s="81"/>
      <c r="AF693" s="282">
        <f>AF$779</f>
        <v>1</v>
      </c>
      <c r="AG693" s="282">
        <f>AG$779</f>
        <v>1</v>
      </c>
      <c r="AH693" s="78"/>
      <c r="AI693" s="60"/>
      <c r="AJ693" s="48"/>
      <c r="AK693" s="48"/>
      <c r="AL693" s="48"/>
    </row>
    <row r="694" spans="1:38" outlineLevel="2" x14ac:dyDescent="0.25">
      <c r="A694" s="48"/>
      <c r="B694" s="57"/>
      <c r="C694" s="50">
        <f t="shared" si="97"/>
        <v>3</v>
      </c>
      <c r="D694" s="78"/>
      <c r="E694" s="73"/>
      <c r="F694" s="73" t="s">
        <v>1586</v>
      </c>
      <c r="G694" s="78"/>
      <c r="H694" s="81" t="s">
        <v>1587</v>
      </c>
      <c r="I694" s="101"/>
      <c r="J694" s="101" t="s">
        <v>1283</v>
      </c>
      <c r="K694" s="81"/>
      <c r="L694" s="81"/>
      <c r="M694" s="81"/>
      <c r="N694" s="81"/>
      <c r="O694" s="81"/>
      <c r="P694" s="81"/>
      <c r="Q694" s="81"/>
      <c r="R694" s="81"/>
      <c r="S694" s="81"/>
      <c r="T694" s="81"/>
      <c r="U694" s="282">
        <f>U$780</f>
        <v>8.5000000000000006E-2</v>
      </c>
      <c r="V694" s="282">
        <f t="shared" ref="V694:AB694" si="99">V$780</f>
        <v>8.5000000000000006E-2</v>
      </c>
      <c r="W694" s="282">
        <f t="shared" si="99"/>
        <v>8.5000000000000006E-2</v>
      </c>
      <c r="X694" s="282">
        <f t="shared" si="99"/>
        <v>8.5000000000000006E-2</v>
      </c>
      <c r="Y694" s="282">
        <f t="shared" si="99"/>
        <v>8.5000000000000006E-2</v>
      </c>
      <c r="Z694" s="282">
        <f t="shared" si="99"/>
        <v>8.5000000000000006E-2</v>
      </c>
      <c r="AA694" s="282">
        <f t="shared" si="99"/>
        <v>8.5000000000000006E-2</v>
      </c>
      <c r="AB694" s="282">
        <f t="shared" si="99"/>
        <v>8.5000000000000006E-2</v>
      </c>
      <c r="AC694" s="81"/>
      <c r="AD694" s="81"/>
      <c r="AE694" s="81"/>
      <c r="AF694" s="282">
        <f>AF$780</f>
        <v>1</v>
      </c>
      <c r="AG694" s="282">
        <f>AG$780</f>
        <v>1</v>
      </c>
      <c r="AH694" s="78"/>
      <c r="AI694" s="60"/>
      <c r="AJ694" s="48"/>
      <c r="AK694" s="48"/>
      <c r="AL694" s="48"/>
    </row>
    <row r="695" spans="1:38" outlineLevel="2" x14ac:dyDescent="0.25">
      <c r="A695" s="48"/>
      <c r="B695" s="57"/>
      <c r="C695" s="50">
        <f t="shared" si="97"/>
        <v>3</v>
      </c>
      <c r="D695" s="78"/>
      <c r="E695" s="73"/>
      <c r="F695" s="73" t="s">
        <v>1588</v>
      </c>
      <c r="G695" s="78"/>
      <c r="H695" s="81" t="s">
        <v>1589</v>
      </c>
      <c r="I695" s="101"/>
      <c r="J695" s="101" t="s">
        <v>1283</v>
      </c>
      <c r="K695" s="81"/>
      <c r="L695" s="81"/>
      <c r="M695" s="81"/>
      <c r="N695" s="81"/>
      <c r="O695" s="81"/>
      <c r="P695" s="81"/>
      <c r="Q695" s="81"/>
      <c r="R695" s="81"/>
      <c r="S695" s="81"/>
      <c r="T695" s="81"/>
      <c r="U695" s="282">
        <f>U$781</f>
        <v>7.0000000000000007E-2</v>
      </c>
      <c r="V695" s="282">
        <f t="shared" ref="V695:AB695" si="100">V$781</f>
        <v>7.0000000000000007E-2</v>
      </c>
      <c r="W695" s="282">
        <f t="shared" si="100"/>
        <v>7.0000000000000007E-2</v>
      </c>
      <c r="X695" s="282">
        <f t="shared" si="100"/>
        <v>7.0000000000000007E-2</v>
      </c>
      <c r="Y695" s="282">
        <f t="shared" si="100"/>
        <v>7.0000000000000007E-2</v>
      </c>
      <c r="Z695" s="282">
        <f t="shared" si="100"/>
        <v>7.0000000000000007E-2</v>
      </c>
      <c r="AA695" s="282">
        <f t="shared" si="100"/>
        <v>7.0000000000000007E-2</v>
      </c>
      <c r="AB695" s="282">
        <f t="shared" si="100"/>
        <v>7.0000000000000007E-2</v>
      </c>
      <c r="AC695" s="81"/>
      <c r="AD695" s="81"/>
      <c r="AE695" s="81"/>
      <c r="AF695" s="282">
        <f>AF$781</f>
        <v>1</v>
      </c>
      <c r="AG695" s="282">
        <f>AG$781</f>
        <v>1</v>
      </c>
      <c r="AH695" s="78"/>
      <c r="AI695" s="60"/>
      <c r="AJ695" s="48"/>
      <c r="AK695" s="48"/>
      <c r="AL695" s="48"/>
    </row>
    <row r="696" spans="1:38" outlineLevel="2" x14ac:dyDescent="0.25">
      <c r="A696" s="48"/>
      <c r="B696" s="57"/>
      <c r="C696" s="50">
        <f t="shared" si="97"/>
        <v>3</v>
      </c>
      <c r="D696" s="78"/>
      <c r="E696" s="73"/>
      <c r="F696" s="73" t="s">
        <v>1590</v>
      </c>
      <c r="G696" s="78"/>
      <c r="H696" s="81" t="s">
        <v>1591</v>
      </c>
      <c r="I696" s="101"/>
      <c r="J696" s="101" t="s">
        <v>1283</v>
      </c>
      <c r="K696" s="81"/>
      <c r="L696" s="81"/>
      <c r="M696" s="81"/>
      <c r="N696" s="81"/>
      <c r="O696" s="81"/>
      <c r="P696" s="81"/>
      <c r="Q696" s="81"/>
      <c r="R696" s="81"/>
      <c r="S696" s="81"/>
      <c r="T696" s="81"/>
      <c r="U696" s="282">
        <f>U$780</f>
        <v>8.5000000000000006E-2</v>
      </c>
      <c r="V696" s="282">
        <f t="shared" ref="V696:AB696" si="101">V$780</f>
        <v>8.5000000000000006E-2</v>
      </c>
      <c r="W696" s="282">
        <f t="shared" si="101"/>
        <v>8.5000000000000006E-2</v>
      </c>
      <c r="X696" s="282">
        <f t="shared" si="101"/>
        <v>8.5000000000000006E-2</v>
      </c>
      <c r="Y696" s="282">
        <f t="shared" si="101"/>
        <v>8.5000000000000006E-2</v>
      </c>
      <c r="Z696" s="282">
        <f t="shared" si="101"/>
        <v>8.5000000000000006E-2</v>
      </c>
      <c r="AA696" s="282">
        <f t="shared" si="101"/>
        <v>8.5000000000000006E-2</v>
      </c>
      <c r="AB696" s="282">
        <f t="shared" si="101"/>
        <v>8.5000000000000006E-2</v>
      </c>
      <c r="AC696" s="81"/>
      <c r="AD696" s="81"/>
      <c r="AE696" s="81"/>
      <c r="AF696" s="282">
        <f>AF$780</f>
        <v>1</v>
      </c>
      <c r="AG696" s="282">
        <f>AG$780</f>
        <v>1</v>
      </c>
      <c r="AH696" s="78"/>
      <c r="AI696" s="60"/>
      <c r="AJ696" s="48"/>
      <c r="AK696" s="48"/>
      <c r="AL696" s="48"/>
    </row>
    <row r="697" spans="1:38" outlineLevel="2" x14ac:dyDescent="0.25">
      <c r="A697" s="48">
        <v>4</v>
      </c>
      <c r="B697" s="57"/>
      <c r="C697" s="50">
        <f t="shared" si="97"/>
        <v>3</v>
      </c>
      <c r="D697" s="78"/>
      <c r="E697" s="73"/>
      <c r="F697" s="73" t="s">
        <v>1592</v>
      </c>
      <c r="G697" s="78"/>
      <c r="H697" s="81" t="s">
        <v>1593</v>
      </c>
      <c r="I697" s="101"/>
      <c r="J697" s="101" t="s">
        <v>1283</v>
      </c>
      <c r="K697" s="81"/>
      <c r="L697" s="81"/>
      <c r="M697" s="81"/>
      <c r="N697" s="81"/>
      <c r="O697" s="81"/>
      <c r="P697" s="81"/>
      <c r="Q697" s="81"/>
      <c r="R697" s="81"/>
      <c r="S697" s="81"/>
      <c r="T697" s="81"/>
      <c r="U697" s="282">
        <f>U$781</f>
        <v>7.0000000000000007E-2</v>
      </c>
      <c r="V697" s="282">
        <f t="shared" ref="V697:AB698" si="102">V$781</f>
        <v>7.0000000000000007E-2</v>
      </c>
      <c r="W697" s="282">
        <f t="shared" si="102"/>
        <v>7.0000000000000007E-2</v>
      </c>
      <c r="X697" s="282">
        <f t="shared" si="102"/>
        <v>7.0000000000000007E-2</v>
      </c>
      <c r="Y697" s="282">
        <f t="shared" si="102"/>
        <v>7.0000000000000007E-2</v>
      </c>
      <c r="Z697" s="282">
        <f t="shared" si="102"/>
        <v>7.0000000000000007E-2</v>
      </c>
      <c r="AA697" s="282">
        <f t="shared" si="102"/>
        <v>7.0000000000000007E-2</v>
      </c>
      <c r="AB697" s="282">
        <f t="shared" si="102"/>
        <v>7.0000000000000007E-2</v>
      </c>
      <c r="AC697" s="81"/>
      <c r="AD697" s="81"/>
      <c r="AE697" s="81"/>
      <c r="AF697" s="282">
        <f>AF$781</f>
        <v>1</v>
      </c>
      <c r="AG697" s="282">
        <f>AG$781</f>
        <v>1</v>
      </c>
      <c r="AH697" s="78"/>
      <c r="AI697" s="60"/>
      <c r="AJ697" s="48"/>
      <c r="AK697" s="48"/>
      <c r="AL697" s="48"/>
    </row>
    <row r="698" spans="1:38" outlineLevel="2" x14ac:dyDescent="0.25">
      <c r="A698" s="48">
        <f>A697</f>
        <v>4</v>
      </c>
      <c r="B698" s="57"/>
      <c r="C698" s="50">
        <f t="shared" si="97"/>
        <v>3</v>
      </c>
      <c r="D698" s="78"/>
      <c r="E698" s="73"/>
      <c r="F698" s="73" t="s">
        <v>1594</v>
      </c>
      <c r="G698" s="78"/>
      <c r="H698" s="81" t="s">
        <v>1595</v>
      </c>
      <c r="I698" s="101"/>
      <c r="J698" s="101" t="s">
        <v>1283</v>
      </c>
      <c r="K698" s="81"/>
      <c r="L698" s="81"/>
      <c r="M698" s="81"/>
      <c r="N698" s="81"/>
      <c r="O698" s="81"/>
      <c r="P698" s="81"/>
      <c r="Q698" s="81"/>
      <c r="R698" s="81"/>
      <c r="S698" s="81"/>
      <c r="T698" s="81"/>
      <c r="U698" s="282">
        <f>U$781</f>
        <v>7.0000000000000007E-2</v>
      </c>
      <c r="V698" s="282">
        <f t="shared" si="102"/>
        <v>7.0000000000000007E-2</v>
      </c>
      <c r="W698" s="282">
        <f t="shared" si="102"/>
        <v>7.0000000000000007E-2</v>
      </c>
      <c r="X698" s="282">
        <f t="shared" si="102"/>
        <v>7.0000000000000007E-2</v>
      </c>
      <c r="Y698" s="282">
        <f t="shared" si="102"/>
        <v>7.0000000000000007E-2</v>
      </c>
      <c r="Z698" s="282">
        <f t="shared" si="102"/>
        <v>7.0000000000000007E-2</v>
      </c>
      <c r="AA698" s="282">
        <f t="shared" si="102"/>
        <v>7.0000000000000007E-2</v>
      </c>
      <c r="AB698" s="282">
        <f t="shared" si="102"/>
        <v>7.0000000000000007E-2</v>
      </c>
      <c r="AC698" s="81"/>
      <c r="AD698" s="81"/>
      <c r="AE698" s="81"/>
      <c r="AF698" s="282">
        <f>AF$781</f>
        <v>1</v>
      </c>
      <c r="AG698" s="282">
        <f>AG$781</f>
        <v>1</v>
      </c>
      <c r="AH698" s="78"/>
      <c r="AI698" s="60"/>
      <c r="AJ698" s="48"/>
      <c r="AK698" s="48"/>
      <c r="AL698" s="48"/>
    </row>
    <row r="699" spans="1:38" outlineLevel="2" x14ac:dyDescent="0.25">
      <c r="A699" s="48"/>
      <c r="B699" s="57"/>
      <c r="C699" s="50">
        <f t="shared" si="97"/>
        <v>3</v>
      </c>
      <c r="D699" s="78"/>
      <c r="E699" s="73"/>
      <c r="F699" s="73" t="s">
        <v>1596</v>
      </c>
      <c r="G699" s="78"/>
      <c r="H699" s="81" t="s">
        <v>1597</v>
      </c>
      <c r="I699" s="101" t="s">
        <v>777</v>
      </c>
      <c r="J699" s="101" t="s">
        <v>1240</v>
      </c>
      <c r="K699" s="81"/>
      <c r="L699" s="81"/>
      <c r="M699" s="81"/>
      <c r="N699" s="81"/>
      <c r="O699" s="81"/>
      <c r="P699" s="81"/>
      <c r="Q699" s="81"/>
      <c r="R699" s="81"/>
      <c r="S699" s="81"/>
      <c r="T699" s="81"/>
      <c r="U699" s="282">
        <f>U$783</f>
        <v>0</v>
      </c>
      <c r="V699" s="282">
        <f t="shared" ref="V699:AB699" si="103">V$783</f>
        <v>0</v>
      </c>
      <c r="W699" s="282">
        <f t="shared" si="103"/>
        <v>0</v>
      </c>
      <c r="X699" s="282">
        <f t="shared" si="103"/>
        <v>0</v>
      </c>
      <c r="Y699" s="282">
        <f t="shared" si="103"/>
        <v>0</v>
      </c>
      <c r="Z699" s="282">
        <f t="shared" si="103"/>
        <v>0</v>
      </c>
      <c r="AA699" s="282">
        <f t="shared" si="103"/>
        <v>0</v>
      </c>
      <c r="AB699" s="282">
        <f t="shared" si="103"/>
        <v>0</v>
      </c>
      <c r="AC699" s="81"/>
      <c r="AD699" s="81" t="s">
        <v>1519</v>
      </c>
      <c r="AE699" s="81"/>
      <c r="AF699" s="282">
        <f>AF$783</f>
        <v>1</v>
      </c>
      <c r="AG699" s="282">
        <f>AG$783</f>
        <v>1</v>
      </c>
      <c r="AH699" s="78"/>
      <c r="AI699" s="60"/>
      <c r="AJ699" s="48"/>
      <c r="AK699" s="48"/>
      <c r="AL699" s="48"/>
    </row>
    <row r="700" spans="1:38" outlineLevel="2" x14ac:dyDescent="0.25">
      <c r="A700" s="48"/>
      <c r="B700" s="57"/>
      <c r="C700" s="50">
        <f t="shared" si="97"/>
        <v>3</v>
      </c>
      <c r="D700" s="78"/>
      <c r="E700" s="73"/>
      <c r="F700" s="73" t="s">
        <v>1598</v>
      </c>
      <c r="G700" s="78"/>
      <c r="H700" s="81" t="s">
        <v>1599</v>
      </c>
      <c r="I700" s="101" t="s">
        <v>777</v>
      </c>
      <c r="J700" s="101" t="s">
        <v>1240</v>
      </c>
      <c r="K700" s="81"/>
      <c r="L700" s="81"/>
      <c r="M700" s="81"/>
      <c r="N700" s="81"/>
      <c r="O700" s="81"/>
      <c r="P700" s="81"/>
      <c r="Q700" s="81"/>
      <c r="R700" s="81"/>
      <c r="S700" s="81"/>
      <c r="T700" s="81"/>
      <c r="U700" s="282">
        <f>U$784</f>
        <v>-1.03</v>
      </c>
      <c r="V700" s="282">
        <f t="shared" ref="V700:AB700" si="104">V$784</f>
        <v>-1.03</v>
      </c>
      <c r="W700" s="282">
        <f t="shared" si="104"/>
        <v>-1.03</v>
      </c>
      <c r="X700" s="282">
        <f t="shared" si="104"/>
        <v>-1.03</v>
      </c>
      <c r="Y700" s="282">
        <f t="shared" si="104"/>
        <v>-1.08</v>
      </c>
      <c r="Z700" s="282">
        <f t="shared" si="104"/>
        <v>-1.08</v>
      </c>
      <c r="AA700" s="282">
        <f t="shared" si="104"/>
        <v>-1.08</v>
      </c>
      <c r="AB700" s="282">
        <f t="shared" si="104"/>
        <v>-1.08</v>
      </c>
      <c r="AC700" s="81"/>
      <c r="AD700" s="81"/>
      <c r="AE700" s="81"/>
      <c r="AF700" s="282">
        <f>AF$784</f>
        <v>1</v>
      </c>
      <c r="AG700" s="282">
        <f>AG$784</f>
        <v>1</v>
      </c>
      <c r="AH700" s="78"/>
      <c r="AI700" s="60"/>
      <c r="AJ700" s="48"/>
      <c r="AK700" s="48"/>
      <c r="AL700" s="48"/>
    </row>
    <row r="701" spans="1:38" outlineLevel="2" x14ac:dyDescent="0.25">
      <c r="A701" s="48"/>
      <c r="B701" s="57"/>
      <c r="C701" s="50">
        <f t="shared" si="97"/>
        <v>3</v>
      </c>
      <c r="D701" s="78"/>
      <c r="E701" s="73"/>
      <c r="F701" s="73" t="s">
        <v>1600</v>
      </c>
      <c r="G701" s="78"/>
      <c r="H701" s="81" t="s">
        <v>1601</v>
      </c>
      <c r="I701" s="101" t="s">
        <v>777</v>
      </c>
      <c r="J701" s="101" t="s">
        <v>1240</v>
      </c>
      <c r="K701" s="81"/>
      <c r="L701" s="81"/>
      <c r="M701" s="81"/>
      <c r="N701" s="81"/>
      <c r="O701" s="81"/>
      <c r="P701" s="81"/>
      <c r="Q701" s="81"/>
      <c r="R701" s="81"/>
      <c r="S701" s="81"/>
      <c r="T701" s="81"/>
      <c r="U701" s="282">
        <f>U$785</f>
        <v>-2</v>
      </c>
      <c r="V701" s="282">
        <f t="shared" ref="V701:AB701" si="105">V$785</f>
        <v>-2</v>
      </c>
      <c r="W701" s="282">
        <f t="shared" si="105"/>
        <v>-2</v>
      </c>
      <c r="X701" s="282">
        <f t="shared" si="105"/>
        <v>-2</v>
      </c>
      <c r="Y701" s="282">
        <f t="shared" si="105"/>
        <v>-2.0099999999999998</v>
      </c>
      <c r="Z701" s="282">
        <f t="shared" si="105"/>
        <v>-2.0099999999999998</v>
      </c>
      <c r="AA701" s="282">
        <f t="shared" si="105"/>
        <v>-2.0099999999999998</v>
      </c>
      <c r="AB701" s="282">
        <f t="shared" si="105"/>
        <v>-2.0099999999999998</v>
      </c>
      <c r="AC701" s="81"/>
      <c r="AD701" s="81"/>
      <c r="AE701" s="81"/>
      <c r="AF701" s="282">
        <f>AF$785</f>
        <v>1</v>
      </c>
      <c r="AG701" s="282">
        <f>AG$785</f>
        <v>1</v>
      </c>
      <c r="AH701" s="78"/>
      <c r="AI701" s="60"/>
      <c r="AJ701" s="48"/>
      <c r="AK701" s="48"/>
      <c r="AL701" s="48"/>
    </row>
    <row r="702" spans="1:38" outlineLevel="2" x14ac:dyDescent="0.25">
      <c r="A702" s="48"/>
      <c r="B702" s="57"/>
      <c r="C702" s="50">
        <f t="shared" si="97"/>
        <v>3</v>
      </c>
      <c r="D702" s="78"/>
      <c r="E702" s="73"/>
      <c r="F702" s="73" t="s">
        <v>1602</v>
      </c>
      <c r="G702" s="78"/>
      <c r="H702" s="81" t="s">
        <v>1603</v>
      </c>
      <c r="I702" s="101" t="s">
        <v>777</v>
      </c>
      <c r="J702" s="101" t="s">
        <v>1240</v>
      </c>
      <c r="K702" s="81"/>
      <c r="L702" s="81"/>
      <c r="M702" s="81"/>
      <c r="N702" s="81"/>
      <c r="O702" s="81"/>
      <c r="P702" s="81"/>
      <c r="Q702" s="81"/>
      <c r="R702" s="81"/>
      <c r="S702" s="81"/>
      <c r="T702" s="81"/>
      <c r="U702" s="282">
        <f>U$784</f>
        <v>-1.03</v>
      </c>
      <c r="V702" s="282">
        <f t="shared" ref="V702:AB702" si="106">V$784</f>
        <v>-1.03</v>
      </c>
      <c r="W702" s="282">
        <f t="shared" si="106"/>
        <v>-1.03</v>
      </c>
      <c r="X702" s="282">
        <f t="shared" si="106"/>
        <v>-1.03</v>
      </c>
      <c r="Y702" s="282">
        <f t="shared" si="106"/>
        <v>-1.08</v>
      </c>
      <c r="Z702" s="282">
        <f t="shared" si="106"/>
        <v>-1.08</v>
      </c>
      <c r="AA702" s="282">
        <f t="shared" si="106"/>
        <v>-1.08</v>
      </c>
      <c r="AB702" s="282">
        <f t="shared" si="106"/>
        <v>-1.08</v>
      </c>
      <c r="AC702" s="81"/>
      <c r="AD702" s="81"/>
      <c r="AE702" s="81"/>
      <c r="AF702" s="282">
        <f>AF$784</f>
        <v>1</v>
      </c>
      <c r="AG702" s="282">
        <f>AG$784</f>
        <v>1</v>
      </c>
      <c r="AH702" s="78"/>
      <c r="AI702" s="60"/>
      <c r="AJ702" s="48"/>
      <c r="AK702" s="48"/>
      <c r="AL702" s="48"/>
    </row>
    <row r="703" spans="1:38" outlineLevel="2" x14ac:dyDescent="0.25">
      <c r="A703" s="48">
        <v>4</v>
      </c>
      <c r="B703" s="57"/>
      <c r="C703" s="50">
        <f t="shared" si="97"/>
        <v>3</v>
      </c>
      <c r="D703" s="78"/>
      <c r="E703" s="73"/>
      <c r="F703" s="73" t="s">
        <v>1604</v>
      </c>
      <c r="G703" s="78"/>
      <c r="H703" s="81" t="s">
        <v>1605</v>
      </c>
      <c r="I703" s="101" t="s">
        <v>777</v>
      </c>
      <c r="J703" s="101" t="s">
        <v>1240</v>
      </c>
      <c r="K703" s="81"/>
      <c r="L703" s="81"/>
      <c r="M703" s="81"/>
      <c r="N703" s="81"/>
      <c r="O703" s="81"/>
      <c r="P703" s="81"/>
      <c r="Q703" s="81"/>
      <c r="R703" s="81"/>
      <c r="S703" s="81"/>
      <c r="T703" s="81"/>
      <c r="U703" s="282">
        <f>U$785</f>
        <v>-2</v>
      </c>
      <c r="V703" s="282">
        <f t="shared" ref="V703:AB704" si="107">V$785</f>
        <v>-2</v>
      </c>
      <c r="W703" s="282">
        <f t="shared" si="107"/>
        <v>-2</v>
      </c>
      <c r="X703" s="282">
        <f t="shared" si="107"/>
        <v>-2</v>
      </c>
      <c r="Y703" s="282">
        <f t="shared" si="107"/>
        <v>-2.0099999999999998</v>
      </c>
      <c r="Z703" s="282">
        <f t="shared" si="107"/>
        <v>-2.0099999999999998</v>
      </c>
      <c r="AA703" s="282">
        <f t="shared" si="107"/>
        <v>-2.0099999999999998</v>
      </c>
      <c r="AB703" s="282">
        <f t="shared" si="107"/>
        <v>-2.0099999999999998</v>
      </c>
      <c r="AC703" s="81"/>
      <c r="AD703" s="81"/>
      <c r="AE703" s="81"/>
      <c r="AF703" s="282">
        <f>AF$785</f>
        <v>1</v>
      </c>
      <c r="AG703" s="282">
        <f>AG$785</f>
        <v>1</v>
      </c>
      <c r="AH703" s="78"/>
      <c r="AI703" s="60"/>
      <c r="AJ703" s="48"/>
      <c r="AK703" s="48"/>
      <c r="AL703" s="48"/>
    </row>
    <row r="704" spans="1:38" outlineLevel="2" x14ac:dyDescent="0.25">
      <c r="A704" s="48">
        <f>A703</f>
        <v>4</v>
      </c>
      <c r="B704" s="57"/>
      <c r="C704" s="50">
        <f t="shared" si="97"/>
        <v>3</v>
      </c>
      <c r="D704" s="78"/>
      <c r="E704" s="73"/>
      <c r="F704" s="73" t="s">
        <v>1606</v>
      </c>
      <c r="G704" s="78"/>
      <c r="H704" s="81" t="s">
        <v>1607</v>
      </c>
      <c r="I704" s="101" t="s">
        <v>777</v>
      </c>
      <c r="J704" s="101" t="s">
        <v>1240</v>
      </c>
      <c r="K704" s="81"/>
      <c r="L704" s="81"/>
      <c r="M704" s="81"/>
      <c r="N704" s="81"/>
      <c r="O704" s="81"/>
      <c r="P704" s="81"/>
      <c r="Q704" s="81"/>
      <c r="R704" s="81"/>
      <c r="S704" s="81"/>
      <c r="T704" s="81"/>
      <c r="U704" s="282">
        <f>U$785</f>
        <v>-2</v>
      </c>
      <c r="V704" s="282">
        <f t="shared" si="107"/>
        <v>-2</v>
      </c>
      <c r="W704" s="282">
        <f t="shared" si="107"/>
        <v>-2</v>
      </c>
      <c r="X704" s="282">
        <f t="shared" si="107"/>
        <v>-2</v>
      </c>
      <c r="Y704" s="282">
        <f t="shared" si="107"/>
        <v>-2.0099999999999998</v>
      </c>
      <c r="Z704" s="282">
        <f t="shared" si="107"/>
        <v>-2.0099999999999998</v>
      </c>
      <c r="AA704" s="282">
        <f t="shared" si="107"/>
        <v>-2.0099999999999998</v>
      </c>
      <c r="AB704" s="282">
        <f t="shared" si="107"/>
        <v>-2.0099999999999998</v>
      </c>
      <c r="AC704" s="81"/>
      <c r="AD704" s="81"/>
      <c r="AE704" s="81"/>
      <c r="AF704" s="282">
        <f>AF$785</f>
        <v>1</v>
      </c>
      <c r="AG704" s="282">
        <f>AG$785</f>
        <v>1</v>
      </c>
      <c r="AH704" s="78"/>
      <c r="AI704" s="60"/>
      <c r="AJ704" s="48"/>
      <c r="AK704" s="48"/>
      <c r="AL704" s="48"/>
    </row>
    <row r="705" spans="1:38" outlineLevel="2" x14ac:dyDescent="0.25">
      <c r="A705" s="48"/>
      <c r="B705" s="57"/>
      <c r="C705" s="50">
        <f t="shared" si="97"/>
        <v>3</v>
      </c>
      <c r="D705" s="78"/>
      <c r="E705" s="73"/>
      <c r="F705" s="73" t="s">
        <v>1608</v>
      </c>
      <c r="G705" s="78"/>
      <c r="H705" s="81" t="s">
        <v>1609</v>
      </c>
      <c r="I705" s="101" t="s">
        <v>777</v>
      </c>
      <c r="J705" s="101" t="s">
        <v>1240</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1430</v>
      </c>
      <c r="AE705" s="81"/>
      <c r="AF705" s="102">
        <v>1</v>
      </c>
      <c r="AG705" s="102">
        <v>1</v>
      </c>
      <c r="AH705" s="78"/>
      <c r="AI705" s="60"/>
      <c r="AJ705" s="48"/>
      <c r="AK705" s="48"/>
      <c r="AL705" s="48"/>
    </row>
    <row r="706" spans="1:38" outlineLevel="2" x14ac:dyDescent="0.25">
      <c r="A706" s="48"/>
      <c r="B706" s="57"/>
      <c r="C706" s="50">
        <f t="shared" si="97"/>
        <v>3</v>
      </c>
      <c r="D706" s="78"/>
      <c r="E706" s="73"/>
      <c r="F706" s="73" t="s">
        <v>1610</v>
      </c>
      <c r="G706" s="78"/>
      <c r="H706" s="81" t="s">
        <v>1611</v>
      </c>
      <c r="I706" s="101" t="s">
        <v>777</v>
      </c>
      <c r="J706" s="101" t="s">
        <v>1240</v>
      </c>
      <c r="K706" s="81"/>
      <c r="L706" s="81"/>
      <c r="M706" s="81"/>
      <c r="N706" s="81"/>
      <c r="O706" s="81"/>
      <c r="P706" s="81"/>
      <c r="Q706" s="81"/>
      <c r="R706" s="81"/>
      <c r="S706" s="81"/>
      <c r="T706" s="81"/>
      <c r="U706" s="376">
        <v>-4.9400000000000004</v>
      </c>
      <c r="V706" s="378">
        <f t="shared" ref="V706:AB707" si="108">U706</f>
        <v>-4.9400000000000004</v>
      </c>
      <c r="W706" s="378">
        <f t="shared" si="108"/>
        <v>-4.9400000000000004</v>
      </c>
      <c r="X706" s="378">
        <f>Y706</f>
        <v>-6.68</v>
      </c>
      <c r="Y706" s="102">
        <v>-6.68</v>
      </c>
      <c r="Z706" s="274">
        <f t="shared" si="108"/>
        <v>-6.68</v>
      </c>
      <c r="AA706" s="274">
        <f t="shared" si="108"/>
        <v>-6.68</v>
      </c>
      <c r="AB706" s="274">
        <f t="shared" si="108"/>
        <v>-6.68</v>
      </c>
      <c r="AC706" s="81"/>
      <c r="AD706" s="102" t="s">
        <v>2475</v>
      </c>
      <c r="AE706" s="81"/>
      <c r="AF706" s="102">
        <v>1</v>
      </c>
      <c r="AG706" s="102">
        <v>1</v>
      </c>
      <c r="AH706" s="78"/>
      <c r="AI706" s="60"/>
      <c r="AJ706" s="48"/>
      <c r="AK706" s="48"/>
      <c r="AL706" s="48"/>
    </row>
    <row r="707" spans="1:38" outlineLevel="2" x14ac:dyDescent="0.25">
      <c r="A707" s="48"/>
      <c r="B707" s="57"/>
      <c r="C707" s="50">
        <f t="shared" si="97"/>
        <v>3</v>
      </c>
      <c r="D707" s="78"/>
      <c r="E707" s="73"/>
      <c r="F707" s="73" t="s">
        <v>1612</v>
      </c>
      <c r="G707" s="78"/>
      <c r="H707" s="81" t="s">
        <v>1613</v>
      </c>
      <c r="I707" s="101" t="s">
        <v>777</v>
      </c>
      <c r="J707" s="101" t="s">
        <v>1240</v>
      </c>
      <c r="K707" s="81"/>
      <c r="L707" s="81"/>
      <c r="M707" s="81"/>
      <c r="N707" s="81"/>
      <c r="O707" s="81"/>
      <c r="P707" s="81"/>
      <c r="Q707" s="81"/>
      <c r="R707" s="81"/>
      <c r="S707" s="81"/>
      <c r="T707" s="81"/>
      <c r="U707" s="379">
        <f>U706*1.38</f>
        <v>-6.8171999999999997</v>
      </c>
      <c r="V707" s="378">
        <f t="shared" si="108"/>
        <v>-6.8171999999999997</v>
      </c>
      <c r="W707" s="378">
        <f t="shared" si="108"/>
        <v>-6.8171999999999997</v>
      </c>
      <c r="X707" s="378">
        <f t="shared" ref="X707:X710" si="109">Y707</f>
        <v>-9.2200000000000006</v>
      </c>
      <c r="Y707" s="102">
        <v>-9.2200000000000006</v>
      </c>
      <c r="Z707" s="274">
        <f t="shared" si="108"/>
        <v>-9.2200000000000006</v>
      </c>
      <c r="AA707" s="274">
        <f t="shared" si="108"/>
        <v>-9.2200000000000006</v>
      </c>
      <c r="AB707" s="274">
        <f t="shared" si="108"/>
        <v>-9.2200000000000006</v>
      </c>
      <c r="AC707" s="81"/>
      <c r="AD707" s="102" t="s">
        <v>2476</v>
      </c>
      <c r="AE707" s="81"/>
      <c r="AF707" s="102">
        <v>1</v>
      </c>
      <c r="AG707" s="102">
        <v>1</v>
      </c>
      <c r="AH707" s="78"/>
      <c r="AI707" s="60"/>
      <c r="AJ707" s="48"/>
      <c r="AK707" s="48"/>
      <c r="AL707" s="48"/>
    </row>
    <row r="708" spans="1:38" outlineLevel="2" x14ac:dyDescent="0.25">
      <c r="A708" s="48"/>
      <c r="B708" s="57"/>
      <c r="C708" s="50">
        <f t="shared" si="97"/>
        <v>3</v>
      </c>
      <c r="D708" s="78"/>
      <c r="E708" s="73"/>
      <c r="F708" s="73" t="s">
        <v>1615</v>
      </c>
      <c r="G708" s="78"/>
      <c r="H708" s="81" t="s">
        <v>1616</v>
      </c>
      <c r="I708" s="101" t="s">
        <v>777</v>
      </c>
      <c r="J708" s="101" t="s">
        <v>1240</v>
      </c>
      <c r="K708" s="81"/>
      <c r="L708" s="81"/>
      <c r="M708" s="81"/>
      <c r="N708" s="81"/>
      <c r="O708" s="81"/>
      <c r="P708" s="81"/>
      <c r="Q708" s="81"/>
      <c r="R708" s="81"/>
      <c r="S708" s="81"/>
      <c r="T708" s="81"/>
      <c r="U708" s="376">
        <v>-1.85</v>
      </c>
      <c r="V708" s="378">
        <f t="shared" ref="V708:AB708" si="110">U708</f>
        <v>-1.85</v>
      </c>
      <c r="W708" s="378">
        <f t="shared" si="110"/>
        <v>-1.85</v>
      </c>
      <c r="X708" s="378">
        <f t="shared" si="109"/>
        <v>-3.36</v>
      </c>
      <c r="Y708" s="102">
        <v>-3.36</v>
      </c>
      <c r="Z708" s="274">
        <f t="shared" si="110"/>
        <v>-3.36</v>
      </c>
      <c r="AA708" s="274">
        <f t="shared" si="110"/>
        <v>-3.36</v>
      </c>
      <c r="AB708" s="274">
        <f t="shared" si="110"/>
        <v>-3.36</v>
      </c>
      <c r="AC708" s="81"/>
      <c r="AD708" s="102" t="s">
        <v>2477</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1617</v>
      </c>
      <c r="G709" s="78"/>
      <c r="H709" s="81" t="s">
        <v>1618</v>
      </c>
      <c r="I709" s="101" t="s">
        <v>777</v>
      </c>
      <c r="J709" s="101" t="s">
        <v>1240</v>
      </c>
      <c r="K709" s="81"/>
      <c r="L709" s="81"/>
      <c r="M709" s="81"/>
      <c r="N709" s="81"/>
      <c r="O709" s="81"/>
      <c r="P709" s="81"/>
      <c r="Q709" s="81"/>
      <c r="R709" s="81"/>
      <c r="S709" s="81"/>
      <c r="T709" s="81"/>
      <c r="U709" s="379">
        <f>U707*0.904</f>
        <v>-6.1627488000000001</v>
      </c>
      <c r="V709" s="378">
        <f t="shared" ref="V709:V710" si="111">U709</f>
        <v>-6.1627488000000001</v>
      </c>
      <c r="W709" s="378">
        <f t="shared" ref="W709:W710" si="112">V709</f>
        <v>-6.1627488000000001</v>
      </c>
      <c r="X709" s="378">
        <f t="shared" si="109"/>
        <v>-8.33</v>
      </c>
      <c r="Y709" s="102">
        <v>-8.33</v>
      </c>
      <c r="Z709" s="274">
        <f t="shared" ref="Z709:Z710" si="113">Y709</f>
        <v>-8.33</v>
      </c>
      <c r="AA709" s="274">
        <f t="shared" ref="AA709:AA710" si="114">Z709</f>
        <v>-8.33</v>
      </c>
      <c r="AB709" s="27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1619</v>
      </c>
      <c r="G710" s="78"/>
      <c r="H710" s="81" t="s">
        <v>1620</v>
      </c>
      <c r="I710" s="101" t="s">
        <v>777</v>
      </c>
      <c r="J710" s="101" t="s">
        <v>1240</v>
      </c>
      <c r="K710" s="81"/>
      <c r="L710" s="81"/>
      <c r="M710" s="81"/>
      <c r="N710" s="81"/>
      <c r="O710" s="81"/>
      <c r="P710" s="81"/>
      <c r="Q710" s="81"/>
      <c r="R710" s="81"/>
      <c r="S710" s="81"/>
      <c r="T710" s="81"/>
      <c r="U710" s="379">
        <f>U707*0.555</f>
        <v>-3.7835460000000003</v>
      </c>
      <c r="V710" s="378">
        <f t="shared" si="111"/>
        <v>-3.7835460000000003</v>
      </c>
      <c r="W710" s="378">
        <f t="shared" si="112"/>
        <v>-3.7835460000000003</v>
      </c>
      <c r="X710" s="378">
        <f t="shared" si="109"/>
        <v>-5.1100000000000003</v>
      </c>
      <c r="Y710" s="102">
        <v>-5.1100000000000003</v>
      </c>
      <c r="Z710" s="274">
        <f t="shared" si="113"/>
        <v>-5.1100000000000003</v>
      </c>
      <c r="AA710" s="274">
        <f t="shared" si="114"/>
        <v>-5.1100000000000003</v>
      </c>
      <c r="AB710" s="27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1621</v>
      </c>
      <c r="G711" s="78"/>
      <c r="H711" s="81" t="s">
        <v>1622</v>
      </c>
      <c r="I711" s="101" t="s">
        <v>777</v>
      </c>
      <c r="J711" s="101" t="s">
        <v>1240</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1437</v>
      </c>
      <c r="AE711" s="81"/>
      <c r="AF711" s="102">
        <v>1</v>
      </c>
      <c r="AG711" s="102">
        <v>1</v>
      </c>
      <c r="AH711" s="78"/>
      <c r="AI711" s="60"/>
      <c r="AJ711" s="48"/>
      <c r="AK711" s="48"/>
      <c r="AL711" s="48"/>
    </row>
    <row r="712" spans="1:38" outlineLevel="2" x14ac:dyDescent="0.25">
      <c r="A712" s="48"/>
      <c r="B712" s="57"/>
      <c r="C712" s="50">
        <f t="shared" si="97"/>
        <v>3</v>
      </c>
      <c r="D712" s="78"/>
      <c r="E712" s="73"/>
      <c r="F712" s="73" t="s">
        <v>1623</v>
      </c>
      <c r="G712" s="78"/>
      <c r="H712" s="81" t="s">
        <v>1624</v>
      </c>
      <c r="I712" s="101" t="s">
        <v>777</v>
      </c>
      <c r="J712" s="101" t="s">
        <v>1240</v>
      </c>
      <c r="K712" s="81"/>
      <c r="L712" s="81"/>
      <c r="M712" s="81"/>
      <c r="N712" s="81"/>
      <c r="O712" s="81"/>
      <c r="P712" s="81"/>
      <c r="Q712" s="81"/>
      <c r="R712" s="81"/>
      <c r="S712" s="81"/>
      <c r="T712" s="81"/>
      <c r="U712" s="102">
        <f>-52.3/1000</f>
        <v>-5.2299999999999999E-2</v>
      </c>
      <c r="V712" s="274">
        <f t="shared" ref="V712:AB712" si="116">U712</f>
        <v>-5.2299999999999999E-2</v>
      </c>
      <c r="W712" s="274">
        <f t="shared" si="116"/>
        <v>-5.2299999999999999E-2</v>
      </c>
      <c r="X712" s="274">
        <f t="shared" si="116"/>
        <v>-5.2299999999999999E-2</v>
      </c>
      <c r="Y712" s="274">
        <f t="shared" si="116"/>
        <v>-5.2299999999999999E-2</v>
      </c>
      <c r="Z712" s="274">
        <f t="shared" si="116"/>
        <v>-5.2299999999999999E-2</v>
      </c>
      <c r="AA712" s="274">
        <f t="shared" si="116"/>
        <v>-5.2299999999999999E-2</v>
      </c>
      <c r="AB712" s="27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1625</v>
      </c>
      <c r="G713" s="78"/>
      <c r="H713" s="81" t="s">
        <v>1626</v>
      </c>
      <c r="I713" s="101" t="s">
        <v>777</v>
      </c>
      <c r="J713" s="101" t="s">
        <v>1240</v>
      </c>
      <c r="K713" s="81"/>
      <c r="L713" s="81"/>
      <c r="M713" s="81"/>
      <c r="N713" s="81"/>
      <c r="O713" s="81"/>
      <c r="P713" s="81"/>
      <c r="Q713" s="81"/>
      <c r="R713" s="81"/>
      <c r="S713" s="81"/>
      <c r="T713" s="81"/>
      <c r="U713" s="282">
        <f t="shared" ref="U713:AB713" si="117">U712</f>
        <v>-5.2299999999999999E-2</v>
      </c>
      <c r="V713" s="282">
        <f t="shared" si="117"/>
        <v>-5.2299999999999999E-2</v>
      </c>
      <c r="W713" s="282">
        <f t="shared" si="117"/>
        <v>-5.2299999999999999E-2</v>
      </c>
      <c r="X713" s="282">
        <f t="shared" si="117"/>
        <v>-5.2299999999999999E-2</v>
      </c>
      <c r="Y713" s="282">
        <f t="shared" si="117"/>
        <v>-5.2299999999999999E-2</v>
      </c>
      <c r="Z713" s="282">
        <f t="shared" si="117"/>
        <v>-5.2299999999999999E-2</v>
      </c>
      <c r="AA713" s="282">
        <f t="shared" si="117"/>
        <v>-5.2299999999999999E-2</v>
      </c>
      <c r="AB713" s="282">
        <f t="shared" si="117"/>
        <v>-5.2299999999999999E-2</v>
      </c>
      <c r="AC713" s="81"/>
      <c r="AD713" s="102" t="s">
        <v>1614</v>
      </c>
      <c r="AE713" s="81"/>
      <c r="AF713" s="102">
        <v>1</v>
      </c>
      <c r="AG713" s="102">
        <v>1</v>
      </c>
      <c r="AH713" s="78"/>
      <c r="AI713" s="60"/>
      <c r="AJ713" s="48"/>
      <c r="AK713" s="48"/>
      <c r="AL713" s="48"/>
    </row>
    <row r="714" spans="1:38" outlineLevel="2" x14ac:dyDescent="0.25">
      <c r="A714" s="48"/>
      <c r="B714" s="57"/>
      <c r="C714" s="50">
        <f t="shared" si="97"/>
        <v>3</v>
      </c>
      <c r="D714" s="78"/>
      <c r="E714" s="73"/>
      <c r="F714" s="73" t="s">
        <v>1627</v>
      </c>
      <c r="G714" s="78"/>
      <c r="H714" s="81" t="s">
        <v>1628</v>
      </c>
      <c r="I714" s="101" t="s">
        <v>777</v>
      </c>
      <c r="J714" s="101" t="s">
        <v>1240</v>
      </c>
      <c r="K714" s="81"/>
      <c r="L714" s="81"/>
      <c r="M714" s="81"/>
      <c r="N714" s="81"/>
      <c r="O714" s="81"/>
      <c r="P714" s="81"/>
      <c r="Q714" s="81"/>
      <c r="R714" s="81"/>
      <c r="S714" s="81"/>
      <c r="T714" s="81"/>
      <c r="U714" s="102">
        <f>-10.7/1000</f>
        <v>-1.0699999999999999E-2</v>
      </c>
      <c r="V714" s="274">
        <f t="shared" ref="V714:AB714" si="118">U714</f>
        <v>-1.0699999999999999E-2</v>
      </c>
      <c r="W714" s="274">
        <f t="shared" si="118"/>
        <v>-1.0699999999999999E-2</v>
      </c>
      <c r="X714" s="274">
        <f t="shared" si="118"/>
        <v>-1.0699999999999999E-2</v>
      </c>
      <c r="Y714" s="274">
        <f t="shared" si="118"/>
        <v>-1.0699999999999999E-2</v>
      </c>
      <c r="Z714" s="274">
        <f t="shared" si="118"/>
        <v>-1.0699999999999999E-2</v>
      </c>
      <c r="AA714" s="274">
        <f t="shared" si="118"/>
        <v>-1.0699999999999999E-2</v>
      </c>
      <c r="AB714" s="27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1629</v>
      </c>
      <c r="G715" s="78"/>
      <c r="H715" s="81" t="s">
        <v>1630</v>
      </c>
      <c r="I715" s="101" t="s">
        <v>777</v>
      </c>
      <c r="J715" s="101" t="s">
        <v>1240</v>
      </c>
      <c r="K715" s="81"/>
      <c r="L715" s="81"/>
      <c r="M715" s="81"/>
      <c r="N715" s="81"/>
      <c r="O715" s="81"/>
      <c r="P715" s="81"/>
      <c r="Q715" s="81"/>
      <c r="R715" s="81"/>
      <c r="S715" s="81"/>
      <c r="T715" s="81"/>
      <c r="U715" s="282">
        <f t="shared" ref="U715:AB716" si="119">U714</f>
        <v>-1.0699999999999999E-2</v>
      </c>
      <c r="V715" s="282">
        <f t="shared" si="119"/>
        <v>-1.0699999999999999E-2</v>
      </c>
      <c r="W715" s="282">
        <f t="shared" si="119"/>
        <v>-1.0699999999999999E-2</v>
      </c>
      <c r="X715" s="282">
        <f t="shared" si="119"/>
        <v>-1.0699999999999999E-2</v>
      </c>
      <c r="Y715" s="282">
        <f t="shared" si="119"/>
        <v>-1.0699999999999999E-2</v>
      </c>
      <c r="Z715" s="282">
        <f t="shared" si="119"/>
        <v>-1.0699999999999999E-2</v>
      </c>
      <c r="AA715" s="282">
        <f t="shared" si="119"/>
        <v>-1.0699999999999999E-2</v>
      </c>
      <c r="AB715" s="28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1631</v>
      </c>
      <c r="G716" s="78"/>
      <c r="H716" s="81" t="s">
        <v>1632</v>
      </c>
      <c r="I716" s="101" t="s">
        <v>777</v>
      </c>
      <c r="J716" s="101" t="s">
        <v>1240</v>
      </c>
      <c r="K716" s="81"/>
      <c r="L716" s="81"/>
      <c r="M716" s="81"/>
      <c r="N716" s="81"/>
      <c r="O716" s="81"/>
      <c r="P716" s="81"/>
      <c r="Q716" s="81"/>
      <c r="R716" s="81"/>
      <c r="S716" s="81"/>
      <c r="T716" s="81"/>
      <c r="U716" s="282">
        <f>U715</f>
        <v>-1.0699999999999999E-2</v>
      </c>
      <c r="V716" s="282">
        <f t="shared" si="119"/>
        <v>-1.0699999999999999E-2</v>
      </c>
      <c r="W716" s="282">
        <f t="shared" si="119"/>
        <v>-1.0699999999999999E-2</v>
      </c>
      <c r="X716" s="282">
        <f t="shared" si="119"/>
        <v>-1.0699999999999999E-2</v>
      </c>
      <c r="Y716" s="282">
        <f t="shared" si="119"/>
        <v>-1.0699999999999999E-2</v>
      </c>
      <c r="Z716" s="282">
        <f t="shared" si="119"/>
        <v>-1.0699999999999999E-2</v>
      </c>
      <c r="AA716" s="282">
        <f t="shared" si="119"/>
        <v>-1.0699999999999999E-2</v>
      </c>
      <c r="AB716" s="28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275" t="s">
        <v>1633</v>
      </c>
      <c r="G717" s="78"/>
      <c r="H717" s="265" t="s">
        <v>1634</v>
      </c>
      <c r="I717" s="142"/>
      <c r="J717" s="142" t="s">
        <v>1140</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1635</v>
      </c>
      <c r="G718" s="78"/>
      <c r="H718" s="81" t="s">
        <v>1636</v>
      </c>
      <c r="I718" s="101" t="s">
        <v>582</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1637</v>
      </c>
      <c r="G719" s="78"/>
      <c r="H719" s="81" t="s">
        <v>1638</v>
      </c>
      <c r="I719" s="101" t="s">
        <v>582</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1639</v>
      </c>
      <c r="G720" s="78"/>
      <c r="H720" s="81" t="s">
        <v>1640</v>
      </c>
      <c r="I720" s="101" t="s">
        <v>582</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1641</v>
      </c>
      <c r="G721" s="78"/>
      <c r="H721" s="81" t="s">
        <v>1642</v>
      </c>
      <c r="I721" s="101" t="s">
        <v>582</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1078</v>
      </c>
      <c r="F722" s="73" t="s">
        <v>1643</v>
      </c>
      <c r="G722" s="78"/>
      <c r="H722" s="81" t="s">
        <v>1644</v>
      </c>
      <c r="I722" s="101" t="s">
        <v>582</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285" t="s">
        <v>1645</v>
      </c>
      <c r="AE722" s="81"/>
      <c r="AF722" s="81">
        <v>1</v>
      </c>
      <c r="AG722" s="81">
        <v>1</v>
      </c>
      <c r="AH722" s="78"/>
      <c r="AI722" s="60"/>
      <c r="AJ722" s="48"/>
      <c r="AK722" s="48"/>
      <c r="AL722" s="48"/>
    </row>
    <row r="723" spans="1:38" outlineLevel="2" x14ac:dyDescent="0.25">
      <c r="A723" s="48"/>
      <c r="B723" s="57"/>
      <c r="C723" s="50">
        <f t="shared" si="120"/>
        <v>3</v>
      </c>
      <c r="D723" s="78"/>
      <c r="E723" s="73"/>
      <c r="F723" s="73" t="s">
        <v>1646</v>
      </c>
      <c r="G723" s="78"/>
      <c r="H723" s="81" t="s">
        <v>1647</v>
      </c>
      <c r="I723" s="101" t="s">
        <v>582</v>
      </c>
      <c r="J723" s="101"/>
      <c r="K723" s="81"/>
      <c r="L723" s="81"/>
      <c r="M723" s="102">
        <v>0</v>
      </c>
      <c r="N723" s="102">
        <v>0</v>
      </c>
      <c r="O723" s="102">
        <v>0</v>
      </c>
      <c r="P723" s="102">
        <v>0</v>
      </c>
      <c r="Q723" s="81"/>
      <c r="R723" s="81"/>
      <c r="S723" s="102" t="s">
        <v>1648</v>
      </c>
      <c r="T723" s="81"/>
      <c r="U723" s="102">
        <v>0.23</v>
      </c>
      <c r="V723" s="102">
        <v>0.23</v>
      </c>
      <c r="W723" s="102">
        <v>0.23</v>
      </c>
      <c r="X723" s="102">
        <v>0.34</v>
      </c>
      <c r="Y723" s="102">
        <v>0.34</v>
      </c>
      <c r="Z723" s="102">
        <v>0.34</v>
      </c>
      <c r="AA723" s="102">
        <v>0.34</v>
      </c>
      <c r="AB723" s="102">
        <v>0.34</v>
      </c>
      <c r="AC723" s="81"/>
      <c r="AD723" s="102" t="s">
        <v>1649</v>
      </c>
      <c r="AE723" s="81"/>
      <c r="AF723" s="102">
        <v>1</v>
      </c>
      <c r="AG723" s="102">
        <v>1</v>
      </c>
      <c r="AH723" s="78"/>
      <c r="AI723" s="60"/>
      <c r="AJ723" s="48"/>
      <c r="AK723" s="48"/>
      <c r="AL723" s="48"/>
    </row>
    <row r="724" spans="1:38" outlineLevel="2" x14ac:dyDescent="0.25">
      <c r="A724" s="48"/>
      <c r="B724" s="57"/>
      <c r="C724" s="50">
        <f t="shared" si="120"/>
        <v>3</v>
      </c>
      <c r="D724" s="78"/>
      <c r="E724" s="73"/>
      <c r="F724" s="73" t="s">
        <v>1650</v>
      </c>
      <c r="G724" s="78"/>
      <c r="H724" s="81" t="s">
        <v>1651</v>
      </c>
      <c r="I724" s="101" t="s">
        <v>582</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1649</v>
      </c>
      <c r="AE724" s="81"/>
      <c r="AF724" s="102">
        <v>1</v>
      </c>
      <c r="AG724" s="102">
        <v>1</v>
      </c>
      <c r="AH724" s="78"/>
      <c r="AI724" s="60"/>
      <c r="AJ724" s="48"/>
      <c r="AK724" s="48"/>
      <c r="AL724" s="48"/>
    </row>
    <row r="725" spans="1:38" outlineLevel="2" x14ac:dyDescent="0.25">
      <c r="A725" s="48"/>
      <c r="B725" s="57"/>
      <c r="C725" s="50">
        <f t="shared" si="120"/>
        <v>3</v>
      </c>
      <c r="D725" s="78"/>
      <c r="E725" s="73"/>
      <c r="F725" s="73" t="s">
        <v>1652</v>
      </c>
      <c r="G725" s="78"/>
      <c r="H725" s="81" t="s">
        <v>1653</v>
      </c>
      <c r="I725" s="101" t="s">
        <v>582</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1118</v>
      </c>
      <c r="AE725" s="81"/>
      <c r="AF725" s="102">
        <v>1</v>
      </c>
      <c r="AG725" s="102">
        <v>1</v>
      </c>
      <c r="AH725" s="78"/>
      <c r="AI725" s="60"/>
      <c r="AJ725" s="48"/>
      <c r="AK725" s="48"/>
      <c r="AL725" s="48"/>
    </row>
    <row r="726" spans="1:38" outlineLevel="2" x14ac:dyDescent="0.25">
      <c r="A726" s="48"/>
      <c r="B726" s="57"/>
      <c r="C726" s="50">
        <f t="shared" si="120"/>
        <v>3</v>
      </c>
      <c r="D726" s="78"/>
      <c r="E726" s="73" t="s">
        <v>1654</v>
      </c>
      <c r="F726" s="73" t="s">
        <v>1655</v>
      </c>
      <c r="G726" s="78"/>
      <c r="H726" s="81" t="s">
        <v>1656</v>
      </c>
      <c r="I726" s="101" t="s">
        <v>582</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285" t="s">
        <v>1645</v>
      </c>
      <c r="AE726" s="81"/>
      <c r="AF726" s="81">
        <v>1</v>
      </c>
      <c r="AG726" s="81">
        <v>1</v>
      </c>
      <c r="AH726" s="78"/>
      <c r="AI726" s="60"/>
      <c r="AJ726" s="48"/>
      <c r="AK726" s="48"/>
      <c r="AL726" s="48"/>
    </row>
    <row r="727" spans="1:38" outlineLevel="2" x14ac:dyDescent="0.25">
      <c r="A727" s="48"/>
      <c r="B727" s="57"/>
      <c r="C727" s="50">
        <f t="shared" si="120"/>
        <v>3</v>
      </c>
      <c r="D727" s="78"/>
      <c r="E727" s="73"/>
      <c r="F727" s="73" t="s">
        <v>1657</v>
      </c>
      <c r="G727" s="78"/>
      <c r="H727" s="81" t="s">
        <v>1658</v>
      </c>
      <c r="I727" s="101" t="s">
        <v>582</v>
      </c>
      <c r="J727" s="101"/>
      <c r="K727" s="81"/>
      <c r="L727" s="81"/>
      <c r="M727" s="102">
        <v>0.5</v>
      </c>
      <c r="N727" s="102">
        <v>0.5</v>
      </c>
      <c r="O727" s="102">
        <v>0.5</v>
      </c>
      <c r="P727" s="102">
        <v>0.5</v>
      </c>
      <c r="Q727" s="81"/>
      <c r="R727" s="81"/>
      <c r="S727" s="102" t="s">
        <v>1659</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1664</v>
      </c>
      <c r="AE727" s="81"/>
      <c r="AF727" s="102">
        <v>1</v>
      </c>
      <c r="AG727" s="102">
        <v>1</v>
      </c>
      <c r="AH727" s="78"/>
      <c r="AI727" s="60"/>
      <c r="AJ727" s="48"/>
      <c r="AK727" s="48"/>
      <c r="AL727" s="48"/>
    </row>
    <row r="728" spans="1:38" outlineLevel="2" x14ac:dyDescent="0.25">
      <c r="A728" s="48"/>
      <c r="B728" s="57"/>
      <c r="C728" s="50">
        <f t="shared" si="120"/>
        <v>3</v>
      </c>
      <c r="D728" s="78"/>
      <c r="E728" s="73"/>
      <c r="F728" s="73" t="s">
        <v>1660</v>
      </c>
      <c r="G728" s="78"/>
      <c r="H728" s="81" t="s">
        <v>1661</v>
      </c>
      <c r="I728" s="101" t="s">
        <v>582</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1664</v>
      </c>
      <c r="AE728" s="81"/>
      <c r="AF728" s="102">
        <v>1</v>
      </c>
      <c r="AG728" s="102">
        <v>1</v>
      </c>
      <c r="AH728" s="78"/>
      <c r="AI728" s="60"/>
      <c r="AJ728" s="48"/>
      <c r="AK728" s="48"/>
      <c r="AL728" s="48"/>
    </row>
    <row r="729" spans="1:38" outlineLevel="2" x14ac:dyDescent="0.25">
      <c r="A729" s="48"/>
      <c r="B729" s="57"/>
      <c r="C729" s="50">
        <f t="shared" si="120"/>
        <v>3</v>
      </c>
      <c r="D729" s="78"/>
      <c r="E729" s="73"/>
      <c r="F729" s="73" t="s">
        <v>1662</v>
      </c>
      <c r="G729" s="78"/>
      <c r="H729" s="81" t="s">
        <v>1663</v>
      </c>
      <c r="I729" s="101" t="s">
        <v>582</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1664</v>
      </c>
      <c r="AE729" s="81"/>
      <c r="AF729" s="102">
        <v>1</v>
      </c>
      <c r="AG729" s="102">
        <v>1</v>
      </c>
      <c r="AH729" s="78"/>
      <c r="AI729" s="60"/>
      <c r="AJ729" s="48"/>
      <c r="AK729" s="48"/>
      <c r="AL729" s="48"/>
    </row>
    <row r="730" spans="1:38" outlineLevel="2" x14ac:dyDescent="0.25">
      <c r="A730" s="48"/>
      <c r="B730" s="57"/>
      <c r="C730" s="50">
        <f t="shared" si="120"/>
        <v>3</v>
      </c>
      <c r="D730" s="78"/>
      <c r="E730" s="73" t="s">
        <v>1665</v>
      </c>
      <c r="F730" s="73" t="s">
        <v>1666</v>
      </c>
      <c r="G730" s="78"/>
      <c r="H730" s="81" t="s">
        <v>1667</v>
      </c>
      <c r="I730" s="101" t="s">
        <v>582</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285" t="s">
        <v>1645</v>
      </c>
      <c r="AE730" s="81"/>
      <c r="AF730" s="81">
        <v>1</v>
      </c>
      <c r="AG730" s="81">
        <v>1</v>
      </c>
      <c r="AH730" s="78"/>
      <c r="AI730" s="60"/>
      <c r="AJ730" s="48"/>
      <c r="AK730" s="48"/>
      <c r="AL730" s="48"/>
    </row>
    <row r="731" spans="1:38" outlineLevel="2" x14ac:dyDescent="0.25">
      <c r="A731" s="48"/>
      <c r="B731" s="57"/>
      <c r="C731" s="50">
        <f t="shared" si="120"/>
        <v>3</v>
      </c>
      <c r="D731" s="78"/>
      <c r="E731" s="73"/>
      <c r="F731" s="73" t="s">
        <v>1668</v>
      </c>
      <c r="G731" s="78"/>
      <c r="H731" s="81" t="s">
        <v>1658</v>
      </c>
      <c r="I731" s="101" t="s">
        <v>582</v>
      </c>
      <c r="J731" s="101"/>
      <c r="K731" s="81"/>
      <c r="L731" s="81"/>
      <c r="M731" s="102">
        <v>1</v>
      </c>
      <c r="N731" s="102">
        <v>1</v>
      </c>
      <c r="O731" s="102">
        <v>1</v>
      </c>
      <c r="P731" s="102">
        <v>1</v>
      </c>
      <c r="Q731" s="81"/>
      <c r="R731" s="81"/>
      <c r="S731" s="102" t="s">
        <v>1659</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1664</v>
      </c>
      <c r="AE731" s="81"/>
      <c r="AF731" s="102">
        <v>1</v>
      </c>
      <c r="AG731" s="102">
        <v>1</v>
      </c>
      <c r="AH731" s="78"/>
      <c r="AI731" s="60"/>
      <c r="AJ731" s="48"/>
      <c r="AK731" s="48"/>
      <c r="AL731" s="48"/>
    </row>
    <row r="732" spans="1:38" outlineLevel="2" x14ac:dyDescent="0.25">
      <c r="A732" s="48"/>
      <c r="B732" s="57"/>
      <c r="C732" s="50">
        <f t="shared" si="120"/>
        <v>3</v>
      </c>
      <c r="D732" s="78"/>
      <c r="E732" s="73"/>
      <c r="F732" s="73" t="s">
        <v>1669</v>
      </c>
      <c r="G732" s="78"/>
      <c r="H732" s="81" t="s">
        <v>1661</v>
      </c>
      <c r="I732" s="101" t="s">
        <v>582</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1664</v>
      </c>
      <c r="AE732" s="81"/>
      <c r="AF732" s="102">
        <v>1</v>
      </c>
      <c r="AG732" s="102">
        <v>1</v>
      </c>
      <c r="AH732" s="78"/>
      <c r="AI732" s="60"/>
      <c r="AJ732" s="48"/>
      <c r="AK732" s="48"/>
      <c r="AL732" s="48"/>
    </row>
    <row r="733" spans="1:38" outlineLevel="2" x14ac:dyDescent="0.25">
      <c r="A733" s="48"/>
      <c r="B733" s="57"/>
      <c r="C733" s="50">
        <f t="shared" si="120"/>
        <v>3</v>
      </c>
      <c r="D733" s="78"/>
      <c r="E733" s="73"/>
      <c r="F733" s="73" t="s">
        <v>1670</v>
      </c>
      <c r="G733" s="78"/>
      <c r="H733" s="81" t="s">
        <v>1663</v>
      </c>
      <c r="I733" s="101" t="s">
        <v>582</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1664</v>
      </c>
      <c r="AE733" s="81"/>
      <c r="AF733" s="102">
        <v>1</v>
      </c>
      <c r="AG733" s="102">
        <v>1</v>
      </c>
      <c r="AH733" s="78"/>
      <c r="AI733" s="60"/>
      <c r="AJ733" s="48"/>
      <c r="AK733" s="48"/>
      <c r="AL733" s="48"/>
    </row>
    <row r="734" spans="1:38" outlineLevel="2" x14ac:dyDescent="0.25">
      <c r="A734" s="48"/>
      <c r="B734" s="57"/>
      <c r="C734" s="50">
        <f t="shared" si="120"/>
        <v>3</v>
      </c>
      <c r="D734" s="78"/>
      <c r="E734" s="73" t="s">
        <v>1671</v>
      </c>
      <c r="F734" s="73" t="s">
        <v>1672</v>
      </c>
      <c r="G734" s="78"/>
      <c r="H734" s="81" t="s">
        <v>1673</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285" t="s">
        <v>1674</v>
      </c>
      <c r="AE734" s="81"/>
      <c r="AF734" s="81">
        <v>1</v>
      </c>
      <c r="AG734" s="81">
        <v>1</v>
      </c>
      <c r="AH734" s="78"/>
      <c r="AI734" s="60"/>
      <c r="AJ734" s="48"/>
      <c r="AK734" s="48"/>
      <c r="AL734" s="48"/>
    </row>
    <row r="735" spans="1:38" outlineLevel="2" x14ac:dyDescent="0.25">
      <c r="A735" s="48"/>
      <c r="B735" s="57"/>
      <c r="C735" s="50">
        <f t="shared" si="120"/>
        <v>3</v>
      </c>
      <c r="D735" s="78"/>
      <c r="E735" s="73"/>
      <c r="F735" s="73" t="s">
        <v>1675</v>
      </c>
      <c r="G735" s="78"/>
      <c r="H735" s="81" t="s">
        <v>1676</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285" t="s">
        <v>1674</v>
      </c>
      <c r="AE735" s="81"/>
      <c r="AF735" s="102">
        <v>1</v>
      </c>
      <c r="AG735" s="102">
        <v>1</v>
      </c>
      <c r="AH735" s="78"/>
      <c r="AI735" s="60"/>
      <c r="AJ735" s="48"/>
      <c r="AK735" s="48"/>
      <c r="AL735" s="48"/>
    </row>
    <row r="736" spans="1:38" outlineLevel="2" x14ac:dyDescent="0.25">
      <c r="A736" s="48"/>
      <c r="B736" s="57"/>
      <c r="C736" s="50">
        <f t="shared" si="120"/>
        <v>3</v>
      </c>
      <c r="D736" s="78"/>
      <c r="E736" s="73"/>
      <c r="F736" s="73" t="s">
        <v>1677</v>
      </c>
      <c r="G736" s="78"/>
      <c r="H736" s="81" t="s">
        <v>1678</v>
      </c>
      <c r="I736" s="101" t="s">
        <v>1679</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1680</v>
      </c>
      <c r="AE736" s="81"/>
      <c r="AF736" s="102">
        <v>1</v>
      </c>
      <c r="AG736" s="102">
        <v>1</v>
      </c>
      <c r="AH736" s="78"/>
      <c r="AI736" s="60"/>
      <c r="AJ736" s="48"/>
      <c r="AK736" s="48"/>
      <c r="AL736" s="48"/>
    </row>
    <row r="737" spans="1:38" outlineLevel="2" x14ac:dyDescent="0.25">
      <c r="A737" s="48"/>
      <c r="B737" s="57"/>
      <c r="C737" s="50">
        <f t="shared" si="120"/>
        <v>3</v>
      </c>
      <c r="D737" s="78"/>
      <c r="E737" s="73"/>
      <c r="F737" s="73" t="s">
        <v>1681</v>
      </c>
      <c r="G737" s="78"/>
      <c r="H737" s="81" t="s">
        <v>1682</v>
      </c>
      <c r="I737" s="101" t="s">
        <v>1679</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1683</v>
      </c>
      <c r="AE737" s="81"/>
      <c r="AF737" s="102">
        <v>1</v>
      </c>
      <c r="AG737" s="102">
        <v>1</v>
      </c>
      <c r="AH737" s="78"/>
      <c r="AI737" s="60"/>
      <c r="AJ737" s="48"/>
      <c r="AK737" s="48"/>
      <c r="AL737" s="48"/>
    </row>
    <row r="738" spans="1:38" outlineLevel="2" x14ac:dyDescent="0.25">
      <c r="A738" s="48"/>
      <c r="B738" s="57"/>
      <c r="C738" s="50">
        <f t="shared" si="120"/>
        <v>3</v>
      </c>
      <c r="D738" s="78"/>
      <c r="E738" s="73" t="s">
        <v>1684</v>
      </c>
      <c r="F738" s="73" t="s">
        <v>1685</v>
      </c>
      <c r="G738" s="78"/>
      <c r="H738" s="81" t="s">
        <v>1686</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285" t="s">
        <v>1674</v>
      </c>
      <c r="AE738" s="81"/>
      <c r="AF738" s="81">
        <v>1</v>
      </c>
      <c r="AG738" s="81">
        <v>1</v>
      </c>
      <c r="AH738" s="78"/>
      <c r="AI738" s="60"/>
      <c r="AJ738" s="48"/>
      <c r="AK738" s="48"/>
      <c r="AL738" s="48"/>
    </row>
    <row r="739" spans="1:38" outlineLevel="2" x14ac:dyDescent="0.25">
      <c r="A739" s="48"/>
      <c r="B739" s="57"/>
      <c r="C739" s="50">
        <f t="shared" si="120"/>
        <v>3</v>
      </c>
      <c r="D739" s="78"/>
      <c r="E739" s="73"/>
      <c r="F739" s="73" t="s">
        <v>1687</v>
      </c>
      <c r="G739" s="78"/>
      <c r="H739" s="81" t="s">
        <v>1676</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285" t="s">
        <v>1674</v>
      </c>
      <c r="AE739" s="81"/>
      <c r="AF739" s="102">
        <v>1</v>
      </c>
      <c r="AG739" s="102">
        <v>1</v>
      </c>
      <c r="AH739" s="78"/>
      <c r="AI739" s="60"/>
      <c r="AJ739" s="48"/>
      <c r="AK739" s="48"/>
      <c r="AL739" s="48"/>
    </row>
    <row r="740" spans="1:38" outlineLevel="2" x14ac:dyDescent="0.25">
      <c r="A740" s="48"/>
      <c r="B740" s="57"/>
      <c r="C740" s="50">
        <f t="shared" si="120"/>
        <v>3</v>
      </c>
      <c r="D740" s="78"/>
      <c r="E740" s="73"/>
      <c r="F740" s="73" t="s">
        <v>1688</v>
      </c>
      <c r="G740" s="78"/>
      <c r="H740" s="81" t="s">
        <v>1678</v>
      </c>
      <c r="I740" s="101" t="s">
        <v>1679</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2457</v>
      </c>
      <c r="AE740" s="81"/>
      <c r="AF740" s="102">
        <v>1</v>
      </c>
      <c r="AG740" s="102">
        <v>1</v>
      </c>
      <c r="AH740" s="78"/>
      <c r="AI740" s="60"/>
      <c r="AJ740" s="48"/>
      <c r="AK740" s="48"/>
      <c r="AL740" s="48"/>
    </row>
    <row r="741" spans="1:38" outlineLevel="2" x14ac:dyDescent="0.25">
      <c r="A741" s="48"/>
      <c r="B741" s="57"/>
      <c r="C741" s="50">
        <f t="shared" si="120"/>
        <v>3</v>
      </c>
      <c r="D741" s="78"/>
      <c r="E741" s="73"/>
      <c r="F741" s="73" t="s">
        <v>1689</v>
      </c>
      <c r="G741" s="78"/>
      <c r="H741" s="81" t="s">
        <v>1682</v>
      </c>
      <c r="I741" s="101" t="s">
        <v>1679</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2458</v>
      </c>
      <c r="AE741" s="81"/>
      <c r="AF741" s="102">
        <v>1</v>
      </c>
      <c r="AG741" s="102">
        <v>1</v>
      </c>
      <c r="AH741" s="78"/>
      <c r="AI741" s="60"/>
      <c r="AJ741" s="48"/>
      <c r="AK741" s="48"/>
      <c r="AL741" s="48"/>
    </row>
    <row r="742" spans="1:38" outlineLevel="2" x14ac:dyDescent="0.25">
      <c r="A742" s="48"/>
      <c r="B742" s="57"/>
      <c r="C742" s="50">
        <f t="shared" si="120"/>
        <v>3</v>
      </c>
      <c r="D742" s="78"/>
      <c r="E742" s="73" t="s">
        <v>1690</v>
      </c>
      <c r="F742" s="73" t="s">
        <v>1691</v>
      </c>
      <c r="G742" s="78"/>
      <c r="H742" s="81" t="s">
        <v>1692</v>
      </c>
      <c r="I742" s="101" t="s">
        <v>582</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285" t="s">
        <v>1674</v>
      </c>
      <c r="AE742" s="81"/>
      <c r="AF742" s="81">
        <v>1</v>
      </c>
      <c r="AG742" s="81">
        <v>1</v>
      </c>
      <c r="AH742" s="78"/>
      <c r="AI742" s="60"/>
      <c r="AJ742" s="48"/>
      <c r="AK742" s="48"/>
      <c r="AL742" s="48"/>
    </row>
    <row r="743" spans="1:38" outlineLevel="2" x14ac:dyDescent="0.25">
      <c r="A743" s="48"/>
      <c r="B743" s="57"/>
      <c r="C743" s="50">
        <f t="shared" si="120"/>
        <v>3</v>
      </c>
      <c r="D743" s="78"/>
      <c r="E743" s="73"/>
      <c r="F743" s="73" t="s">
        <v>1693</v>
      </c>
      <c r="G743" s="78"/>
      <c r="H743" s="81" t="s">
        <v>1676</v>
      </c>
      <c r="I743" s="101" t="s">
        <v>582</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1649</v>
      </c>
      <c r="AE743" s="81"/>
      <c r="AF743" s="102">
        <v>1</v>
      </c>
      <c r="AG743" s="102">
        <v>1</v>
      </c>
      <c r="AH743" s="78"/>
      <c r="AI743" s="60"/>
      <c r="AJ743" s="48"/>
      <c r="AK743" s="48"/>
      <c r="AL743" s="48"/>
    </row>
    <row r="744" spans="1:38" outlineLevel="2" x14ac:dyDescent="0.25">
      <c r="A744" s="48"/>
      <c r="B744" s="57"/>
      <c r="C744" s="50">
        <f t="shared" si="120"/>
        <v>3</v>
      </c>
      <c r="D744" s="78"/>
      <c r="E744" s="73"/>
      <c r="F744" s="73" t="s">
        <v>1694</v>
      </c>
      <c r="G744" s="78"/>
      <c r="H744" s="81" t="s">
        <v>1678</v>
      </c>
      <c r="I744" s="101" t="s">
        <v>582</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1649</v>
      </c>
      <c r="AE744" s="81"/>
      <c r="AF744" s="102">
        <v>1</v>
      </c>
      <c r="AG744" s="102">
        <v>1</v>
      </c>
      <c r="AH744" s="78"/>
      <c r="AI744" s="60"/>
      <c r="AJ744" s="48"/>
      <c r="AK744" s="48"/>
      <c r="AL744" s="48"/>
    </row>
    <row r="745" spans="1:38" outlineLevel="2" x14ac:dyDescent="0.25">
      <c r="A745" s="48"/>
      <c r="B745" s="57"/>
      <c r="C745" s="50">
        <f t="shared" si="120"/>
        <v>3</v>
      </c>
      <c r="D745" s="78"/>
      <c r="E745" s="73"/>
      <c r="F745" s="73" t="s">
        <v>1695</v>
      </c>
      <c r="G745" s="78"/>
      <c r="H745" s="81" t="s">
        <v>1682</v>
      </c>
      <c r="I745" s="101" t="s">
        <v>582</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1649</v>
      </c>
      <c r="AE745" s="81"/>
      <c r="AF745" s="102">
        <v>1</v>
      </c>
      <c r="AG745" s="102">
        <v>1</v>
      </c>
      <c r="AH745" s="78"/>
      <c r="AI745" s="60"/>
      <c r="AJ745" s="48"/>
      <c r="AK745" s="48"/>
      <c r="AL745" s="48"/>
    </row>
    <row r="746" spans="1:38" outlineLevel="2" x14ac:dyDescent="0.25">
      <c r="A746" s="48"/>
      <c r="B746" s="57"/>
      <c r="C746" s="50">
        <f t="shared" si="120"/>
        <v>3</v>
      </c>
      <c r="D746" s="78"/>
      <c r="E746" s="73" t="s">
        <v>1696</v>
      </c>
      <c r="F746" s="73" t="s">
        <v>1697</v>
      </c>
      <c r="G746" s="78"/>
      <c r="H746" s="81" t="s">
        <v>1686</v>
      </c>
      <c r="I746" s="101" t="s">
        <v>582</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285" t="s">
        <v>1674</v>
      </c>
      <c r="AE746" s="81"/>
      <c r="AF746" s="81">
        <v>1</v>
      </c>
      <c r="AG746" s="81">
        <v>1</v>
      </c>
      <c r="AH746" s="78"/>
      <c r="AI746" s="60"/>
      <c r="AJ746" s="48"/>
      <c r="AK746" s="48"/>
      <c r="AL746" s="48"/>
    </row>
    <row r="747" spans="1:38" outlineLevel="2" x14ac:dyDescent="0.25">
      <c r="A747" s="48"/>
      <c r="B747" s="57"/>
      <c r="C747" s="50">
        <f t="shared" si="120"/>
        <v>3</v>
      </c>
      <c r="D747" s="78"/>
      <c r="E747" s="73"/>
      <c r="F747" s="73" t="s">
        <v>1698</v>
      </c>
      <c r="G747" s="78"/>
      <c r="H747" s="81" t="s">
        <v>1676</v>
      </c>
      <c r="I747" s="101" t="s">
        <v>582</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1649</v>
      </c>
      <c r="AE747" s="81"/>
      <c r="AF747" s="102">
        <v>1</v>
      </c>
      <c r="AG747" s="102">
        <v>1</v>
      </c>
      <c r="AH747" s="78"/>
      <c r="AI747" s="60"/>
      <c r="AJ747" s="48"/>
      <c r="AK747" s="48"/>
      <c r="AL747" s="48"/>
    </row>
    <row r="748" spans="1:38" outlineLevel="2" x14ac:dyDescent="0.25">
      <c r="A748" s="48"/>
      <c r="B748" s="57"/>
      <c r="C748" s="50">
        <f t="shared" si="120"/>
        <v>3</v>
      </c>
      <c r="D748" s="78"/>
      <c r="E748" s="73"/>
      <c r="F748" s="73" t="s">
        <v>1699</v>
      </c>
      <c r="G748" s="78"/>
      <c r="H748" s="81" t="s">
        <v>1678</v>
      </c>
      <c r="I748" s="101" t="s">
        <v>582</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1649</v>
      </c>
      <c r="AE748" s="81"/>
      <c r="AF748" s="102">
        <v>1</v>
      </c>
      <c r="AG748" s="102">
        <v>1</v>
      </c>
      <c r="AH748" s="78"/>
      <c r="AI748" s="60"/>
      <c r="AJ748" s="48"/>
      <c r="AK748" s="48"/>
      <c r="AL748" s="48"/>
    </row>
    <row r="749" spans="1:38" outlineLevel="2" x14ac:dyDescent="0.25">
      <c r="A749" s="48"/>
      <c r="B749" s="57"/>
      <c r="C749" s="50">
        <f t="shared" si="120"/>
        <v>3</v>
      </c>
      <c r="D749" s="78"/>
      <c r="E749" s="73"/>
      <c r="F749" s="73" t="s">
        <v>1700</v>
      </c>
      <c r="G749" s="78"/>
      <c r="H749" s="81" t="s">
        <v>1682</v>
      </c>
      <c r="I749" s="101" t="s">
        <v>582</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1649</v>
      </c>
      <c r="AE749" s="81"/>
      <c r="AF749" s="102">
        <v>1</v>
      </c>
      <c r="AG749" s="102">
        <v>1</v>
      </c>
      <c r="AH749" s="78"/>
      <c r="AI749" s="60"/>
      <c r="AJ749" s="48"/>
      <c r="AK749" s="48"/>
      <c r="AL749" s="48"/>
    </row>
    <row r="750" spans="1:38" outlineLevel="2" x14ac:dyDescent="0.25">
      <c r="A750" s="48"/>
      <c r="B750" s="57"/>
      <c r="C750" s="50">
        <f t="shared" si="120"/>
        <v>3</v>
      </c>
      <c r="D750" s="78"/>
      <c r="E750" s="73"/>
      <c r="F750" s="73" t="s">
        <v>1701</v>
      </c>
      <c r="G750" s="78"/>
      <c r="H750" s="81" t="s">
        <v>1702</v>
      </c>
      <c r="I750" s="101" t="s">
        <v>582</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1703</v>
      </c>
      <c r="G751" s="78"/>
      <c r="H751" s="81" t="s">
        <v>1704</v>
      </c>
      <c r="I751" s="101" t="s">
        <v>582</v>
      </c>
      <c r="J751" s="101"/>
      <c r="K751" s="81"/>
      <c r="L751" s="81"/>
      <c r="M751" s="81"/>
      <c r="N751" s="81"/>
      <c r="O751" s="81"/>
      <c r="P751" s="81"/>
      <c r="Q751" s="81"/>
      <c r="R751" s="81"/>
      <c r="S751" s="81"/>
      <c r="T751" s="81"/>
      <c r="U751" s="102">
        <v>0</v>
      </c>
      <c r="V751" s="102">
        <v>0</v>
      </c>
      <c r="W751" s="102">
        <v>0</v>
      </c>
      <c r="X751" s="274">
        <f t="shared" ref="X751:AB752" si="123">W751</f>
        <v>0</v>
      </c>
      <c r="Y751" s="274">
        <f t="shared" si="123"/>
        <v>0</v>
      </c>
      <c r="Z751" s="274">
        <f t="shared" si="123"/>
        <v>0</v>
      </c>
      <c r="AA751" s="274">
        <f t="shared" si="123"/>
        <v>0</v>
      </c>
      <c r="AB751" s="274">
        <f t="shared" si="123"/>
        <v>0</v>
      </c>
      <c r="AC751" s="81"/>
      <c r="AD751" s="102" t="s">
        <v>1705</v>
      </c>
      <c r="AE751" s="81"/>
      <c r="AF751" s="102">
        <v>1</v>
      </c>
      <c r="AG751" s="102">
        <v>1</v>
      </c>
      <c r="AH751" s="78"/>
      <c r="AI751" s="60"/>
      <c r="AJ751" s="48"/>
      <c r="AK751" s="48"/>
      <c r="AL751" s="48"/>
    </row>
    <row r="752" spans="1:38" outlineLevel="2" x14ac:dyDescent="0.25">
      <c r="A752" s="48"/>
      <c r="B752" s="57"/>
      <c r="C752" s="50">
        <f t="shared" si="120"/>
        <v>3</v>
      </c>
      <c r="D752" s="78"/>
      <c r="E752" s="73"/>
      <c r="F752" s="73" t="s">
        <v>1706</v>
      </c>
      <c r="G752" s="78"/>
      <c r="H752" s="81" t="s">
        <v>1707</v>
      </c>
      <c r="I752" s="101" t="s">
        <v>582</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274">
        <f t="shared" si="123"/>
        <v>-0.55427188413696349</v>
      </c>
      <c r="Y752" s="274">
        <f t="shared" si="123"/>
        <v>-0.55427188413696349</v>
      </c>
      <c r="Z752" s="274">
        <f t="shared" si="123"/>
        <v>-0.55427188413696349</v>
      </c>
      <c r="AA752" s="274">
        <f t="shared" si="123"/>
        <v>-0.55427188413696349</v>
      </c>
      <c r="AB752" s="27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1708</v>
      </c>
      <c r="G753" s="78"/>
      <c r="H753" s="81" t="s">
        <v>1709</v>
      </c>
      <c r="I753" s="101" t="s">
        <v>582</v>
      </c>
      <c r="J753" s="101"/>
      <c r="K753" s="81"/>
      <c r="L753" s="81"/>
      <c r="M753" s="81"/>
      <c r="N753" s="81"/>
      <c r="O753" s="81"/>
      <c r="P753" s="81"/>
      <c r="Q753" s="81"/>
      <c r="R753" s="81"/>
      <c r="S753" s="81"/>
      <c r="T753" s="81"/>
      <c r="U753" s="272">
        <f>U752</f>
        <v>-0.48270000000000002</v>
      </c>
      <c r="V753" s="272">
        <f t="shared" ref="V753:AB753" si="124">V752</f>
        <v>-0.48270000000000002</v>
      </c>
      <c r="W753" s="272">
        <f t="shared" si="124"/>
        <v>-0.55427188413696349</v>
      </c>
      <c r="X753" s="272">
        <f t="shared" si="124"/>
        <v>-0.55427188413696349</v>
      </c>
      <c r="Y753" s="272">
        <f t="shared" si="124"/>
        <v>-0.55427188413696349</v>
      </c>
      <c r="Z753" s="272">
        <f t="shared" si="124"/>
        <v>-0.55427188413696349</v>
      </c>
      <c r="AA753" s="272">
        <f t="shared" si="124"/>
        <v>-0.55427188413696349</v>
      </c>
      <c r="AB753" s="272">
        <f t="shared" si="124"/>
        <v>-0.55427188413696349</v>
      </c>
      <c r="AC753" s="81"/>
      <c r="AD753" s="81" t="s">
        <v>1710</v>
      </c>
      <c r="AE753" s="81"/>
      <c r="AF753" s="102">
        <v>1</v>
      </c>
      <c r="AG753" s="102">
        <v>1</v>
      </c>
      <c r="AH753" s="78"/>
      <c r="AI753" s="60"/>
      <c r="AJ753" s="48"/>
      <c r="AK753" s="48"/>
      <c r="AL753" s="48"/>
    </row>
    <row r="754" spans="1:38" outlineLevel="2" x14ac:dyDescent="0.25">
      <c r="A754" s="48"/>
      <c r="B754" s="57"/>
      <c r="C754" s="50">
        <f t="shared" si="120"/>
        <v>3</v>
      </c>
      <c r="D754" s="78"/>
      <c r="E754" s="73"/>
      <c r="F754" s="73" t="s">
        <v>1711</v>
      </c>
      <c r="G754" s="78"/>
      <c r="H754" s="81" t="s">
        <v>2341</v>
      </c>
      <c r="I754" s="101" t="s">
        <v>582</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1712</v>
      </c>
      <c r="G755" s="78"/>
      <c r="H755" s="81" t="s">
        <v>2342</v>
      </c>
      <c r="I755" s="101" t="s">
        <v>582</v>
      </c>
      <c r="J755" s="101"/>
      <c r="K755" s="81"/>
      <c r="L755" s="81"/>
      <c r="M755" s="81"/>
      <c r="N755" s="81"/>
      <c r="O755" s="81"/>
      <c r="P755" s="81"/>
      <c r="Q755" s="81"/>
      <c r="R755" s="81"/>
      <c r="S755" s="81"/>
      <c r="T755" s="81"/>
      <c r="U755" s="102">
        <v>8.5</v>
      </c>
      <c r="V755" s="102">
        <v>8.5</v>
      </c>
      <c r="W755" s="102">
        <v>8.5</v>
      </c>
      <c r="X755" s="274">
        <f t="shared" ref="X755:AB756" si="125">W755</f>
        <v>8.5</v>
      </c>
      <c r="Y755" s="274">
        <f t="shared" si="125"/>
        <v>8.5</v>
      </c>
      <c r="Z755" s="274">
        <f t="shared" si="125"/>
        <v>8.5</v>
      </c>
      <c r="AA755" s="274">
        <f t="shared" si="125"/>
        <v>8.5</v>
      </c>
      <c r="AB755" s="274">
        <f t="shared" si="125"/>
        <v>8.5</v>
      </c>
      <c r="AC755" s="81"/>
      <c r="AD755" s="102" t="s">
        <v>2479</v>
      </c>
      <c r="AE755" s="81"/>
      <c r="AF755" s="81">
        <v>1</v>
      </c>
      <c r="AG755" s="81">
        <v>1</v>
      </c>
      <c r="AH755" s="78"/>
      <c r="AI755" s="60"/>
      <c r="AJ755" s="48"/>
      <c r="AK755" s="48"/>
      <c r="AL755" s="48"/>
    </row>
    <row r="756" spans="1:38" outlineLevel="2" x14ac:dyDescent="0.25">
      <c r="A756" s="48"/>
      <c r="B756" s="57"/>
      <c r="C756" s="50">
        <f t="shared" si="120"/>
        <v>3</v>
      </c>
      <c r="D756" s="78"/>
      <c r="E756" s="73"/>
      <c r="F756" s="73" t="s">
        <v>1713</v>
      </c>
      <c r="G756" s="78"/>
      <c r="H756" s="81" t="s">
        <v>2343</v>
      </c>
      <c r="I756" s="101" t="s">
        <v>582</v>
      </c>
      <c r="J756" s="101"/>
      <c r="K756" s="81"/>
      <c r="L756" s="81"/>
      <c r="M756" s="81"/>
      <c r="N756" s="81"/>
      <c r="O756" s="81"/>
      <c r="P756" s="81"/>
      <c r="Q756" s="81"/>
      <c r="R756" s="81"/>
      <c r="S756" s="81"/>
      <c r="T756" s="81"/>
      <c r="U756" s="102">
        <v>2</v>
      </c>
      <c r="V756" s="102">
        <v>2</v>
      </c>
      <c r="W756" s="102">
        <v>2</v>
      </c>
      <c r="X756" s="274">
        <f t="shared" si="125"/>
        <v>2</v>
      </c>
      <c r="Y756" s="274">
        <f t="shared" si="125"/>
        <v>2</v>
      </c>
      <c r="Z756" s="274">
        <f t="shared" si="125"/>
        <v>2</v>
      </c>
      <c r="AA756" s="274">
        <f t="shared" si="125"/>
        <v>2</v>
      </c>
      <c r="AB756" s="27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1714</v>
      </c>
      <c r="G757" s="78"/>
      <c r="H757" s="81" t="s">
        <v>2344</v>
      </c>
      <c r="I757" s="101" t="s">
        <v>582</v>
      </c>
      <c r="J757" s="101"/>
      <c r="K757" s="81"/>
      <c r="L757" s="81"/>
      <c r="M757" s="81"/>
      <c r="N757" s="81"/>
      <c r="O757" s="81"/>
      <c r="P757" s="81"/>
      <c r="Q757" s="81"/>
      <c r="R757" s="81"/>
      <c r="S757" s="81"/>
      <c r="T757" s="81"/>
      <c r="U757" s="272">
        <f>U756</f>
        <v>2</v>
      </c>
      <c r="V757" s="272">
        <f t="shared" ref="V757:AB757" si="127">V756</f>
        <v>2</v>
      </c>
      <c r="W757" s="272">
        <f t="shared" si="127"/>
        <v>2</v>
      </c>
      <c r="X757" s="272">
        <f t="shared" si="127"/>
        <v>2</v>
      </c>
      <c r="Y757" s="272">
        <f t="shared" si="127"/>
        <v>2</v>
      </c>
      <c r="Z757" s="272">
        <f t="shared" si="127"/>
        <v>2</v>
      </c>
      <c r="AA757" s="272">
        <f t="shared" si="127"/>
        <v>2</v>
      </c>
      <c r="AB757" s="27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1715</v>
      </c>
      <c r="G758" s="78"/>
      <c r="H758" s="81" t="s">
        <v>1636</v>
      </c>
      <c r="I758" s="101" t="s">
        <v>582</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1716</v>
      </c>
      <c r="G759" s="78"/>
      <c r="H759" s="81" t="s">
        <v>1638</v>
      </c>
      <c r="I759" s="101" t="s">
        <v>582</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1717</v>
      </c>
      <c r="G760" s="78"/>
      <c r="H760" s="81" t="s">
        <v>1640</v>
      </c>
      <c r="I760" s="101" t="s">
        <v>582</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1718</v>
      </c>
      <c r="G761" s="78"/>
      <c r="H761" s="81" t="s">
        <v>1642</v>
      </c>
      <c r="I761" s="101" t="s">
        <v>582</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1719</v>
      </c>
      <c r="F762" s="73" t="s">
        <v>1720</v>
      </c>
      <c r="G762" s="78"/>
      <c r="H762" s="81" t="s">
        <v>1721</v>
      </c>
      <c r="I762" s="101" t="s">
        <v>582</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285" t="s">
        <v>1674</v>
      </c>
      <c r="AE762" s="81"/>
      <c r="AF762" s="81">
        <v>1</v>
      </c>
      <c r="AG762" s="81">
        <v>1</v>
      </c>
      <c r="AH762" s="78"/>
      <c r="AI762" s="60"/>
      <c r="AJ762" s="48"/>
      <c r="AK762" s="48"/>
      <c r="AL762" s="48"/>
    </row>
    <row r="763" spans="1:38" outlineLevel="2" x14ac:dyDescent="0.25">
      <c r="A763" s="48"/>
      <c r="B763" s="57"/>
      <c r="C763" s="50">
        <f>INT($C$40)+2</f>
        <v>3</v>
      </c>
      <c r="D763" s="78"/>
      <c r="E763" s="73"/>
      <c r="F763" s="73" t="s">
        <v>1722</v>
      </c>
      <c r="G763" s="78"/>
      <c r="H763" s="81" t="s">
        <v>1638</v>
      </c>
      <c r="I763" s="101" t="s">
        <v>582</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1109</v>
      </c>
      <c r="AE763" s="81"/>
      <c r="AF763" s="102">
        <v>1</v>
      </c>
      <c r="AG763" s="102">
        <v>1</v>
      </c>
      <c r="AH763" s="78"/>
      <c r="AI763" s="60"/>
      <c r="AJ763" s="48"/>
      <c r="AK763" s="48"/>
      <c r="AL763" s="48"/>
    </row>
    <row r="764" spans="1:38" outlineLevel="2" x14ac:dyDescent="0.25">
      <c r="A764" s="48"/>
      <c r="B764" s="57"/>
      <c r="C764" s="50">
        <f>INT($C$40)+2</f>
        <v>3</v>
      </c>
      <c r="D764" s="78"/>
      <c r="E764" s="73"/>
      <c r="F764" s="73" t="s">
        <v>1723</v>
      </c>
      <c r="G764" s="78"/>
      <c r="H764" s="81" t="s">
        <v>1640</v>
      </c>
      <c r="I764" s="101" t="s">
        <v>582</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1109</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1724</v>
      </c>
      <c r="G765" s="78"/>
      <c r="H765" s="81" t="s">
        <v>1642</v>
      </c>
      <c r="I765" s="101" t="s">
        <v>582</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1109</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1725</v>
      </c>
      <c r="G766" s="78"/>
      <c r="H766" s="81" t="s">
        <v>1726</v>
      </c>
      <c r="I766" s="101" t="s">
        <v>582</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1727</v>
      </c>
      <c r="G767" s="78"/>
      <c r="H767" s="81" t="s">
        <v>1638</v>
      </c>
      <c r="I767" s="101" t="s">
        <v>582</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1728</v>
      </c>
      <c r="G768" s="78"/>
      <c r="H768" s="81" t="s">
        <v>1640</v>
      </c>
      <c r="I768" s="101" t="s">
        <v>582</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1729</v>
      </c>
      <c r="G769" s="78"/>
      <c r="H769" s="81" t="s">
        <v>1642</v>
      </c>
      <c r="I769" s="101" t="s">
        <v>582</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1730</v>
      </c>
      <c r="G770" s="78"/>
      <c r="H770" s="81" t="s">
        <v>1731</v>
      </c>
      <c r="I770" s="101" t="s">
        <v>582</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1732</v>
      </c>
      <c r="G771" s="78"/>
      <c r="H771" s="81" t="s">
        <v>1638</v>
      </c>
      <c r="I771" s="101" t="s">
        <v>582</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1733</v>
      </c>
      <c r="G772" s="78"/>
      <c r="H772" s="81" t="s">
        <v>1640</v>
      </c>
      <c r="I772" s="101" t="s">
        <v>582</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1734</v>
      </c>
      <c r="G773" s="78"/>
      <c r="H773" s="81" t="s">
        <v>1642</v>
      </c>
      <c r="I773" s="101" t="s">
        <v>582</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869</v>
      </c>
      <c r="F774" s="73" t="s">
        <v>1735</v>
      </c>
      <c r="G774" s="78"/>
      <c r="H774" s="81" t="s">
        <v>1736</v>
      </c>
      <c r="I774" s="101" t="s">
        <v>582</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285"/>
      <c r="AE774" s="81"/>
      <c r="AF774" s="81">
        <v>1</v>
      </c>
      <c r="AG774" s="81">
        <v>1</v>
      </c>
      <c r="AH774" s="78"/>
      <c r="AI774" s="60"/>
      <c r="AJ774" s="48"/>
      <c r="AK774" s="48"/>
      <c r="AL774" s="48"/>
    </row>
    <row r="775" spans="1:38" outlineLevel="2" x14ac:dyDescent="0.25">
      <c r="A775" s="48"/>
      <c r="B775" s="57"/>
      <c r="C775" s="50">
        <f t="shared" si="129"/>
        <v>3</v>
      </c>
      <c r="D775" s="78"/>
      <c r="E775" s="73"/>
      <c r="F775" s="73" t="s">
        <v>1737</v>
      </c>
      <c r="G775" s="78"/>
      <c r="H775" s="81" t="s">
        <v>1738</v>
      </c>
      <c r="I775" s="101" t="s">
        <v>582</v>
      </c>
      <c r="J775" s="101"/>
      <c r="K775" s="102">
        <v>1.5</v>
      </c>
      <c r="L775" s="102">
        <v>1.5</v>
      </c>
      <c r="M775" s="102">
        <v>1</v>
      </c>
      <c r="N775" s="102">
        <v>1</v>
      </c>
      <c r="O775" s="102">
        <v>1</v>
      </c>
      <c r="P775" s="102">
        <v>1</v>
      </c>
      <c r="Q775" s="81"/>
      <c r="R775" s="81" t="s">
        <v>631</v>
      </c>
      <c r="S775" s="81" t="s">
        <v>631</v>
      </c>
      <c r="T775" s="81"/>
      <c r="U775" s="272">
        <f t="shared" ref="U775:AB777" si="130">INDEX($K775:$Q775,1,U$54)</f>
        <v>1.5</v>
      </c>
      <c r="V775" s="272">
        <f t="shared" si="130"/>
        <v>1.5</v>
      </c>
      <c r="W775" s="272">
        <f t="shared" si="130"/>
        <v>1.5</v>
      </c>
      <c r="X775" s="272">
        <f t="shared" si="130"/>
        <v>1.5</v>
      </c>
      <c r="Y775" s="272">
        <f t="shared" si="130"/>
        <v>1.5</v>
      </c>
      <c r="Z775" s="272">
        <f t="shared" si="130"/>
        <v>1.5</v>
      </c>
      <c r="AA775" s="272">
        <f t="shared" si="130"/>
        <v>1.5</v>
      </c>
      <c r="AB775" s="27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1739</v>
      </c>
      <c r="G776" s="78"/>
      <c r="H776" s="81" t="s">
        <v>1740</v>
      </c>
      <c r="I776" s="101" t="s">
        <v>582</v>
      </c>
      <c r="J776" s="101"/>
      <c r="K776" s="102">
        <v>1.75</v>
      </c>
      <c r="L776" s="102">
        <v>1.75</v>
      </c>
      <c r="M776" s="81"/>
      <c r="N776" s="81"/>
      <c r="O776" s="81"/>
      <c r="P776" s="81"/>
      <c r="Q776" s="81"/>
      <c r="R776" s="81" t="s">
        <v>631</v>
      </c>
      <c r="S776" s="81"/>
      <c r="T776" s="81"/>
      <c r="U776" s="272">
        <f t="shared" si="130"/>
        <v>1.75</v>
      </c>
      <c r="V776" s="272">
        <f t="shared" si="130"/>
        <v>1.75</v>
      </c>
      <c r="W776" s="272">
        <f t="shared" si="130"/>
        <v>1.75</v>
      </c>
      <c r="X776" s="272">
        <f t="shared" si="130"/>
        <v>1.75</v>
      </c>
      <c r="Y776" s="272">
        <f t="shared" si="130"/>
        <v>1.75</v>
      </c>
      <c r="Z776" s="272">
        <f t="shared" si="130"/>
        <v>1.75</v>
      </c>
      <c r="AA776" s="272">
        <f t="shared" si="130"/>
        <v>1.75</v>
      </c>
      <c r="AB776" s="27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1741</v>
      </c>
      <c r="G777" s="78"/>
      <c r="H777" s="81" t="s">
        <v>1742</v>
      </c>
      <c r="I777" s="101" t="s">
        <v>582</v>
      </c>
      <c r="J777" s="101"/>
      <c r="K777" s="102">
        <v>2</v>
      </c>
      <c r="L777" s="102">
        <v>2</v>
      </c>
      <c r="M777" s="81"/>
      <c r="N777" s="81"/>
      <c r="O777" s="81"/>
      <c r="P777" s="81"/>
      <c r="Q777" s="81"/>
      <c r="R777" s="81" t="s">
        <v>631</v>
      </c>
      <c r="S777" s="81"/>
      <c r="T777" s="81"/>
      <c r="U777" s="272">
        <f t="shared" si="130"/>
        <v>2</v>
      </c>
      <c r="V777" s="272">
        <f t="shared" si="130"/>
        <v>2</v>
      </c>
      <c r="W777" s="272">
        <f t="shared" si="130"/>
        <v>2</v>
      </c>
      <c r="X777" s="272">
        <f t="shared" si="130"/>
        <v>2</v>
      </c>
      <c r="Y777" s="272">
        <f t="shared" si="130"/>
        <v>2</v>
      </c>
      <c r="Z777" s="272">
        <f t="shared" si="130"/>
        <v>2</v>
      </c>
      <c r="AA777" s="272">
        <f t="shared" si="130"/>
        <v>2</v>
      </c>
      <c r="AB777" s="27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872</v>
      </c>
      <c r="F778" s="73" t="s">
        <v>1743</v>
      </c>
      <c r="G778" s="78"/>
      <c r="H778" s="81" t="s">
        <v>1744</v>
      </c>
      <c r="I778" s="101" t="s">
        <v>582</v>
      </c>
      <c r="J778" s="101" t="s">
        <v>1283</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1745</v>
      </c>
      <c r="G779" s="78"/>
      <c r="H779" s="81" t="s">
        <v>1746</v>
      </c>
      <c r="I779" s="101" t="s">
        <v>122</v>
      </c>
      <c r="J779" s="101" t="s">
        <v>1283</v>
      </c>
      <c r="K779" s="102">
        <v>0.1</v>
      </c>
      <c r="L779" s="102">
        <v>0.1</v>
      </c>
      <c r="M779" s="102">
        <v>7.0000000000000007E-2</v>
      </c>
      <c r="N779" s="102">
        <v>7.0000000000000007E-2</v>
      </c>
      <c r="O779" s="102">
        <v>7.0000000000000007E-2</v>
      </c>
      <c r="P779" s="102">
        <v>7.0000000000000007E-2</v>
      </c>
      <c r="Q779" s="81"/>
      <c r="R779" s="81" t="s">
        <v>631</v>
      </c>
      <c r="S779" s="81" t="s">
        <v>631</v>
      </c>
      <c r="T779" s="81"/>
      <c r="U779" s="272">
        <f t="shared" ref="U779:AB781" si="131">INDEX($K779:$Q779,1,U$54)</f>
        <v>0.1</v>
      </c>
      <c r="V779" s="272">
        <f t="shared" si="131"/>
        <v>0.1</v>
      </c>
      <c r="W779" s="272">
        <f t="shared" si="131"/>
        <v>0.1</v>
      </c>
      <c r="X779" s="272">
        <f t="shared" si="131"/>
        <v>0.1</v>
      </c>
      <c r="Y779" s="272">
        <f t="shared" si="131"/>
        <v>0.1</v>
      </c>
      <c r="Z779" s="272">
        <f t="shared" si="131"/>
        <v>0.1</v>
      </c>
      <c r="AA779" s="272">
        <f t="shared" si="131"/>
        <v>0.1</v>
      </c>
      <c r="AB779" s="27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1747</v>
      </c>
      <c r="G780" s="78"/>
      <c r="H780" s="81" t="s">
        <v>1748</v>
      </c>
      <c r="I780" s="101" t="s">
        <v>122</v>
      </c>
      <c r="J780" s="101" t="s">
        <v>1283</v>
      </c>
      <c r="K780" s="102">
        <v>8.5000000000000006E-2</v>
      </c>
      <c r="L780" s="102">
        <v>8.5000000000000006E-2</v>
      </c>
      <c r="M780" s="81"/>
      <c r="N780" s="81"/>
      <c r="O780" s="81"/>
      <c r="P780" s="81"/>
      <c r="Q780" s="81"/>
      <c r="R780" s="81" t="s">
        <v>631</v>
      </c>
      <c r="S780" s="81"/>
      <c r="T780" s="81"/>
      <c r="U780" s="272">
        <f t="shared" si="131"/>
        <v>8.5000000000000006E-2</v>
      </c>
      <c r="V780" s="272">
        <f t="shared" si="131"/>
        <v>8.5000000000000006E-2</v>
      </c>
      <c r="W780" s="272">
        <f t="shared" si="131"/>
        <v>8.5000000000000006E-2</v>
      </c>
      <c r="X780" s="272">
        <f t="shared" si="131"/>
        <v>8.5000000000000006E-2</v>
      </c>
      <c r="Y780" s="272">
        <f t="shared" si="131"/>
        <v>8.5000000000000006E-2</v>
      </c>
      <c r="Z780" s="272">
        <f t="shared" si="131"/>
        <v>8.5000000000000006E-2</v>
      </c>
      <c r="AA780" s="272">
        <f t="shared" si="131"/>
        <v>8.5000000000000006E-2</v>
      </c>
      <c r="AB780" s="27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1749</v>
      </c>
      <c r="G781" s="78"/>
      <c r="H781" s="81" t="s">
        <v>1750</v>
      </c>
      <c r="I781" s="101" t="s">
        <v>122</v>
      </c>
      <c r="J781" s="101" t="s">
        <v>1283</v>
      </c>
      <c r="K781" s="102">
        <v>7.0000000000000007E-2</v>
      </c>
      <c r="L781" s="102">
        <v>7.0000000000000007E-2</v>
      </c>
      <c r="M781" s="81"/>
      <c r="N781" s="81"/>
      <c r="O781" s="81"/>
      <c r="P781" s="81"/>
      <c r="Q781" s="81"/>
      <c r="R781" s="81" t="s">
        <v>631</v>
      </c>
      <c r="S781" s="81"/>
      <c r="T781" s="81"/>
      <c r="U781" s="272">
        <f t="shared" si="131"/>
        <v>7.0000000000000007E-2</v>
      </c>
      <c r="V781" s="272">
        <f t="shared" si="131"/>
        <v>7.0000000000000007E-2</v>
      </c>
      <c r="W781" s="272">
        <f t="shared" si="131"/>
        <v>7.0000000000000007E-2</v>
      </c>
      <c r="X781" s="272">
        <f t="shared" si="131"/>
        <v>7.0000000000000007E-2</v>
      </c>
      <c r="Y781" s="272">
        <f t="shared" si="131"/>
        <v>7.0000000000000007E-2</v>
      </c>
      <c r="Z781" s="272">
        <f t="shared" si="131"/>
        <v>7.0000000000000007E-2</v>
      </c>
      <c r="AA781" s="272">
        <f t="shared" si="131"/>
        <v>7.0000000000000007E-2</v>
      </c>
      <c r="AB781" s="27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1751</v>
      </c>
      <c r="G782" s="78"/>
      <c r="H782" s="81" t="s">
        <v>1752</v>
      </c>
      <c r="I782" s="101" t="s">
        <v>582</v>
      </c>
      <c r="J782" s="101" t="s">
        <v>1240</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1753</v>
      </c>
      <c r="G783" s="78"/>
      <c r="H783" s="81" t="s">
        <v>1754</v>
      </c>
      <c r="I783" s="101" t="s">
        <v>777</v>
      </c>
      <c r="J783" s="101" t="s">
        <v>1240</v>
      </c>
      <c r="K783" s="81"/>
      <c r="L783" s="81"/>
      <c r="M783" s="81"/>
      <c r="N783" s="81"/>
      <c r="O783" s="81"/>
      <c r="P783" s="81"/>
      <c r="Q783" s="81"/>
      <c r="R783" s="81"/>
      <c r="S783" s="81"/>
      <c r="T783" s="81"/>
      <c r="U783" s="102">
        <v>0</v>
      </c>
      <c r="V783" s="274">
        <f t="shared" ref="V783:AB785" si="132">U783</f>
        <v>0</v>
      </c>
      <c r="W783" s="274">
        <f t="shared" si="132"/>
        <v>0</v>
      </c>
      <c r="X783" s="274">
        <f t="shared" si="132"/>
        <v>0</v>
      </c>
      <c r="Y783" s="102">
        <v>0</v>
      </c>
      <c r="Z783" s="274">
        <f t="shared" si="132"/>
        <v>0</v>
      </c>
      <c r="AA783" s="274">
        <f t="shared" si="132"/>
        <v>0</v>
      </c>
      <c r="AB783" s="274">
        <f t="shared" si="132"/>
        <v>0</v>
      </c>
      <c r="AC783" s="81"/>
      <c r="AD783" s="102" t="s">
        <v>2346</v>
      </c>
      <c r="AE783" s="81"/>
      <c r="AF783" s="102">
        <v>1</v>
      </c>
      <c r="AG783" s="102">
        <v>1</v>
      </c>
      <c r="AH783" s="78"/>
      <c r="AI783" s="60"/>
      <c r="AJ783" s="48"/>
      <c r="AK783" s="48"/>
      <c r="AL783" s="48"/>
    </row>
    <row r="784" spans="1:38" outlineLevel="2" x14ac:dyDescent="0.25">
      <c r="A784" s="48"/>
      <c r="B784" s="57"/>
      <c r="C784" s="50">
        <f t="shared" si="129"/>
        <v>3</v>
      </c>
      <c r="D784" s="78"/>
      <c r="E784" s="73"/>
      <c r="F784" s="73" t="s">
        <v>1755</v>
      </c>
      <c r="G784" s="78"/>
      <c r="H784" s="81" t="s">
        <v>1756</v>
      </c>
      <c r="I784" s="101" t="s">
        <v>777</v>
      </c>
      <c r="J784" s="101" t="s">
        <v>1240</v>
      </c>
      <c r="K784" s="81"/>
      <c r="L784" s="81"/>
      <c r="M784" s="81"/>
      <c r="N784" s="81"/>
      <c r="O784" s="81"/>
      <c r="P784" s="81"/>
      <c r="Q784" s="81"/>
      <c r="R784" s="81"/>
      <c r="S784" s="81"/>
      <c r="T784" s="81"/>
      <c r="U784" s="102">
        <v>-1.03</v>
      </c>
      <c r="V784" s="274">
        <f t="shared" si="132"/>
        <v>-1.03</v>
      </c>
      <c r="W784" s="274">
        <f t="shared" si="132"/>
        <v>-1.03</v>
      </c>
      <c r="X784" s="274">
        <f t="shared" si="132"/>
        <v>-1.03</v>
      </c>
      <c r="Y784" s="102">
        <v>-1.08</v>
      </c>
      <c r="Z784" s="274">
        <f t="shared" si="132"/>
        <v>-1.08</v>
      </c>
      <c r="AA784" s="274">
        <f t="shared" si="132"/>
        <v>-1.08</v>
      </c>
      <c r="AB784" s="27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1757</v>
      </c>
      <c r="G785" s="78"/>
      <c r="H785" s="81" t="s">
        <v>1758</v>
      </c>
      <c r="I785" s="101" t="s">
        <v>777</v>
      </c>
      <c r="J785" s="101" t="s">
        <v>1240</v>
      </c>
      <c r="K785" s="81"/>
      <c r="L785" s="81"/>
      <c r="M785" s="81"/>
      <c r="N785" s="81"/>
      <c r="O785" s="81"/>
      <c r="P785" s="81"/>
      <c r="Q785" s="81"/>
      <c r="R785" s="81"/>
      <c r="S785" s="81"/>
      <c r="T785" s="81"/>
      <c r="U785" s="102">
        <v>-2</v>
      </c>
      <c r="V785" s="274">
        <f t="shared" si="132"/>
        <v>-2</v>
      </c>
      <c r="W785" s="274">
        <f t="shared" si="132"/>
        <v>-2</v>
      </c>
      <c r="X785" s="274">
        <f t="shared" si="132"/>
        <v>-2</v>
      </c>
      <c r="Y785" s="102">
        <v>-2.0099999999999998</v>
      </c>
      <c r="Z785" s="274">
        <f t="shared" si="132"/>
        <v>-2.0099999999999998</v>
      </c>
      <c r="AA785" s="274">
        <f t="shared" si="132"/>
        <v>-2.0099999999999998</v>
      </c>
      <c r="AB785" s="27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1759</v>
      </c>
      <c r="G786" s="78"/>
      <c r="H786" s="81" t="s">
        <v>2348</v>
      </c>
      <c r="I786" s="101" t="s">
        <v>582</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1761</v>
      </c>
      <c r="G787" s="78"/>
      <c r="H787" s="81" t="s">
        <v>1638</v>
      </c>
      <c r="I787" s="101" t="s">
        <v>582</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1762</v>
      </c>
      <c r="G788" s="78"/>
      <c r="H788" s="81" t="s">
        <v>1640</v>
      </c>
      <c r="I788" s="101" t="s">
        <v>582</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1763</v>
      </c>
      <c r="G789" s="78"/>
      <c r="H789" s="81" t="s">
        <v>1642</v>
      </c>
      <c r="I789" s="101" t="s">
        <v>582</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1764</v>
      </c>
      <c r="G790" s="78"/>
      <c r="H790" s="81" t="s">
        <v>1765</v>
      </c>
      <c r="I790" s="101" t="s">
        <v>582</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1766</v>
      </c>
      <c r="G791" s="78"/>
      <c r="H791" s="81" t="s">
        <v>1767</v>
      </c>
      <c r="I791" s="101" t="s">
        <v>582</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1768</v>
      </c>
      <c r="G792" s="78"/>
      <c r="H792" s="81" t="s">
        <v>1769</v>
      </c>
      <c r="I792" s="101" t="s">
        <v>582</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1770</v>
      </c>
      <c r="G793" s="78"/>
      <c r="H793" s="81" t="s">
        <v>1771</v>
      </c>
      <c r="I793" s="101" t="s">
        <v>582</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1772</v>
      </c>
      <c r="G794" s="78"/>
      <c r="H794" s="81" t="s">
        <v>1636</v>
      </c>
      <c r="I794" s="101" t="s">
        <v>582</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1773</v>
      </c>
      <c r="G795" s="78"/>
      <c r="H795" s="81" t="s">
        <v>1638</v>
      </c>
      <c r="I795" s="101" t="s">
        <v>582</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1774</v>
      </c>
      <c r="G796" s="78"/>
      <c r="H796" s="81" t="s">
        <v>1640</v>
      </c>
      <c r="I796" s="101" t="s">
        <v>582</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1775</v>
      </c>
      <c r="G797" s="78"/>
      <c r="H797" s="81" t="s">
        <v>1642</v>
      </c>
      <c r="I797" s="101" t="s">
        <v>582</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2700</v>
      </c>
      <c r="G798" s="78"/>
      <c r="H798" s="81" t="s">
        <v>1636</v>
      </c>
      <c r="I798" s="101" t="s">
        <v>582</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2701</v>
      </c>
      <c r="G799" s="78"/>
      <c r="H799" s="81" t="s">
        <v>1638</v>
      </c>
      <c r="I799" s="101" t="s">
        <v>582</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2702</v>
      </c>
      <c r="G800" s="78"/>
      <c r="H800" s="81" t="s">
        <v>1640</v>
      </c>
      <c r="I800" s="101" t="s">
        <v>582</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2703</v>
      </c>
      <c r="G801" s="78"/>
      <c r="H801" s="81" t="s">
        <v>1642</v>
      </c>
      <c r="I801" s="101" t="s">
        <v>582</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2704</v>
      </c>
      <c r="G802" s="78"/>
      <c r="H802" s="81" t="s">
        <v>1636</v>
      </c>
      <c r="I802" s="101" t="s">
        <v>582</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2705</v>
      </c>
      <c r="G803" s="78"/>
      <c r="H803" s="81" t="s">
        <v>1638</v>
      </c>
      <c r="I803" s="101" t="s">
        <v>582</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2706</v>
      </c>
      <c r="G804" s="78"/>
      <c r="H804" s="81" t="s">
        <v>1640</v>
      </c>
      <c r="I804" s="101" t="s">
        <v>582</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2707</v>
      </c>
      <c r="G805" s="78"/>
      <c r="H805" s="81" t="s">
        <v>1642</v>
      </c>
      <c r="I805" s="101" t="s">
        <v>582</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2708</v>
      </c>
      <c r="G806" s="78"/>
      <c r="H806" s="81" t="s">
        <v>1636</v>
      </c>
      <c r="I806" s="101" t="s">
        <v>582</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2709</v>
      </c>
      <c r="G807" s="78"/>
      <c r="H807" s="81" t="s">
        <v>1638</v>
      </c>
      <c r="I807" s="101" t="s">
        <v>582</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2710</v>
      </c>
      <c r="G808" s="78"/>
      <c r="H808" s="81" t="s">
        <v>1640</v>
      </c>
      <c r="I808" s="101" t="s">
        <v>582</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2711</v>
      </c>
      <c r="G809" s="78"/>
      <c r="H809" s="81" t="s">
        <v>1642</v>
      </c>
      <c r="I809" s="101" t="s">
        <v>582</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2712</v>
      </c>
      <c r="G810" s="78"/>
      <c r="H810" s="81" t="s">
        <v>1636</v>
      </c>
      <c r="I810" s="101" t="s">
        <v>582</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2713</v>
      </c>
      <c r="G811" s="78"/>
      <c r="H811" s="81" t="s">
        <v>1638</v>
      </c>
      <c r="I811" s="101" t="s">
        <v>582</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2714</v>
      </c>
      <c r="G812" s="78"/>
      <c r="H812" s="81" t="s">
        <v>1640</v>
      </c>
      <c r="I812" s="101" t="s">
        <v>582</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2715</v>
      </c>
      <c r="G813" s="78"/>
      <c r="H813" s="81" t="s">
        <v>1642</v>
      </c>
      <c r="I813" s="101" t="s">
        <v>582</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2716</v>
      </c>
      <c r="G814" s="78"/>
      <c r="H814" s="81" t="s">
        <v>2724</v>
      </c>
      <c r="I814" s="101" t="s">
        <v>582</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285" t="s">
        <v>2734</v>
      </c>
      <c r="AE814" s="81"/>
      <c r="AF814" s="81">
        <v>1</v>
      </c>
      <c r="AG814" s="81">
        <v>1</v>
      </c>
      <c r="AH814" s="78"/>
      <c r="AI814" s="60"/>
      <c r="AJ814" s="48"/>
      <c r="AK814" s="48"/>
      <c r="AL814" s="48"/>
    </row>
    <row r="815" spans="1:38" outlineLevel="2" x14ac:dyDescent="0.25">
      <c r="A815" s="48"/>
      <c r="B815" s="57"/>
      <c r="C815" s="50">
        <f t="shared" si="129"/>
        <v>3</v>
      </c>
      <c r="D815" s="78"/>
      <c r="E815" s="73"/>
      <c r="F815" s="73" t="s">
        <v>2717</v>
      </c>
      <c r="G815" s="78"/>
      <c r="H815" s="81" t="s">
        <v>1647</v>
      </c>
      <c r="I815" s="101" t="s">
        <v>582</v>
      </c>
      <c r="J815" s="101"/>
      <c r="K815" s="81"/>
      <c r="L815" s="81"/>
      <c r="M815" s="81"/>
      <c r="N815" s="81"/>
      <c r="O815" s="81"/>
      <c r="P815" s="81"/>
      <c r="Q815" s="81"/>
      <c r="R815" s="81"/>
      <c r="S815" s="81"/>
      <c r="T815" s="81"/>
      <c r="U815" s="102">
        <v>2.2589999999999999</v>
      </c>
      <c r="V815" s="274">
        <f t="shared" ref="V815:V817" si="133">U815</f>
        <v>2.2589999999999999</v>
      </c>
      <c r="W815" s="274">
        <f t="shared" ref="W815:W817" si="134">V815</f>
        <v>2.2589999999999999</v>
      </c>
      <c r="X815" s="274">
        <f>Y815</f>
        <v>1.962</v>
      </c>
      <c r="Y815" s="102">
        <v>1.962</v>
      </c>
      <c r="Z815" s="274">
        <f t="shared" ref="Z815:Z817" si="135">Y815</f>
        <v>1.962</v>
      </c>
      <c r="AA815" s="274">
        <f t="shared" ref="AA815:AA817" si="136">Z815</f>
        <v>1.962</v>
      </c>
      <c r="AB815" s="274">
        <f t="shared" ref="AB815:AB817" si="137">AA815</f>
        <v>1.962</v>
      </c>
      <c r="AC815" s="81"/>
      <c r="AD815" s="102" t="s">
        <v>2729</v>
      </c>
      <c r="AE815" s="81"/>
      <c r="AF815" s="81">
        <v>1</v>
      </c>
      <c r="AG815" s="81">
        <v>1</v>
      </c>
      <c r="AH815" s="78"/>
      <c r="AI815" s="60"/>
      <c r="AJ815" s="48"/>
      <c r="AK815" s="48"/>
      <c r="AL815" s="48"/>
    </row>
    <row r="816" spans="1:38" outlineLevel="2" x14ac:dyDescent="0.25">
      <c r="A816" s="48"/>
      <c r="B816" s="57"/>
      <c r="C816" s="50">
        <f t="shared" si="129"/>
        <v>3</v>
      </c>
      <c r="D816" s="78"/>
      <c r="E816" s="73"/>
      <c r="F816" s="73" t="s">
        <v>2718</v>
      </c>
      <c r="G816" s="78"/>
      <c r="H816" s="81" t="s">
        <v>1651</v>
      </c>
      <c r="I816" s="101" t="s">
        <v>582</v>
      </c>
      <c r="J816" s="101"/>
      <c r="K816" s="81"/>
      <c r="L816" s="81"/>
      <c r="M816" s="81"/>
      <c r="N816" s="81"/>
      <c r="O816" s="81"/>
      <c r="P816" s="81"/>
      <c r="Q816" s="81"/>
      <c r="R816" s="81"/>
      <c r="S816" s="81"/>
      <c r="T816" s="81"/>
      <c r="U816" s="102">
        <v>100</v>
      </c>
      <c r="V816" s="274">
        <f t="shared" si="133"/>
        <v>100</v>
      </c>
      <c r="W816" s="274">
        <f t="shared" si="134"/>
        <v>100</v>
      </c>
      <c r="X816" s="274">
        <f t="shared" ref="X816:X817" si="138">Y816</f>
        <v>5.6980000000000004</v>
      </c>
      <c r="Y816" s="102">
        <v>5.6980000000000004</v>
      </c>
      <c r="Z816" s="274">
        <f t="shared" si="135"/>
        <v>5.6980000000000004</v>
      </c>
      <c r="AA816" s="274">
        <f t="shared" si="136"/>
        <v>5.6980000000000004</v>
      </c>
      <c r="AB816" s="27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2719</v>
      </c>
      <c r="G817" s="78"/>
      <c r="H817" s="81" t="s">
        <v>1653</v>
      </c>
      <c r="I817" s="101" t="s">
        <v>582</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285" t="s">
        <v>2733</v>
      </c>
      <c r="AE817" s="81"/>
      <c r="AF817" s="81">
        <v>1</v>
      </c>
      <c r="AG817" s="81">
        <v>1</v>
      </c>
      <c r="AH817" s="78"/>
      <c r="AI817" s="60"/>
      <c r="AJ817" s="48"/>
      <c r="AK817" s="48"/>
      <c r="AL817" s="48"/>
    </row>
    <row r="818" spans="1:38" outlineLevel="2" x14ac:dyDescent="0.25">
      <c r="A818" s="48"/>
      <c r="B818" s="57"/>
      <c r="C818" s="50">
        <f t="shared" si="129"/>
        <v>3</v>
      </c>
      <c r="D818" s="78"/>
      <c r="E818" s="73"/>
      <c r="F818" s="73" t="s">
        <v>2720</v>
      </c>
      <c r="G818" s="78"/>
      <c r="H818" s="81" t="s">
        <v>2725</v>
      </c>
      <c r="I818" s="101" t="s">
        <v>582</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285" t="s">
        <v>2734</v>
      </c>
      <c r="AE818" s="81"/>
      <c r="AF818" s="81">
        <v>1</v>
      </c>
      <c r="AG818" s="81">
        <v>1</v>
      </c>
      <c r="AH818" s="78"/>
      <c r="AI818" s="60"/>
      <c r="AJ818" s="48"/>
      <c r="AK818" s="48"/>
      <c r="AL818" s="48"/>
    </row>
    <row r="819" spans="1:38" outlineLevel="2" x14ac:dyDescent="0.25">
      <c r="A819" s="48"/>
      <c r="B819" s="57"/>
      <c r="C819" s="50">
        <f t="shared" si="129"/>
        <v>3</v>
      </c>
      <c r="D819" s="78"/>
      <c r="E819" s="73"/>
      <c r="F819" s="73" t="s">
        <v>2721</v>
      </c>
      <c r="G819" s="78"/>
      <c r="H819" s="81" t="s">
        <v>2726</v>
      </c>
      <c r="I819" s="101" t="s">
        <v>582</v>
      </c>
      <c r="J819" s="101"/>
      <c r="K819" s="81"/>
      <c r="L819" s="81"/>
      <c r="M819" s="81"/>
      <c r="N819" s="81"/>
      <c r="O819" s="81"/>
      <c r="P819" s="81"/>
      <c r="Q819" s="81"/>
      <c r="R819" s="81"/>
      <c r="S819" s="81"/>
      <c r="T819" s="81"/>
      <c r="U819" s="102">
        <v>3.6</v>
      </c>
      <c r="V819" s="102">
        <v>5.05</v>
      </c>
      <c r="W819" s="274">
        <f t="shared" ref="W819" si="139">V819</f>
        <v>5.05</v>
      </c>
      <c r="X819" s="274">
        <f t="shared" ref="X819:X821" si="140">Y819</f>
        <v>4.3520000000000003</v>
      </c>
      <c r="Y819" s="102">
        <v>4.3520000000000003</v>
      </c>
      <c r="Z819" s="274">
        <f t="shared" ref="Z819:AA819" si="141">Y819</f>
        <v>4.3520000000000003</v>
      </c>
      <c r="AA819" s="274">
        <f t="shared" si="141"/>
        <v>4.3520000000000003</v>
      </c>
      <c r="AB819" s="274">
        <f t="shared" ref="AB819" si="142">AA819</f>
        <v>4.3520000000000003</v>
      </c>
      <c r="AC819" s="81"/>
      <c r="AD819" s="102" t="s">
        <v>2730</v>
      </c>
      <c r="AE819" s="81"/>
      <c r="AF819" s="81">
        <v>1</v>
      </c>
      <c r="AG819" s="81">
        <v>1</v>
      </c>
      <c r="AH819" s="78"/>
      <c r="AI819" s="60"/>
      <c r="AJ819" s="48"/>
      <c r="AK819" s="48"/>
      <c r="AL819" s="48"/>
    </row>
    <row r="820" spans="1:38" outlineLevel="2" x14ac:dyDescent="0.25">
      <c r="A820" s="48"/>
      <c r="B820" s="57"/>
      <c r="C820" s="50">
        <f t="shared" si="129"/>
        <v>3</v>
      </c>
      <c r="D820" s="78"/>
      <c r="E820" s="73"/>
      <c r="F820" s="73" t="s">
        <v>2722</v>
      </c>
      <c r="G820" s="78"/>
      <c r="H820" s="81" t="s">
        <v>2727</v>
      </c>
      <c r="I820" s="101" t="s">
        <v>582</v>
      </c>
      <c r="J820" s="101"/>
      <c r="K820" s="81"/>
      <c r="L820" s="81"/>
      <c r="M820" s="81"/>
      <c r="N820" s="81"/>
      <c r="O820" s="81"/>
      <c r="P820" s="81"/>
      <c r="Q820" s="81"/>
      <c r="R820" s="81"/>
      <c r="S820" s="81"/>
      <c r="T820" s="81"/>
      <c r="U820" s="102">
        <v>8</v>
      </c>
      <c r="V820" s="102">
        <v>9</v>
      </c>
      <c r="W820" s="274">
        <f t="shared" ref="W820" si="143">V820</f>
        <v>9</v>
      </c>
      <c r="X820" s="274">
        <f t="shared" si="140"/>
        <v>8.5020000000000007</v>
      </c>
      <c r="Y820" s="102">
        <v>8.5020000000000007</v>
      </c>
      <c r="Z820" s="274">
        <f t="shared" ref="Z820:AB820" si="144">Y820</f>
        <v>8.5020000000000007</v>
      </c>
      <c r="AA820" s="274">
        <f t="shared" si="144"/>
        <v>8.5020000000000007</v>
      </c>
      <c r="AB820" s="274">
        <f t="shared" si="144"/>
        <v>8.5020000000000007</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2723</v>
      </c>
      <c r="G821" s="78"/>
      <c r="H821" s="81" t="s">
        <v>2728</v>
      </c>
      <c r="I821" s="101" t="s">
        <v>582</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285" t="s">
        <v>2733</v>
      </c>
      <c r="AE821" s="81"/>
      <c r="AF821" s="81">
        <v>1</v>
      </c>
      <c r="AG821" s="81">
        <v>1</v>
      </c>
      <c r="AH821" s="78"/>
      <c r="AI821" s="60"/>
      <c r="AJ821" s="48"/>
      <c r="AK821" s="48"/>
      <c r="AL821" s="48"/>
    </row>
    <row r="822" spans="1:38" outlineLevel="1" x14ac:dyDescent="0.25">
      <c r="A822" s="48"/>
      <c r="B822" s="57"/>
      <c r="C822" s="50">
        <f>INT($C$40)+1</f>
        <v>2</v>
      </c>
      <c r="D822" s="78"/>
      <c r="E822" s="73"/>
      <c r="F822" s="286" t="s">
        <v>1776</v>
      </c>
      <c r="G822" s="78"/>
      <c r="H822" s="265" t="s">
        <v>1777</v>
      </c>
      <c r="I822" s="142"/>
      <c r="J822" s="142" t="s">
        <v>1140</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876</v>
      </c>
      <c r="F823" s="73" t="s">
        <v>1778</v>
      </c>
      <c r="G823" s="78"/>
      <c r="H823" s="81" t="s">
        <v>1779</v>
      </c>
      <c r="I823" s="101" t="s">
        <v>750</v>
      </c>
      <c r="J823" s="101"/>
      <c r="K823" s="81"/>
      <c r="L823" s="81"/>
      <c r="M823" s="81"/>
      <c r="N823" s="81"/>
      <c r="O823" s="81"/>
      <c r="P823" s="81"/>
      <c r="Q823" s="81"/>
      <c r="R823" s="81" t="s">
        <v>757</v>
      </c>
      <c r="S823" s="81" t="s">
        <v>881</v>
      </c>
      <c r="T823" s="81"/>
      <c r="U823" s="81">
        <v>0</v>
      </c>
      <c r="V823" s="81">
        <v>0</v>
      </c>
      <c r="W823" s="81">
        <v>0</v>
      </c>
      <c r="X823" s="81">
        <v>0</v>
      </c>
      <c r="Y823" s="81">
        <v>0</v>
      </c>
      <c r="Z823" s="81">
        <v>0</v>
      </c>
      <c r="AA823" s="81">
        <v>0</v>
      </c>
      <c r="AB823" s="81">
        <v>0</v>
      </c>
      <c r="AC823" s="81"/>
      <c r="AD823" s="285" t="s">
        <v>1780</v>
      </c>
      <c r="AE823" s="81"/>
      <c r="AF823" s="81">
        <v>1</v>
      </c>
      <c r="AG823" s="81">
        <v>1</v>
      </c>
      <c r="AH823" s="78"/>
      <c r="AI823" s="60"/>
      <c r="AJ823" s="48"/>
      <c r="AK823" s="48"/>
      <c r="AL823" s="48"/>
    </row>
    <row r="824" spans="1:38" outlineLevel="2" x14ac:dyDescent="0.25">
      <c r="A824" s="48"/>
      <c r="B824" s="57"/>
      <c r="C824" s="50">
        <f>INT($C$40)+2</f>
        <v>3</v>
      </c>
      <c r="D824" s="78"/>
      <c r="E824" s="73"/>
      <c r="F824" s="73" t="s">
        <v>1781</v>
      </c>
      <c r="G824" s="78"/>
      <c r="H824" s="81" t="s">
        <v>1782</v>
      </c>
      <c r="I824" s="101" t="s">
        <v>750</v>
      </c>
      <c r="J824" s="101"/>
      <c r="K824" s="102">
        <v>0.38900000000000001</v>
      </c>
      <c r="L824" s="102">
        <v>0.48599999999999999</v>
      </c>
      <c r="M824" s="102">
        <v>0.375</v>
      </c>
      <c r="N824" s="102">
        <v>0.375</v>
      </c>
      <c r="O824" s="102">
        <v>0.375</v>
      </c>
      <c r="P824" s="102">
        <v>0.5</v>
      </c>
      <c r="Q824" s="81"/>
      <c r="R824" s="81" t="s">
        <v>757</v>
      </c>
      <c r="S824" s="81" t="s">
        <v>881</v>
      </c>
      <c r="T824" s="81"/>
      <c r="U824" s="272">
        <f t="shared" ref="U824:AB826" si="147">INDEX($K824:$Q824,1,U$54)</f>
        <v>0.38900000000000001</v>
      </c>
      <c r="V824" s="272">
        <f t="shared" si="147"/>
        <v>0.38900000000000001</v>
      </c>
      <c r="W824" s="272">
        <f t="shared" si="147"/>
        <v>0.38900000000000001</v>
      </c>
      <c r="X824" s="272">
        <f t="shared" si="147"/>
        <v>0.48599999999999999</v>
      </c>
      <c r="Y824" s="272">
        <f t="shared" si="147"/>
        <v>0.48599999999999999</v>
      </c>
      <c r="Z824" s="272">
        <f t="shared" si="147"/>
        <v>0.48599999999999999</v>
      </c>
      <c r="AA824" s="272">
        <f t="shared" si="147"/>
        <v>0.48599999999999999</v>
      </c>
      <c r="AB824" s="27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1778</v>
      </c>
      <c r="G825" s="78"/>
      <c r="H825" s="81" t="s">
        <v>1783</v>
      </c>
      <c r="I825" s="101" t="s">
        <v>750</v>
      </c>
      <c r="J825" s="101"/>
      <c r="K825" s="102">
        <v>0.622</v>
      </c>
      <c r="L825" s="102">
        <v>0.77800000000000002</v>
      </c>
      <c r="M825" s="81"/>
      <c r="N825" s="81"/>
      <c r="O825" s="81"/>
      <c r="P825" s="81"/>
      <c r="Q825" s="81"/>
      <c r="R825" s="81" t="s">
        <v>757</v>
      </c>
      <c r="S825" s="81" t="s">
        <v>881</v>
      </c>
      <c r="T825" s="81"/>
      <c r="U825" s="272">
        <f t="shared" si="147"/>
        <v>0.622</v>
      </c>
      <c r="V825" s="272">
        <f t="shared" si="147"/>
        <v>0.622</v>
      </c>
      <c r="W825" s="272">
        <f t="shared" si="147"/>
        <v>0.622</v>
      </c>
      <c r="X825" s="272">
        <f t="shared" si="147"/>
        <v>0.77800000000000002</v>
      </c>
      <c r="Y825" s="272">
        <f t="shared" si="147"/>
        <v>0.77800000000000002</v>
      </c>
      <c r="Z825" s="272">
        <f t="shared" si="147"/>
        <v>0.77800000000000002</v>
      </c>
      <c r="AA825" s="272">
        <f t="shared" si="147"/>
        <v>0.77800000000000002</v>
      </c>
      <c r="AB825" s="27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1784</v>
      </c>
      <c r="G826" s="78"/>
      <c r="H826" s="81" t="s">
        <v>1785</v>
      </c>
      <c r="I826" s="101" t="s">
        <v>750</v>
      </c>
      <c r="J826" s="101"/>
      <c r="K826" s="102">
        <v>0.746</v>
      </c>
      <c r="L826" s="102">
        <v>0.93400000000000005</v>
      </c>
      <c r="M826" s="81"/>
      <c r="N826" s="81"/>
      <c r="O826" s="81"/>
      <c r="P826" s="81"/>
      <c r="Q826" s="81"/>
      <c r="R826" s="81" t="s">
        <v>757</v>
      </c>
      <c r="S826" s="81" t="s">
        <v>881</v>
      </c>
      <c r="T826" s="81"/>
      <c r="U826" s="272">
        <f t="shared" si="147"/>
        <v>0.746</v>
      </c>
      <c r="V826" s="272">
        <f t="shared" si="147"/>
        <v>0.746</v>
      </c>
      <c r="W826" s="272">
        <f t="shared" si="147"/>
        <v>0.746</v>
      </c>
      <c r="X826" s="272">
        <f t="shared" si="147"/>
        <v>0.93400000000000005</v>
      </c>
      <c r="Y826" s="272">
        <f t="shared" si="147"/>
        <v>0.93400000000000005</v>
      </c>
      <c r="Z826" s="272">
        <f t="shared" si="147"/>
        <v>0.93400000000000005</v>
      </c>
      <c r="AA826" s="272">
        <f t="shared" si="147"/>
        <v>0.93400000000000005</v>
      </c>
      <c r="AB826" s="27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1786</v>
      </c>
      <c r="G827" s="78"/>
      <c r="H827" s="81" t="s">
        <v>1636</v>
      </c>
      <c r="I827" s="101" t="s">
        <v>582</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1787</v>
      </c>
      <c r="G828" s="78"/>
      <c r="H828" s="81" t="s">
        <v>1638</v>
      </c>
      <c r="I828" s="101" t="s">
        <v>582</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1788</v>
      </c>
      <c r="G829" s="78"/>
      <c r="H829" s="81" t="s">
        <v>1640</v>
      </c>
      <c r="I829" s="101" t="s">
        <v>582</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1789</v>
      </c>
      <c r="G830" s="78"/>
      <c r="H830" s="81" t="s">
        <v>1642</v>
      </c>
      <c r="I830" s="101" t="s">
        <v>582</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1790</v>
      </c>
      <c r="G831" s="78"/>
      <c r="H831" s="81" t="s">
        <v>1636</v>
      </c>
      <c r="I831" s="101" t="s">
        <v>582</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1791</v>
      </c>
      <c r="G832" s="78"/>
      <c r="H832" s="81" t="s">
        <v>1638</v>
      </c>
      <c r="I832" s="101" t="s">
        <v>582</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1792</v>
      </c>
      <c r="G833" s="78"/>
      <c r="H833" s="81" t="s">
        <v>1640</v>
      </c>
      <c r="I833" s="101" t="s">
        <v>582</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1793</v>
      </c>
      <c r="G834" s="78"/>
      <c r="H834" s="81" t="s">
        <v>1642</v>
      </c>
      <c r="I834" s="101" t="s">
        <v>582</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1794</v>
      </c>
      <c r="G835" s="78"/>
      <c r="H835" s="81" t="s">
        <v>1636</v>
      </c>
      <c r="I835" s="101" t="s">
        <v>582</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1795</v>
      </c>
      <c r="G836" s="78"/>
      <c r="H836" s="81" t="s">
        <v>1638</v>
      </c>
      <c r="I836" s="101" t="s">
        <v>582</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1796</v>
      </c>
      <c r="G837" s="78"/>
      <c r="H837" s="81" t="s">
        <v>1640</v>
      </c>
      <c r="I837" s="101" t="s">
        <v>582</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1797</v>
      </c>
      <c r="G838" s="78"/>
      <c r="H838" s="81" t="s">
        <v>1642</v>
      </c>
      <c r="I838" s="101" t="s">
        <v>582</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1798</v>
      </c>
      <c r="G839" s="78"/>
      <c r="H839" s="81" t="s">
        <v>1636</v>
      </c>
      <c r="I839" s="101" t="s">
        <v>582</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1799</v>
      </c>
      <c r="G840" s="78"/>
      <c r="H840" s="81" t="s">
        <v>1638</v>
      </c>
      <c r="I840" s="101" t="s">
        <v>582</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1800</v>
      </c>
      <c r="G841" s="78"/>
      <c r="H841" s="81" t="s">
        <v>1640</v>
      </c>
      <c r="I841" s="101" t="s">
        <v>582</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1801</v>
      </c>
      <c r="G842" s="78"/>
      <c r="H842" s="81" t="s">
        <v>1642</v>
      </c>
      <c r="I842" s="101" t="s">
        <v>582</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1802</v>
      </c>
      <c r="G843" s="78"/>
      <c r="H843" s="81" t="s">
        <v>1636</v>
      </c>
      <c r="I843" s="101" t="s">
        <v>582</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1803</v>
      </c>
      <c r="G844" s="78"/>
      <c r="H844" s="81" t="s">
        <v>1638</v>
      </c>
      <c r="I844" s="101" t="s">
        <v>582</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1804</v>
      </c>
      <c r="G845" s="78"/>
      <c r="H845" s="81" t="s">
        <v>1640</v>
      </c>
      <c r="I845" s="101" t="s">
        <v>582</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1805</v>
      </c>
      <c r="G846" s="78"/>
      <c r="H846" s="81" t="s">
        <v>1642</v>
      </c>
      <c r="I846" s="101" t="s">
        <v>582</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1806</v>
      </c>
      <c r="G847" s="78"/>
      <c r="H847" s="81" t="s">
        <v>1636</v>
      </c>
      <c r="I847" s="101" t="s">
        <v>582</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1807</v>
      </c>
      <c r="G848" s="78"/>
      <c r="H848" s="81" t="s">
        <v>1638</v>
      </c>
      <c r="I848" s="101" t="s">
        <v>582</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1808</v>
      </c>
      <c r="G849" s="78"/>
      <c r="H849" s="81" t="s">
        <v>1640</v>
      </c>
      <c r="I849" s="101" t="s">
        <v>582</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1809</v>
      </c>
      <c r="G850" s="78"/>
      <c r="H850" s="81" t="s">
        <v>1642</v>
      </c>
      <c r="I850" s="101" t="s">
        <v>582</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1810</v>
      </c>
      <c r="G851" s="78"/>
      <c r="H851" s="81" t="s">
        <v>1636</v>
      </c>
      <c r="I851" s="101" t="s">
        <v>582</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1811</v>
      </c>
      <c r="G852" s="78"/>
      <c r="H852" s="81" t="s">
        <v>1638</v>
      </c>
      <c r="I852" s="101" t="s">
        <v>582</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1812</v>
      </c>
      <c r="G853" s="78"/>
      <c r="H853" s="81" t="s">
        <v>1640</v>
      </c>
      <c r="I853" s="101" t="s">
        <v>582</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1813</v>
      </c>
      <c r="G854" s="78"/>
      <c r="H854" s="81" t="s">
        <v>1642</v>
      </c>
      <c r="I854" s="101" t="s">
        <v>582</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1814</v>
      </c>
      <c r="G855" s="78"/>
      <c r="H855" s="81" t="s">
        <v>1636</v>
      </c>
      <c r="I855" s="101" t="s">
        <v>582</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1815</v>
      </c>
      <c r="G856" s="78"/>
      <c r="H856" s="81" t="s">
        <v>1638</v>
      </c>
      <c r="I856" s="101" t="s">
        <v>582</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1816</v>
      </c>
      <c r="G857" s="78"/>
      <c r="H857" s="81" t="s">
        <v>1640</v>
      </c>
      <c r="I857" s="101" t="s">
        <v>582</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1817</v>
      </c>
      <c r="G858" s="78"/>
      <c r="H858" s="81" t="s">
        <v>1642</v>
      </c>
      <c r="I858" s="101" t="s">
        <v>582</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1818</v>
      </c>
      <c r="G859" s="78"/>
      <c r="H859" s="81" t="s">
        <v>1636</v>
      </c>
      <c r="I859" s="101" t="s">
        <v>582</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1819</v>
      </c>
      <c r="G860" s="78"/>
      <c r="H860" s="81" t="s">
        <v>1638</v>
      </c>
      <c r="I860" s="101" t="s">
        <v>582</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1820</v>
      </c>
      <c r="G861" s="78"/>
      <c r="H861" s="81" t="s">
        <v>1640</v>
      </c>
      <c r="I861" s="101" t="s">
        <v>582</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1821</v>
      </c>
      <c r="G862" s="78"/>
      <c r="H862" s="81" t="s">
        <v>1642</v>
      </c>
      <c r="I862" s="101" t="s">
        <v>582</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1822</v>
      </c>
      <c r="G863" s="78"/>
      <c r="H863" s="81" t="s">
        <v>1636</v>
      </c>
      <c r="I863" s="101" t="s">
        <v>582</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1823</v>
      </c>
      <c r="G864" s="78"/>
      <c r="H864" s="81" t="s">
        <v>1638</v>
      </c>
      <c r="I864" s="101" t="s">
        <v>582</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1824</v>
      </c>
      <c r="G865" s="78"/>
      <c r="H865" s="81" t="s">
        <v>1640</v>
      </c>
      <c r="I865" s="101" t="s">
        <v>582</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1825</v>
      </c>
      <c r="G866" s="78"/>
      <c r="H866" s="81" t="s">
        <v>1642</v>
      </c>
      <c r="I866" s="101" t="s">
        <v>582</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1826</v>
      </c>
      <c r="G867" s="78"/>
      <c r="H867" s="81" t="s">
        <v>1636</v>
      </c>
      <c r="I867" s="101" t="s">
        <v>582</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1827</v>
      </c>
      <c r="G868" s="78"/>
      <c r="H868" s="81" t="s">
        <v>1638</v>
      </c>
      <c r="I868" s="101" t="s">
        <v>582</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1828</v>
      </c>
      <c r="G869" s="78"/>
      <c r="H869" s="81" t="s">
        <v>1640</v>
      </c>
      <c r="I869" s="101" t="s">
        <v>582</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1829</v>
      </c>
      <c r="G870" s="78"/>
      <c r="H870" s="81" t="s">
        <v>1642</v>
      </c>
      <c r="I870" s="101" t="s">
        <v>582</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1830</v>
      </c>
      <c r="G871" s="78"/>
      <c r="H871" s="81" t="s">
        <v>1726</v>
      </c>
      <c r="I871" s="101" t="s">
        <v>582</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1831</v>
      </c>
      <c r="G872" s="78"/>
      <c r="H872" s="81" t="s">
        <v>1638</v>
      </c>
      <c r="I872" s="101" t="s">
        <v>582</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1832</v>
      </c>
      <c r="G873" s="78"/>
      <c r="H873" s="81" t="s">
        <v>1640</v>
      </c>
      <c r="I873" s="101" t="s">
        <v>582</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1833</v>
      </c>
      <c r="G874" s="78"/>
      <c r="H874" s="81" t="s">
        <v>1642</v>
      </c>
      <c r="I874" s="101" t="s">
        <v>582</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1834</v>
      </c>
      <c r="G875" s="78"/>
      <c r="H875" s="81" t="s">
        <v>1731</v>
      </c>
      <c r="I875" s="101" t="s">
        <v>582</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1835</v>
      </c>
      <c r="G876" s="78"/>
      <c r="H876" s="81" t="s">
        <v>1638</v>
      </c>
      <c r="I876" s="101" t="s">
        <v>582</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1836</v>
      </c>
      <c r="G877" s="78"/>
      <c r="H877" s="81" t="s">
        <v>1640</v>
      </c>
      <c r="I877" s="101" t="s">
        <v>582</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1837</v>
      </c>
      <c r="G878" s="78"/>
      <c r="H878" s="81" t="s">
        <v>1642</v>
      </c>
      <c r="I878" s="101" t="s">
        <v>582</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1838</v>
      </c>
      <c r="G879" s="78"/>
      <c r="H879" s="81" t="s">
        <v>1636</v>
      </c>
      <c r="I879" s="101" t="s">
        <v>582</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1839</v>
      </c>
      <c r="G880" s="78"/>
      <c r="H880" s="81" t="s">
        <v>1638</v>
      </c>
      <c r="I880" s="101" t="s">
        <v>582</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1840</v>
      </c>
      <c r="G881" s="78"/>
      <c r="H881" s="81" t="s">
        <v>1640</v>
      </c>
      <c r="I881" s="101" t="s">
        <v>582</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1841</v>
      </c>
      <c r="G882" s="78"/>
      <c r="H882" s="81" t="s">
        <v>1642</v>
      </c>
      <c r="I882" s="101" t="s">
        <v>582</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1842</v>
      </c>
      <c r="G883" s="78"/>
      <c r="H883" s="81" t="s">
        <v>1636</v>
      </c>
      <c r="I883" s="101" t="s">
        <v>582</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1843</v>
      </c>
      <c r="G884" s="78"/>
      <c r="H884" s="81" t="s">
        <v>1638</v>
      </c>
      <c r="I884" s="101" t="s">
        <v>582</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1844</v>
      </c>
      <c r="G885" s="78"/>
      <c r="H885" s="81" t="s">
        <v>1640</v>
      </c>
      <c r="I885" s="101" t="s">
        <v>582</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1845</v>
      </c>
      <c r="G886" s="78"/>
      <c r="H886" s="81" t="s">
        <v>1642</v>
      </c>
      <c r="I886" s="101" t="s">
        <v>582</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1846</v>
      </c>
      <c r="G887" s="78"/>
      <c r="H887" s="81" t="s">
        <v>1636</v>
      </c>
      <c r="I887" s="101" t="s">
        <v>582</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1847</v>
      </c>
      <c r="G888" s="78"/>
      <c r="H888" s="81" t="s">
        <v>1638</v>
      </c>
      <c r="I888" s="101" t="s">
        <v>582</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1848</v>
      </c>
      <c r="G889" s="78"/>
      <c r="H889" s="81" t="s">
        <v>1640</v>
      </c>
      <c r="I889" s="101" t="s">
        <v>582</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1849</v>
      </c>
      <c r="G890" s="78"/>
      <c r="H890" s="81" t="s">
        <v>1642</v>
      </c>
      <c r="I890" s="101" t="s">
        <v>582</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1850</v>
      </c>
      <c r="G891" s="78"/>
      <c r="H891" s="81" t="s">
        <v>1760</v>
      </c>
      <c r="I891" s="101" t="s">
        <v>582</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1851</v>
      </c>
      <c r="G892" s="78"/>
      <c r="H892" s="81" t="s">
        <v>1638</v>
      </c>
      <c r="I892" s="101" t="s">
        <v>582</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1852</v>
      </c>
      <c r="G893" s="78"/>
      <c r="H893" s="81" t="s">
        <v>1640</v>
      </c>
      <c r="I893" s="101" t="s">
        <v>582</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1853</v>
      </c>
      <c r="G894" s="78"/>
      <c r="H894" s="81" t="s">
        <v>1642</v>
      </c>
      <c r="I894" s="101" t="s">
        <v>582</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1854</v>
      </c>
      <c r="G895" s="78"/>
      <c r="H895" s="81" t="s">
        <v>1765</v>
      </c>
      <c r="I895" s="101" t="s">
        <v>582</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1855</v>
      </c>
      <c r="G896" s="78"/>
      <c r="H896" s="81" t="s">
        <v>1767</v>
      </c>
      <c r="I896" s="101" t="s">
        <v>582</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1856</v>
      </c>
      <c r="G897" s="78"/>
      <c r="H897" s="81" t="s">
        <v>1769</v>
      </c>
      <c r="I897" s="101" t="s">
        <v>582</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1857</v>
      </c>
      <c r="G898" s="78"/>
      <c r="H898" s="81" t="s">
        <v>1771</v>
      </c>
      <c r="I898" s="101" t="s">
        <v>582</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1858</v>
      </c>
      <c r="F899" s="73" t="s">
        <v>1859</v>
      </c>
      <c r="G899" s="78"/>
      <c r="H899" s="81" t="s">
        <v>1860</v>
      </c>
      <c r="I899" s="101" t="s">
        <v>582</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285" t="s">
        <v>1861</v>
      </c>
      <c r="AE899" s="81"/>
      <c r="AF899" s="81">
        <v>1</v>
      </c>
      <c r="AG899" s="81">
        <v>1</v>
      </c>
      <c r="AH899" s="78"/>
      <c r="AI899" s="60"/>
      <c r="AJ899" s="48"/>
      <c r="AK899" s="48"/>
      <c r="AL899" s="48"/>
    </row>
    <row r="900" spans="1:38" outlineLevel="2" x14ac:dyDescent="0.25">
      <c r="A900" s="48"/>
      <c r="B900" s="57"/>
      <c r="C900" s="50">
        <f>INT($C$40)+2</f>
        <v>3</v>
      </c>
      <c r="D900" s="78"/>
      <c r="E900" s="73"/>
      <c r="F900" s="73" t="s">
        <v>1862</v>
      </c>
      <c r="G900" s="78"/>
      <c r="H900" s="81" t="s">
        <v>1863</v>
      </c>
      <c r="I900" s="101" t="s">
        <v>582</v>
      </c>
      <c r="J900" s="101"/>
      <c r="K900" s="102">
        <v>0.52400000000000002</v>
      </c>
      <c r="L900" s="102">
        <v>0.65500000000000003</v>
      </c>
      <c r="M900" s="102">
        <v>0.41599999999999998</v>
      </c>
      <c r="N900" s="102">
        <v>0.41599999999999998</v>
      </c>
      <c r="O900" s="102">
        <v>0.41599999999999998</v>
      </c>
      <c r="P900" s="102">
        <v>0.57699999999999996</v>
      </c>
      <c r="Q900" s="81"/>
      <c r="R900" s="81" t="s">
        <v>631</v>
      </c>
      <c r="S900" s="81" t="s">
        <v>631</v>
      </c>
      <c r="T900" s="81"/>
      <c r="U900" s="272">
        <f t="shared" ref="U900:AB902" si="150">INDEX($K900:$Q900,1,U$54)</f>
        <v>0.52400000000000002</v>
      </c>
      <c r="V900" s="272">
        <f t="shared" si="150"/>
        <v>0.52400000000000002</v>
      </c>
      <c r="W900" s="272">
        <f t="shared" si="150"/>
        <v>0.52400000000000002</v>
      </c>
      <c r="X900" s="272">
        <f t="shared" si="150"/>
        <v>0.65500000000000003</v>
      </c>
      <c r="Y900" s="272">
        <f t="shared" si="150"/>
        <v>0.65500000000000003</v>
      </c>
      <c r="Z900" s="272">
        <f t="shared" si="150"/>
        <v>0.65500000000000003</v>
      </c>
      <c r="AA900" s="272">
        <f t="shared" si="150"/>
        <v>0.65500000000000003</v>
      </c>
      <c r="AB900" s="27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1864</v>
      </c>
      <c r="G901" s="78"/>
      <c r="H901" s="81" t="s">
        <v>1865</v>
      </c>
      <c r="I901" s="101" t="s">
        <v>582</v>
      </c>
      <c r="J901" s="101"/>
      <c r="K901" s="102">
        <v>0.70699999999999996</v>
      </c>
      <c r="L901" s="102">
        <v>0.88400000000000001</v>
      </c>
      <c r="M901" s="81"/>
      <c r="N901" s="81"/>
      <c r="O901" s="81"/>
      <c r="P901" s="81"/>
      <c r="Q901" s="81"/>
      <c r="R901" s="81" t="s">
        <v>631</v>
      </c>
      <c r="S901" s="81"/>
      <c r="T901" s="81"/>
      <c r="U901" s="272">
        <f t="shared" si="150"/>
        <v>0.70699999999999996</v>
      </c>
      <c r="V901" s="272">
        <f t="shared" si="150"/>
        <v>0.70699999999999996</v>
      </c>
      <c r="W901" s="272">
        <f t="shared" si="150"/>
        <v>0.70699999999999996</v>
      </c>
      <c r="X901" s="272">
        <f t="shared" si="150"/>
        <v>0.88400000000000001</v>
      </c>
      <c r="Y901" s="272">
        <f t="shared" si="150"/>
        <v>0.88400000000000001</v>
      </c>
      <c r="Z901" s="272">
        <f t="shared" si="150"/>
        <v>0.88400000000000001</v>
      </c>
      <c r="AA901" s="272">
        <f t="shared" si="150"/>
        <v>0.88400000000000001</v>
      </c>
      <c r="AB901" s="27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1866</v>
      </c>
      <c r="G902" s="78"/>
      <c r="H902" s="81" t="s">
        <v>1867</v>
      </c>
      <c r="I902" s="101" t="s">
        <v>582</v>
      </c>
      <c r="J902" s="101"/>
      <c r="K902" s="102">
        <v>0.89100000000000001</v>
      </c>
      <c r="L902" s="102">
        <v>1.1140000000000001</v>
      </c>
      <c r="M902" s="81"/>
      <c r="N902" s="81"/>
      <c r="O902" s="81"/>
      <c r="P902" s="81"/>
      <c r="Q902" s="81"/>
      <c r="R902" s="81" t="s">
        <v>631</v>
      </c>
      <c r="S902" s="81"/>
      <c r="T902" s="81"/>
      <c r="U902" s="272">
        <f t="shared" si="150"/>
        <v>0.89100000000000001</v>
      </c>
      <c r="V902" s="272">
        <f t="shared" si="150"/>
        <v>0.89100000000000001</v>
      </c>
      <c r="W902" s="272">
        <f t="shared" si="150"/>
        <v>0.89100000000000001</v>
      </c>
      <c r="X902" s="272">
        <f t="shared" si="150"/>
        <v>1.1140000000000001</v>
      </c>
      <c r="Y902" s="272">
        <f t="shared" si="150"/>
        <v>1.1140000000000001</v>
      </c>
      <c r="Z902" s="272">
        <f t="shared" si="150"/>
        <v>1.1140000000000001</v>
      </c>
      <c r="AA902" s="272">
        <f t="shared" si="150"/>
        <v>1.1140000000000001</v>
      </c>
      <c r="AB902" s="27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2736</v>
      </c>
      <c r="G903" s="78"/>
      <c r="H903" s="81" t="s">
        <v>1636</v>
      </c>
      <c r="I903" s="101" t="s">
        <v>582</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2737</v>
      </c>
      <c r="G904" s="78"/>
      <c r="H904" s="81" t="s">
        <v>1638</v>
      </c>
      <c r="I904" s="101" t="s">
        <v>582</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2738</v>
      </c>
      <c r="G905" s="78"/>
      <c r="H905" s="81" t="s">
        <v>1640</v>
      </c>
      <c r="I905" s="101" t="s">
        <v>582</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2739</v>
      </c>
      <c r="G906" s="78"/>
      <c r="H906" s="81" t="s">
        <v>1642</v>
      </c>
      <c r="I906" s="101" t="s">
        <v>582</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2740</v>
      </c>
      <c r="G907" s="78"/>
      <c r="H907" s="81" t="s">
        <v>1636</v>
      </c>
      <c r="I907" s="101" t="s">
        <v>582</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2741</v>
      </c>
      <c r="G908" s="78"/>
      <c r="H908" s="81" t="s">
        <v>1638</v>
      </c>
      <c r="I908" s="101" t="s">
        <v>582</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2742</v>
      </c>
      <c r="G909" s="78"/>
      <c r="H909" s="81" t="s">
        <v>1640</v>
      </c>
      <c r="I909" s="101" t="s">
        <v>582</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2743</v>
      </c>
      <c r="G910" s="78"/>
      <c r="H910" s="81" t="s">
        <v>1642</v>
      </c>
      <c r="I910" s="101" t="s">
        <v>582</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2744</v>
      </c>
      <c r="G911" s="78"/>
      <c r="H911" s="81" t="s">
        <v>1636</v>
      </c>
      <c r="I911" s="101" t="s">
        <v>582</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2745</v>
      </c>
      <c r="G912" s="78"/>
      <c r="H912" s="81" t="s">
        <v>1638</v>
      </c>
      <c r="I912" s="101" t="s">
        <v>582</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2746</v>
      </c>
      <c r="G913" s="78"/>
      <c r="H913" s="81" t="s">
        <v>1640</v>
      </c>
      <c r="I913" s="101" t="s">
        <v>582</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2747</v>
      </c>
      <c r="G914" s="78"/>
      <c r="H914" s="81" t="s">
        <v>1642</v>
      </c>
      <c r="I914" s="101" t="s">
        <v>582</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2748</v>
      </c>
      <c r="G915" s="78"/>
      <c r="H915" s="81" t="s">
        <v>1636</v>
      </c>
      <c r="I915" s="101" t="s">
        <v>582</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2749</v>
      </c>
      <c r="G916" s="78"/>
      <c r="H916" s="81" t="s">
        <v>1638</v>
      </c>
      <c r="I916" s="101" t="s">
        <v>582</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2750</v>
      </c>
      <c r="G917" s="78"/>
      <c r="H917" s="81" t="s">
        <v>1640</v>
      </c>
      <c r="I917" s="101" t="s">
        <v>582</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2751</v>
      </c>
      <c r="G918" s="78"/>
      <c r="H918" s="81" t="s">
        <v>1642</v>
      </c>
      <c r="I918" s="101" t="s">
        <v>582</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2752</v>
      </c>
      <c r="G919" s="78"/>
      <c r="H919" s="81" t="s">
        <v>1636</v>
      </c>
      <c r="I919" s="101" t="s">
        <v>582</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2753</v>
      </c>
      <c r="G920" s="78"/>
      <c r="H920" s="81" t="s">
        <v>1638</v>
      </c>
      <c r="I920" s="101" t="s">
        <v>582</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2754</v>
      </c>
      <c r="G921" s="78"/>
      <c r="H921" s="81" t="s">
        <v>1640</v>
      </c>
      <c r="I921" s="101" t="s">
        <v>582</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2755</v>
      </c>
      <c r="G922" s="78"/>
      <c r="H922" s="81" t="s">
        <v>1642</v>
      </c>
      <c r="I922" s="101" t="s">
        <v>582</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2756</v>
      </c>
      <c r="G923" s="78"/>
      <c r="H923" s="81" t="s">
        <v>1636</v>
      </c>
      <c r="I923" s="101" t="s">
        <v>582</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2757</v>
      </c>
      <c r="G924" s="78"/>
      <c r="H924" s="81" t="s">
        <v>1638</v>
      </c>
      <c r="I924" s="101" t="s">
        <v>582</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2758</v>
      </c>
      <c r="G925" s="78"/>
      <c r="H925" s="81" t="s">
        <v>1640</v>
      </c>
      <c r="I925" s="101" t="s">
        <v>582</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2759</v>
      </c>
      <c r="G926" s="78"/>
      <c r="H926" s="81" t="s">
        <v>1642</v>
      </c>
      <c r="I926" s="101" t="s">
        <v>582</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286" t="s">
        <v>1868</v>
      </c>
      <c r="G927" s="78"/>
      <c r="H927" s="265" t="s">
        <v>1869</v>
      </c>
      <c r="I927" s="101"/>
      <c r="J927" s="101" t="s">
        <v>600</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1870</v>
      </c>
      <c r="F928" s="73" t="s">
        <v>1871</v>
      </c>
      <c r="G928" s="78"/>
      <c r="H928" s="81" t="s">
        <v>1872</v>
      </c>
      <c r="I928" s="81"/>
      <c r="J928" s="81"/>
      <c r="K928" s="102">
        <v>0.99704199999999998</v>
      </c>
      <c r="L928" s="102">
        <v>0.99704199999999998</v>
      </c>
      <c r="M928" s="81"/>
      <c r="N928" s="81"/>
      <c r="O928" s="81"/>
      <c r="P928" s="81"/>
      <c r="Q928" s="81"/>
      <c r="R928" s="81"/>
      <c r="S928" s="81"/>
      <c r="T928" s="81"/>
      <c r="U928" s="272">
        <f t="shared" ref="U928:AB928" si="152">INDEX($K928:$Q928,1,U$54)</f>
        <v>0.99704199999999998</v>
      </c>
      <c r="V928" s="272">
        <f t="shared" si="152"/>
        <v>0.99704199999999998</v>
      </c>
      <c r="W928" s="272">
        <f t="shared" si="152"/>
        <v>0.99704199999999998</v>
      </c>
      <c r="X928" s="272">
        <f t="shared" si="152"/>
        <v>0.99704199999999998</v>
      </c>
      <c r="Y928" s="272">
        <f t="shared" si="152"/>
        <v>0.99704199999999998</v>
      </c>
      <c r="Z928" s="272">
        <f t="shared" si="152"/>
        <v>0.99704199999999998</v>
      </c>
      <c r="AA928" s="272">
        <f t="shared" si="152"/>
        <v>0.99704199999999998</v>
      </c>
      <c r="AB928" s="27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1873</v>
      </c>
      <c r="G929" s="78"/>
      <c r="H929" s="142" t="s">
        <v>1874</v>
      </c>
      <c r="I929" s="101" t="s">
        <v>1875</v>
      </c>
      <c r="J929" s="101"/>
      <c r="K929" s="81"/>
      <c r="L929" s="81"/>
      <c r="M929" s="81"/>
      <c r="N929" s="81"/>
      <c r="O929" s="81"/>
      <c r="P929" s="81"/>
      <c r="Q929" s="81"/>
      <c r="R929" s="81"/>
      <c r="S929" s="81"/>
      <c r="T929" s="81"/>
      <c r="U929" s="287">
        <v>0.19</v>
      </c>
      <c r="V929" s="287">
        <v>0.19</v>
      </c>
      <c r="W929" s="287">
        <v>0.19</v>
      </c>
      <c r="X929" s="287">
        <v>0.25</v>
      </c>
      <c r="Y929" s="287">
        <v>0.25</v>
      </c>
      <c r="Z929" s="287">
        <v>0.25</v>
      </c>
      <c r="AA929" s="287">
        <v>0.25</v>
      </c>
      <c r="AB929" s="287">
        <v>0.25</v>
      </c>
      <c r="AC929" s="81"/>
      <c r="AD929" s="102" t="s">
        <v>1876</v>
      </c>
      <c r="AE929" s="81"/>
      <c r="AF929" s="102">
        <v>1</v>
      </c>
      <c r="AG929" s="102">
        <v>1</v>
      </c>
      <c r="AH929" s="78"/>
      <c r="AI929" s="60"/>
      <c r="AJ929" s="48"/>
      <c r="AK929" s="48"/>
      <c r="AL929" s="48"/>
    </row>
    <row r="930" spans="1:38" outlineLevel="2" x14ac:dyDescent="0.25">
      <c r="A930" s="48"/>
      <c r="B930" s="57"/>
      <c r="C930" s="50">
        <f>INT($C$40)+2</f>
        <v>3</v>
      </c>
      <c r="D930" s="78"/>
      <c r="E930" s="73"/>
      <c r="F930" s="73" t="s">
        <v>1877</v>
      </c>
      <c r="G930" s="78"/>
      <c r="H930" s="81" t="s">
        <v>1878</v>
      </c>
      <c r="I930" s="81"/>
      <c r="J930" s="81"/>
      <c r="K930" s="81"/>
      <c r="L930" s="81"/>
      <c r="M930" s="81"/>
      <c r="N930" s="81"/>
      <c r="O930" s="81"/>
      <c r="P930" s="81"/>
      <c r="Q930" s="81"/>
      <c r="R930" s="81"/>
      <c r="S930" s="81"/>
      <c r="T930" s="81"/>
      <c r="U930" s="102">
        <v>0.13739999999999999</v>
      </c>
      <c r="V930" s="102">
        <v>0.13739999999999999</v>
      </c>
      <c r="W930" s="102">
        <v>0.13739999999999999</v>
      </c>
      <c r="X930" s="274">
        <f t="shared" ref="X930:AB932" si="153">W930</f>
        <v>0.13739999999999999</v>
      </c>
      <c r="Y930" s="274">
        <f t="shared" si="153"/>
        <v>0.13739999999999999</v>
      </c>
      <c r="Z930" s="274">
        <f t="shared" si="153"/>
        <v>0.13739999999999999</v>
      </c>
      <c r="AA930" s="274">
        <f t="shared" si="153"/>
        <v>0.13739999999999999</v>
      </c>
      <c r="AB930" s="27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1879</v>
      </c>
      <c r="G931" s="78"/>
      <c r="H931" s="81" t="s">
        <v>1880</v>
      </c>
      <c r="I931" s="81"/>
      <c r="J931" s="81"/>
      <c r="K931" s="81"/>
      <c r="L931" s="81"/>
      <c r="M931" s="81"/>
      <c r="N931" s="81"/>
      <c r="O931" s="81"/>
      <c r="P931" s="81"/>
      <c r="Q931" s="81"/>
      <c r="R931" s="81"/>
      <c r="S931" s="81"/>
      <c r="T931" s="81"/>
      <c r="U931" s="102">
        <v>0.16700000000000001</v>
      </c>
      <c r="V931" s="102">
        <v>0.16700000000000001</v>
      </c>
      <c r="W931" s="102">
        <v>0.16700000000000001</v>
      </c>
      <c r="X931" s="274">
        <f t="shared" si="153"/>
        <v>0.16700000000000001</v>
      </c>
      <c r="Y931" s="274">
        <f t="shared" si="153"/>
        <v>0.16700000000000001</v>
      </c>
      <c r="Z931" s="274">
        <f t="shared" si="153"/>
        <v>0.16700000000000001</v>
      </c>
      <c r="AA931" s="274">
        <f t="shared" si="153"/>
        <v>0.16700000000000001</v>
      </c>
      <c r="AB931" s="27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1881</v>
      </c>
      <c r="G932" s="78"/>
      <c r="H932" s="81" t="s">
        <v>1882</v>
      </c>
      <c r="I932" s="81"/>
      <c r="J932" s="81"/>
      <c r="K932" s="81"/>
      <c r="L932" s="81"/>
      <c r="M932" s="81"/>
      <c r="N932" s="81"/>
      <c r="O932" s="81"/>
      <c r="P932" s="81"/>
      <c r="Q932" s="81"/>
      <c r="R932" s="81"/>
      <c r="S932" s="81"/>
      <c r="T932" s="81"/>
      <c r="U932" s="102">
        <v>0.08</v>
      </c>
      <c r="V932" s="102">
        <v>0.08</v>
      </c>
      <c r="W932" s="102">
        <v>0.08</v>
      </c>
      <c r="X932" s="274">
        <f t="shared" si="153"/>
        <v>0.08</v>
      </c>
      <c r="Y932" s="274">
        <f t="shared" si="153"/>
        <v>0.08</v>
      </c>
      <c r="Z932" s="274">
        <f t="shared" si="153"/>
        <v>0.08</v>
      </c>
      <c r="AA932" s="274">
        <f t="shared" si="153"/>
        <v>0.08</v>
      </c>
      <c r="AB932" s="27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286" t="s">
        <v>1868</v>
      </c>
      <c r="G933" s="78"/>
      <c r="H933" s="288" t="s">
        <v>1883</v>
      </c>
      <c r="I933" s="142"/>
      <c r="J933" s="142" t="s">
        <v>1140</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1884</v>
      </c>
      <c r="G934" s="78"/>
      <c r="H934" s="81" t="s">
        <v>1885</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1886</v>
      </c>
      <c r="G935" s="78"/>
      <c r="H935" s="81" t="s">
        <v>1887</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1888</v>
      </c>
      <c r="G936" s="78"/>
      <c r="H936" s="81" t="s">
        <v>1889</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1890</v>
      </c>
      <c r="G937" s="78"/>
      <c r="H937" s="81" t="s">
        <v>1891</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1892</v>
      </c>
      <c r="G938" s="78"/>
      <c r="H938" s="81" t="s">
        <v>1893</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1894</v>
      </c>
      <c r="G939" s="78"/>
      <c r="H939" s="81" t="s">
        <v>1895</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1896</v>
      </c>
      <c r="G940" s="78"/>
      <c r="H940" s="81" t="s">
        <v>1897</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1898</v>
      </c>
      <c r="G941" s="78"/>
      <c r="H941" s="81" t="s">
        <v>1899</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1900</v>
      </c>
      <c r="G942" s="78"/>
      <c r="H942" s="81" t="s">
        <v>685</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1901</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1902</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1903</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1904</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1905</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1906</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1907</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1908</v>
      </c>
      <c r="G950" s="78"/>
      <c r="H950" s="81" t="s">
        <v>685</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1909</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1910</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1911</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1912</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1913</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1914</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1915</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1916</v>
      </c>
      <c r="G958" s="78"/>
      <c r="H958" s="81" t="s">
        <v>685</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1917</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1918</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1919</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1920</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1921</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1922</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1923</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1924</v>
      </c>
      <c r="G966" s="78"/>
      <c r="H966" s="81" t="s">
        <v>685</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1925</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1926</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1927</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1928</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1929</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1930</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1931</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1932</v>
      </c>
      <c r="G974" s="78"/>
      <c r="H974" s="81" t="s">
        <v>685</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1933</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1934</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1935</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1936</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1937</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1938</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1939</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1940</v>
      </c>
      <c r="G982" s="78"/>
      <c r="H982" s="81" t="s">
        <v>685</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1941</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1942</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1943</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1944</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1945</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1946</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1947</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1948</v>
      </c>
      <c r="G990" s="78"/>
      <c r="H990" s="81" t="s">
        <v>685</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1949</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1950</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1951</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1952</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1953</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1954</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1955</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1956</v>
      </c>
      <c r="G998" s="78"/>
      <c r="H998" s="81" t="s">
        <v>685</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1957</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1958</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1959</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1960</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1961</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1962</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1963</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1964</v>
      </c>
      <c r="G1006" s="78"/>
      <c r="H1006" s="81" t="s">
        <v>685</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1965</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1966</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1967</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1968</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1969</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1970</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1971</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1972</v>
      </c>
      <c r="G1014" s="78"/>
      <c r="H1014" s="81" t="s">
        <v>685</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1973</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1974</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1975</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1976</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1977</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1978</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1979</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1980</v>
      </c>
      <c r="G1022" s="78"/>
      <c r="H1022" s="81" t="s">
        <v>685</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1981</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1982</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1983</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1984</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1985</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1986</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1987</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1988</v>
      </c>
      <c r="G1030" s="78"/>
      <c r="H1030" s="81" t="s">
        <v>1989</v>
      </c>
      <c r="I1030" s="101" t="s">
        <v>2329</v>
      </c>
      <c r="J1030" s="101"/>
      <c r="K1030" s="81"/>
      <c r="L1030" s="81"/>
      <c r="M1030" s="81"/>
      <c r="N1030" s="81"/>
      <c r="O1030" s="81"/>
      <c r="P1030" s="81"/>
      <c r="Q1030" s="81"/>
      <c r="R1030" s="81"/>
      <c r="S1030" s="81"/>
      <c r="T1030" s="81"/>
      <c r="U1030" s="102">
        <v>1.2E-2</v>
      </c>
      <c r="V1030" s="102">
        <v>1.2E-2</v>
      </c>
      <c r="W1030" s="102">
        <v>1.2E-2</v>
      </c>
      <c r="X1030" s="274">
        <f>W1030</f>
        <v>1.2E-2</v>
      </c>
      <c r="Y1030" s="274">
        <f>X1030</f>
        <v>1.2E-2</v>
      </c>
      <c r="Z1030" s="274">
        <f>Y1030</f>
        <v>1.2E-2</v>
      </c>
      <c r="AA1030" s="274">
        <f>Z1030</f>
        <v>1.2E-2</v>
      </c>
      <c r="AB1030" s="274">
        <f>AA1030</f>
        <v>1.2E-2</v>
      </c>
      <c r="AC1030" s="81"/>
      <c r="AD1030" s="102" t="s">
        <v>1990</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1991</v>
      </c>
      <c r="G1031" s="78"/>
      <c r="H1031" s="81" t="s">
        <v>1992</v>
      </c>
      <c r="I1031" s="101"/>
      <c r="J1031" s="101"/>
      <c r="K1031" s="81"/>
      <c r="L1031" s="81"/>
      <c r="M1031" s="81"/>
      <c r="N1031" s="81"/>
      <c r="O1031" s="81"/>
      <c r="P1031" s="81"/>
      <c r="Q1031" s="81"/>
      <c r="R1031" s="81"/>
      <c r="S1031" s="81"/>
      <c r="T1031" s="81"/>
      <c r="U1031" s="301">
        <f>U1032</f>
        <v>9.9999999999999985E-3</v>
      </c>
      <c r="V1031" s="272">
        <f t="shared" ref="V1031:AB1031" si="158">V1032</f>
        <v>9.9999999999999985E-3</v>
      </c>
      <c r="W1031" s="272">
        <f t="shared" si="158"/>
        <v>9.9999999999999985E-3</v>
      </c>
      <c r="X1031" s="272">
        <f t="shared" si="158"/>
        <v>9.9999999999999985E-3</v>
      </c>
      <c r="Y1031" s="272">
        <f t="shared" si="158"/>
        <v>9.9999999999999985E-3</v>
      </c>
      <c r="Z1031" s="272">
        <f t="shared" si="158"/>
        <v>9.9999999999999985E-3</v>
      </c>
      <c r="AA1031" s="272">
        <f t="shared" si="158"/>
        <v>9.9999999999999985E-3</v>
      </c>
      <c r="AB1031" s="272">
        <f t="shared" si="158"/>
        <v>9.9999999999999985E-3</v>
      </c>
      <c r="AC1031" s="81"/>
      <c r="AD1031" s="81"/>
      <c r="AE1031" s="81"/>
      <c r="AF1031" s="272">
        <f>AF1032</f>
        <v>1</v>
      </c>
      <c r="AG1031" s="272">
        <f>AG1032</f>
        <v>1</v>
      </c>
      <c r="AH1031" s="78"/>
      <c r="AI1031" s="60"/>
      <c r="AJ1031" s="48"/>
      <c r="AK1031" s="48"/>
      <c r="AL1031" s="48"/>
    </row>
    <row r="1032" spans="1:38" outlineLevel="2" x14ac:dyDescent="0.25">
      <c r="A1032" s="48"/>
      <c r="B1032" s="57"/>
      <c r="C1032" s="50">
        <f t="shared" si="157"/>
        <v>3</v>
      </c>
      <c r="D1032" s="78"/>
      <c r="E1032" s="73"/>
      <c r="F1032" s="73" t="s">
        <v>1993</v>
      </c>
      <c r="G1032" s="78"/>
      <c r="H1032" s="81" t="s">
        <v>1994</v>
      </c>
      <c r="I1032" s="101" t="s">
        <v>2328</v>
      </c>
      <c r="J1032" s="101"/>
      <c r="K1032" s="81"/>
      <c r="L1032" s="81"/>
      <c r="M1032" s="81"/>
      <c r="N1032" s="81"/>
      <c r="O1032" s="81"/>
      <c r="P1032" s="81"/>
      <c r="Q1032" s="81"/>
      <c r="R1032" s="81"/>
      <c r="S1032" s="81"/>
      <c r="T1032" s="81"/>
      <c r="U1032" s="302">
        <f>0.022-U$1030</f>
        <v>9.9999999999999985E-3</v>
      </c>
      <c r="V1032" s="102">
        <f>0.022-V$1030</f>
        <v>9.9999999999999985E-3</v>
      </c>
      <c r="W1032" s="102">
        <f>0.022-W$1030</f>
        <v>9.9999999999999985E-3</v>
      </c>
      <c r="X1032" s="274">
        <f t="shared" ref="X1032:AB1033" si="159">W1032</f>
        <v>9.9999999999999985E-3</v>
      </c>
      <c r="Y1032" s="274">
        <f t="shared" si="159"/>
        <v>9.9999999999999985E-3</v>
      </c>
      <c r="Z1032" s="274">
        <f t="shared" si="159"/>
        <v>9.9999999999999985E-3</v>
      </c>
      <c r="AA1032" s="274">
        <f t="shared" si="159"/>
        <v>9.9999999999999985E-3</v>
      </c>
      <c r="AB1032" s="27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1995</v>
      </c>
      <c r="G1033" s="78"/>
      <c r="H1033" s="81" t="s">
        <v>1996</v>
      </c>
      <c r="I1033" s="101" t="s">
        <v>2328</v>
      </c>
      <c r="J1033" s="101"/>
      <c r="K1033" s="81"/>
      <c r="L1033" s="81"/>
      <c r="M1033" s="81"/>
      <c r="N1033" s="81"/>
      <c r="O1033" s="81"/>
      <c r="P1033" s="81"/>
      <c r="Q1033" s="81"/>
      <c r="R1033" s="81"/>
      <c r="S1033" s="81"/>
      <c r="T1033" s="81"/>
      <c r="U1033" s="302">
        <f>0.021-U$1030</f>
        <v>9.0000000000000011E-3</v>
      </c>
      <c r="V1033" s="102">
        <f>0.021-V$1030</f>
        <v>9.0000000000000011E-3</v>
      </c>
      <c r="W1033" s="102">
        <f>0.021-W$1030</f>
        <v>9.0000000000000011E-3</v>
      </c>
      <c r="X1033" s="274">
        <f t="shared" si="159"/>
        <v>9.0000000000000011E-3</v>
      </c>
      <c r="Y1033" s="274">
        <f t="shared" si="159"/>
        <v>9.0000000000000011E-3</v>
      </c>
      <c r="Z1033" s="274">
        <f t="shared" si="159"/>
        <v>9.0000000000000011E-3</v>
      </c>
      <c r="AA1033" s="274">
        <f t="shared" si="159"/>
        <v>9.0000000000000011E-3</v>
      </c>
      <c r="AB1033" s="27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1997</v>
      </c>
      <c r="G1034" s="78"/>
      <c r="H1034" s="81" t="s">
        <v>1998</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1999</v>
      </c>
      <c r="G1035" s="78"/>
      <c r="H1035" s="81" t="s">
        <v>2000</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2001</v>
      </c>
      <c r="G1036" s="78"/>
      <c r="H1036" s="81" t="s">
        <v>2002</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2003</v>
      </c>
      <c r="G1037" s="78"/>
      <c r="H1037" s="81" t="s">
        <v>2004</v>
      </c>
      <c r="I1037" s="81"/>
      <c r="J1037" s="81"/>
      <c r="K1037" s="81"/>
      <c r="L1037" s="81"/>
      <c r="M1037" s="81"/>
      <c r="N1037" s="81"/>
      <c r="O1037" s="81"/>
      <c r="P1037" s="81"/>
      <c r="Q1037" s="81"/>
      <c r="R1037" s="81"/>
      <c r="S1037" s="81"/>
      <c r="T1037" s="81"/>
      <c r="U1037" s="102">
        <v>0</v>
      </c>
      <c r="V1037" s="102">
        <v>0</v>
      </c>
      <c r="W1037" s="102">
        <v>0</v>
      </c>
      <c r="X1037" s="274">
        <f t="shared" ref="X1037:AB1038" si="160">W1037</f>
        <v>0</v>
      </c>
      <c r="Y1037" s="274">
        <f t="shared" si="160"/>
        <v>0</v>
      </c>
      <c r="Z1037" s="274">
        <f t="shared" si="160"/>
        <v>0</v>
      </c>
      <c r="AA1037" s="274">
        <f t="shared" si="160"/>
        <v>0</v>
      </c>
      <c r="AB1037" s="274">
        <f t="shared" si="160"/>
        <v>0</v>
      </c>
      <c r="AC1037" s="81"/>
      <c r="AD1037" s="102" t="s">
        <v>2326</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2005</v>
      </c>
      <c r="G1038" s="78"/>
      <c r="H1038" s="81" t="s">
        <v>2006</v>
      </c>
      <c r="I1038" s="101" t="s">
        <v>2331</v>
      </c>
      <c r="J1038" s="101"/>
      <c r="K1038" s="81"/>
      <c r="L1038" s="81"/>
      <c r="M1038" s="81"/>
      <c r="N1038" s="81"/>
      <c r="O1038" s="81"/>
      <c r="P1038" s="81"/>
      <c r="Q1038" s="81"/>
      <c r="R1038" s="81"/>
      <c r="S1038" s="81"/>
      <c r="T1038" s="81"/>
      <c r="U1038" s="102">
        <v>0</v>
      </c>
      <c r="V1038" s="102">
        <v>0</v>
      </c>
      <c r="W1038" s="102">
        <v>0</v>
      </c>
      <c r="X1038" s="274">
        <f t="shared" si="160"/>
        <v>0</v>
      </c>
      <c r="Y1038" s="274">
        <f t="shared" si="160"/>
        <v>0</v>
      </c>
      <c r="Z1038" s="274">
        <f t="shared" si="160"/>
        <v>0</v>
      </c>
      <c r="AA1038" s="274">
        <f t="shared" si="160"/>
        <v>0</v>
      </c>
      <c r="AB1038" s="274">
        <f t="shared" si="160"/>
        <v>0</v>
      </c>
      <c r="AC1038" s="81"/>
      <c r="AD1038" s="102" t="s">
        <v>2007</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2008</v>
      </c>
      <c r="G1039" s="78"/>
      <c r="H1039" s="81" t="s">
        <v>2009</v>
      </c>
      <c r="I1039" s="101"/>
      <c r="J1039" s="101"/>
      <c r="K1039" s="81"/>
      <c r="L1039" s="81"/>
      <c r="M1039" s="81"/>
      <c r="N1039" s="81"/>
      <c r="O1039" s="81"/>
      <c r="P1039" s="81"/>
      <c r="Q1039" s="81"/>
      <c r="R1039" s="81"/>
      <c r="S1039" s="81"/>
      <c r="T1039" s="81"/>
      <c r="U1039" s="272">
        <f t="shared" ref="U1039:AB1039" si="161">U1040</f>
        <v>-1.9E-2</v>
      </c>
      <c r="V1039" s="272">
        <f t="shared" si="161"/>
        <v>-1.9E-2</v>
      </c>
      <c r="W1039" s="272">
        <f t="shared" si="161"/>
        <v>-1.9E-2</v>
      </c>
      <c r="X1039" s="272">
        <f t="shared" si="161"/>
        <v>-1.9E-2</v>
      </c>
      <c r="Y1039" s="272">
        <f t="shared" si="161"/>
        <v>-1.9E-2</v>
      </c>
      <c r="Z1039" s="272">
        <f t="shared" si="161"/>
        <v>-1.9E-2</v>
      </c>
      <c r="AA1039" s="272">
        <f t="shared" si="161"/>
        <v>-1.9E-2</v>
      </c>
      <c r="AB1039" s="272">
        <f t="shared" si="161"/>
        <v>-1.9E-2</v>
      </c>
      <c r="AC1039" s="81"/>
      <c r="AD1039" s="81"/>
      <c r="AE1039" s="81"/>
      <c r="AF1039" s="272">
        <f>AF1040</f>
        <v>1</v>
      </c>
      <c r="AG1039" s="272">
        <f>AG1040</f>
        <v>1</v>
      </c>
      <c r="AH1039" s="78"/>
      <c r="AI1039" s="60"/>
      <c r="AJ1039" s="48"/>
      <c r="AK1039" s="48"/>
      <c r="AL1039" s="48"/>
    </row>
    <row r="1040" spans="1:38" outlineLevel="2" x14ac:dyDescent="0.25">
      <c r="A1040" s="48"/>
      <c r="B1040" s="57"/>
      <c r="C1040" s="50">
        <f t="shared" si="157"/>
        <v>3</v>
      </c>
      <c r="D1040" s="78"/>
      <c r="E1040" s="73"/>
      <c r="F1040" s="73" t="s">
        <v>2010</v>
      </c>
      <c r="G1040" s="78"/>
      <c r="H1040" s="81" t="s">
        <v>2011</v>
      </c>
      <c r="I1040" s="101" t="s">
        <v>2330</v>
      </c>
      <c r="J1040" s="101"/>
      <c r="K1040" s="81"/>
      <c r="L1040" s="81"/>
      <c r="M1040" s="81"/>
      <c r="N1040" s="81"/>
      <c r="O1040" s="81"/>
      <c r="P1040" s="81"/>
      <c r="Q1040" s="81"/>
      <c r="R1040" s="81"/>
      <c r="S1040" s="81"/>
      <c r="T1040" s="81"/>
      <c r="U1040" s="102">
        <f>-0.019-U$1038</f>
        <v>-1.9E-2</v>
      </c>
      <c r="V1040" s="102">
        <f>-0.019-V$1038</f>
        <v>-1.9E-2</v>
      </c>
      <c r="W1040" s="102">
        <f>-0.019-W$1038</f>
        <v>-1.9E-2</v>
      </c>
      <c r="X1040" s="274">
        <f t="shared" ref="X1040:AB1041" si="162">W1040</f>
        <v>-1.9E-2</v>
      </c>
      <c r="Y1040" s="274">
        <f t="shared" si="162"/>
        <v>-1.9E-2</v>
      </c>
      <c r="Z1040" s="274">
        <f t="shared" si="162"/>
        <v>-1.9E-2</v>
      </c>
      <c r="AA1040" s="274">
        <f t="shared" si="162"/>
        <v>-1.9E-2</v>
      </c>
      <c r="AB1040" s="27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2012</v>
      </c>
      <c r="G1041" s="78"/>
      <c r="H1041" s="81" t="s">
        <v>2013</v>
      </c>
      <c r="I1041" s="101" t="s">
        <v>2330</v>
      </c>
      <c r="J1041" s="101"/>
      <c r="K1041" s="81"/>
      <c r="L1041" s="81"/>
      <c r="M1041" s="81"/>
      <c r="N1041" s="81"/>
      <c r="O1041" s="81"/>
      <c r="P1041" s="81"/>
      <c r="Q1041" s="81"/>
      <c r="R1041" s="81"/>
      <c r="S1041" s="81"/>
      <c r="T1041" s="81"/>
      <c r="U1041" s="102">
        <f>-0.031-U$1038</f>
        <v>-3.1E-2</v>
      </c>
      <c r="V1041" s="102">
        <f>-0.031-V$1038</f>
        <v>-3.1E-2</v>
      </c>
      <c r="W1041" s="102">
        <f>-0.031-W$1038</f>
        <v>-3.1E-2</v>
      </c>
      <c r="X1041" s="274">
        <f t="shared" si="162"/>
        <v>-3.1E-2</v>
      </c>
      <c r="Y1041" s="274">
        <f t="shared" si="162"/>
        <v>-3.1E-2</v>
      </c>
      <c r="Z1041" s="274">
        <f t="shared" si="162"/>
        <v>-3.1E-2</v>
      </c>
      <c r="AA1041" s="274">
        <f t="shared" si="162"/>
        <v>-3.1E-2</v>
      </c>
      <c r="AB1041" s="27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2014</v>
      </c>
      <c r="G1042" s="78"/>
      <c r="H1042" s="81" t="s">
        <v>2015</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2016</v>
      </c>
      <c r="G1043" s="78"/>
      <c r="H1043" s="81" t="s">
        <v>2017</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2018</v>
      </c>
      <c r="G1044" s="78"/>
      <c r="H1044" s="81" t="s">
        <v>2019</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2020</v>
      </c>
      <c r="G1045" s="78"/>
      <c r="H1045" s="81" t="s">
        <v>1899</v>
      </c>
      <c r="I1045" s="81"/>
      <c r="J1045" s="81"/>
      <c r="K1045" s="81"/>
      <c r="L1045" s="81"/>
      <c r="M1045" s="81"/>
      <c r="N1045" s="81"/>
      <c r="O1045" s="81"/>
      <c r="P1045" s="81"/>
      <c r="Q1045" s="81"/>
      <c r="R1045" s="81"/>
      <c r="S1045" s="81"/>
      <c r="T1045" s="81"/>
      <c r="U1045" s="102">
        <v>0</v>
      </c>
      <c r="V1045" s="102">
        <v>0</v>
      </c>
      <c r="W1045" s="102">
        <v>0</v>
      </c>
      <c r="X1045" s="274">
        <f>W1045</f>
        <v>0</v>
      </c>
      <c r="Y1045" s="274">
        <f>X1045</f>
        <v>0</v>
      </c>
      <c r="Z1045" s="274">
        <f>Y1045</f>
        <v>0</v>
      </c>
      <c r="AA1045" s="274">
        <f>Z1045</f>
        <v>0</v>
      </c>
      <c r="AB1045" s="274">
        <f>AA1045</f>
        <v>0</v>
      </c>
      <c r="AC1045" s="81"/>
      <c r="AD1045" s="102" t="s">
        <v>2326</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2021</v>
      </c>
      <c r="G1046" s="78"/>
      <c r="H1046" s="81" t="s">
        <v>685</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2022</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2023</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2024</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2025</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2026</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2027</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2028</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2029</v>
      </c>
      <c r="G1054" s="78"/>
      <c r="H1054" s="81" t="s">
        <v>685</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2030</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2031</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2032</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2033</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2034</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2035</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2036</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2037</v>
      </c>
      <c r="G1062" s="78"/>
      <c r="H1062" s="81" t="s">
        <v>2038</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274">
        <f>Y1062</f>
        <v>2.3E-2</v>
      </c>
      <c r="Y1062" s="102">
        <v>2.3E-2</v>
      </c>
      <c r="Z1062" s="274">
        <f>Y1062</f>
        <v>2.3E-2</v>
      </c>
      <c r="AA1062" s="274">
        <f>Z1062</f>
        <v>2.3E-2</v>
      </c>
      <c r="AB1062" s="274">
        <f>AA1062</f>
        <v>2.3E-2</v>
      </c>
      <c r="AC1062" s="81"/>
      <c r="AD1062" s="102" t="s">
        <v>2039</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2040</v>
      </c>
      <c r="G1063" s="78"/>
      <c r="H1063" s="81" t="s">
        <v>2041</v>
      </c>
      <c r="I1063" s="101"/>
      <c r="J1063" s="101"/>
      <c r="K1063" s="81"/>
      <c r="L1063" s="81"/>
      <c r="M1063" s="81"/>
      <c r="N1063" s="81"/>
      <c r="O1063" s="81"/>
      <c r="P1063" s="81"/>
      <c r="Q1063" s="81"/>
      <c r="R1063" s="81"/>
      <c r="S1063" s="81"/>
      <c r="T1063" s="81"/>
      <c r="U1063" s="272">
        <f t="shared" ref="U1063:AB1063" si="164">U1064</f>
        <v>6.0000000000000019E-3</v>
      </c>
      <c r="V1063" s="272">
        <f t="shared" si="164"/>
        <v>6.0000000000000019E-3</v>
      </c>
      <c r="W1063" s="272">
        <f t="shared" si="164"/>
        <v>6.0000000000000019E-3</v>
      </c>
      <c r="X1063" s="272">
        <f t="shared" si="164"/>
        <v>2.0000000000000018E-3</v>
      </c>
      <c r="Y1063" s="272">
        <f t="shared" si="164"/>
        <v>2.0000000000000018E-3</v>
      </c>
      <c r="Z1063" s="272">
        <f t="shared" si="164"/>
        <v>2.0000000000000018E-3</v>
      </c>
      <c r="AA1063" s="272">
        <f t="shared" si="164"/>
        <v>2.0000000000000018E-3</v>
      </c>
      <c r="AB1063" s="272">
        <f t="shared" si="164"/>
        <v>2.0000000000000018E-3</v>
      </c>
      <c r="AC1063" s="81"/>
      <c r="AD1063" s="102" t="s">
        <v>2347</v>
      </c>
      <c r="AE1063" s="81"/>
      <c r="AF1063" s="272">
        <f>AF1064</f>
        <v>1</v>
      </c>
      <c r="AG1063" s="272">
        <f>AG1064</f>
        <v>1</v>
      </c>
      <c r="AH1063" s="78"/>
      <c r="AI1063" s="60"/>
      <c r="AJ1063" s="48"/>
      <c r="AK1063" s="48"/>
      <c r="AL1063" s="48"/>
    </row>
    <row r="1064" spans="1:38" outlineLevel="2" x14ac:dyDescent="0.25">
      <c r="A1064" s="48"/>
      <c r="B1064" s="57"/>
      <c r="C1064" s="50">
        <f t="shared" si="157"/>
        <v>3</v>
      </c>
      <c r="D1064" s="78"/>
      <c r="E1064" s="73"/>
      <c r="F1064" s="73" t="s">
        <v>2042</v>
      </c>
      <c r="G1064" s="78"/>
      <c r="H1064" s="81" t="s">
        <v>2043</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274">
        <f>Y1064</f>
        <v>2.0000000000000018E-3</v>
      </c>
      <c r="Y1064" s="102">
        <f>0.025-Y$1062</f>
        <v>2.0000000000000018E-3</v>
      </c>
      <c r="Z1064" s="274">
        <f t="shared" ref="Z1064:AB1065" si="165">Y1064</f>
        <v>2.0000000000000018E-3</v>
      </c>
      <c r="AA1064" s="274">
        <f t="shared" si="165"/>
        <v>2.0000000000000018E-3</v>
      </c>
      <c r="AB1064" s="27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2044</v>
      </c>
      <c r="G1065" s="78"/>
      <c r="H1065" s="81" t="s">
        <v>2045</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274">
        <f>Y1065</f>
        <v>1.4999999999999999E-2</v>
      </c>
      <c r="Y1065" s="102">
        <f>0.038-Y$1062</f>
        <v>1.4999999999999999E-2</v>
      </c>
      <c r="Z1065" s="274">
        <f t="shared" si="165"/>
        <v>1.4999999999999999E-2</v>
      </c>
      <c r="AA1065" s="274">
        <f t="shared" si="165"/>
        <v>1.4999999999999999E-2</v>
      </c>
      <c r="AB1065" s="27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2046</v>
      </c>
      <c r="G1066" s="78"/>
      <c r="H1066" s="81" t="s">
        <v>2047</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2048</v>
      </c>
      <c r="G1067" s="78"/>
      <c r="H1067" s="81" t="s">
        <v>2049</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2050</v>
      </c>
      <c r="G1068" s="78"/>
      <c r="H1068" s="81" t="s">
        <v>2051</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2052</v>
      </c>
      <c r="G1069" s="78"/>
      <c r="H1069" s="81" t="s">
        <v>2053</v>
      </c>
      <c r="I1069" s="81"/>
      <c r="J1069" s="81"/>
      <c r="K1069" s="81"/>
      <c r="L1069" s="81"/>
      <c r="M1069" s="81"/>
      <c r="N1069" s="81"/>
      <c r="O1069" s="81"/>
      <c r="P1069" s="81"/>
      <c r="Q1069" s="81"/>
      <c r="R1069" s="81"/>
      <c r="S1069" s="81"/>
      <c r="T1069" s="81"/>
      <c r="U1069" s="102">
        <v>3.57</v>
      </c>
      <c r="V1069" s="102">
        <v>3.57</v>
      </c>
      <c r="W1069" s="102">
        <v>3.57</v>
      </c>
      <c r="X1069" s="274">
        <f>Y1069</f>
        <v>4.2300000000000004</v>
      </c>
      <c r="Y1069" s="102">
        <f>4+0.023*10</f>
        <v>4.2300000000000004</v>
      </c>
      <c r="Z1069" s="274">
        <f t="shared" ref="Z1069:AB1070" si="166">Y1069</f>
        <v>4.2300000000000004</v>
      </c>
      <c r="AA1069" s="274">
        <f t="shared" si="166"/>
        <v>4.2300000000000004</v>
      </c>
      <c r="AB1069" s="27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2054</v>
      </c>
      <c r="G1070" s="78"/>
      <c r="H1070" s="81" t="s">
        <v>2055</v>
      </c>
      <c r="I1070" s="101"/>
      <c r="J1070" s="101"/>
      <c r="K1070" s="81"/>
      <c r="L1070" s="81"/>
      <c r="M1070" s="81"/>
      <c r="N1070" s="81"/>
      <c r="O1070" s="81"/>
      <c r="P1070" s="81"/>
      <c r="Q1070" s="81"/>
      <c r="R1070" s="81"/>
      <c r="S1070" s="81"/>
      <c r="T1070" s="81"/>
      <c r="U1070" s="102">
        <v>0.18</v>
      </c>
      <c r="V1070" s="102">
        <v>0.18</v>
      </c>
      <c r="W1070" s="102">
        <v>0.18</v>
      </c>
      <c r="X1070" s="274">
        <f>Y1070</f>
        <v>0.13919999999999999</v>
      </c>
      <c r="Y1070" s="102">
        <v>0.13919999999999999</v>
      </c>
      <c r="Z1070" s="274">
        <f t="shared" si="166"/>
        <v>0.13919999999999999</v>
      </c>
      <c r="AA1070" s="274">
        <f t="shared" si="166"/>
        <v>0.13919999999999999</v>
      </c>
      <c r="AB1070" s="274">
        <f t="shared" si="166"/>
        <v>0.13919999999999999</v>
      </c>
      <c r="AC1070" s="81"/>
      <c r="AD1070" s="102" t="s">
        <v>1430</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2056</v>
      </c>
      <c r="G1071" s="78"/>
      <c r="H1071" s="81" t="s">
        <v>2057</v>
      </c>
      <c r="I1071" s="101"/>
      <c r="J1071" s="101"/>
      <c r="K1071" s="81"/>
      <c r="L1071" s="81"/>
      <c r="M1071" s="81"/>
      <c r="N1071" s="81"/>
      <c r="O1071" s="81"/>
      <c r="P1071" s="81"/>
      <c r="Q1071" s="81"/>
      <c r="R1071" s="81"/>
      <c r="S1071" s="81"/>
      <c r="T1071" s="81"/>
      <c r="U1071" s="272">
        <f t="shared" ref="U1071:AB1071" si="167">U1072</f>
        <v>0.03</v>
      </c>
      <c r="V1071" s="272">
        <f t="shared" si="167"/>
        <v>0.03</v>
      </c>
      <c r="W1071" s="272">
        <f t="shared" si="167"/>
        <v>0.03</v>
      </c>
      <c r="X1071" s="272">
        <f t="shared" si="167"/>
        <v>7.0000000000000062E-3</v>
      </c>
      <c r="Y1071" s="272">
        <f t="shared" si="167"/>
        <v>7.0000000000000062E-3</v>
      </c>
      <c r="Z1071" s="272">
        <f t="shared" si="167"/>
        <v>7.0000000000000062E-3</v>
      </c>
      <c r="AA1071" s="272">
        <f t="shared" si="167"/>
        <v>7.0000000000000062E-3</v>
      </c>
      <c r="AB1071" s="272">
        <f t="shared" si="167"/>
        <v>7.0000000000000062E-3</v>
      </c>
      <c r="AC1071" s="81"/>
      <c r="AD1071" s="102" t="s">
        <v>2347</v>
      </c>
      <c r="AE1071" s="81"/>
      <c r="AF1071" s="272">
        <f>AF1072</f>
        <v>1</v>
      </c>
      <c r="AG1071" s="272">
        <f>AG1072</f>
        <v>1</v>
      </c>
      <c r="AH1071" s="78"/>
      <c r="AI1071" s="60"/>
      <c r="AJ1071" s="48"/>
      <c r="AK1071" s="48"/>
      <c r="AL1071" s="48"/>
    </row>
    <row r="1072" spans="1:38" outlineLevel="2" x14ac:dyDescent="0.25">
      <c r="A1072" s="48"/>
      <c r="B1072" s="57"/>
      <c r="C1072" s="50">
        <f t="shared" si="157"/>
        <v>3</v>
      </c>
      <c r="D1072" s="78"/>
      <c r="E1072" s="73"/>
      <c r="F1072" s="73" t="s">
        <v>2058</v>
      </c>
      <c r="G1072" s="78"/>
      <c r="H1072" s="81" t="s">
        <v>1889</v>
      </c>
      <c r="I1072" s="101"/>
      <c r="J1072" s="101"/>
      <c r="K1072" s="81"/>
      <c r="L1072" s="81"/>
      <c r="M1072" s="81"/>
      <c r="N1072" s="81"/>
      <c r="O1072" s="81"/>
      <c r="P1072" s="81"/>
      <c r="Q1072" s="81"/>
      <c r="R1072" s="81"/>
      <c r="S1072" s="81"/>
      <c r="T1072" s="81"/>
      <c r="U1072" s="102">
        <f>0.21-U$1070</f>
        <v>0.03</v>
      </c>
      <c r="V1072" s="102">
        <f>0.21-V$1070</f>
        <v>0.03</v>
      </c>
      <c r="W1072" s="102">
        <f>0.21-W$1070</f>
        <v>0.03</v>
      </c>
      <c r="X1072" s="274">
        <f t="shared" ref="X1072:X1078" si="168">Y1072</f>
        <v>7.0000000000000062E-3</v>
      </c>
      <c r="Y1072" s="102">
        <f>0.1462-Y$1070</f>
        <v>7.0000000000000062E-3</v>
      </c>
      <c r="Z1072" s="274">
        <f t="shared" ref="Z1072:AB1078" si="169">Y1072</f>
        <v>7.0000000000000062E-3</v>
      </c>
      <c r="AA1072" s="274">
        <f t="shared" si="169"/>
        <v>7.0000000000000062E-3</v>
      </c>
      <c r="AB1072" s="27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2059</v>
      </c>
      <c r="G1073" s="78"/>
      <c r="H1073" s="81" t="s">
        <v>1891</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274">
        <f t="shared" si="168"/>
        <v>-3.0299999999999994E-2</v>
      </c>
      <c r="Y1073" s="102">
        <f>0.1089-Y$1070</f>
        <v>-3.0299999999999994E-2</v>
      </c>
      <c r="Z1073" s="274">
        <f t="shared" si="169"/>
        <v>-3.0299999999999994E-2</v>
      </c>
      <c r="AA1073" s="274">
        <f t="shared" si="169"/>
        <v>-3.0299999999999994E-2</v>
      </c>
      <c r="AB1073" s="27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2060</v>
      </c>
      <c r="G1074" s="78"/>
      <c r="H1074" s="81" t="s">
        <v>1893</v>
      </c>
      <c r="I1074" s="81"/>
      <c r="J1074" s="81"/>
      <c r="K1074" s="81"/>
      <c r="L1074" s="81"/>
      <c r="M1074" s="81"/>
      <c r="N1074" s="81"/>
      <c r="O1074" s="81"/>
      <c r="P1074" s="81"/>
      <c r="Q1074" s="81"/>
      <c r="R1074" s="81"/>
      <c r="S1074" s="81"/>
      <c r="T1074" s="81"/>
      <c r="U1074" s="102">
        <f>0-U$1070</f>
        <v>-0.18</v>
      </c>
      <c r="V1074" s="102">
        <f>0-V$1070</f>
        <v>-0.18</v>
      </c>
      <c r="W1074" s="102">
        <f>0-W$1070</f>
        <v>-0.18</v>
      </c>
      <c r="X1074" s="274">
        <f t="shared" si="168"/>
        <v>-0.13919999999999999</v>
      </c>
      <c r="Y1074" s="102">
        <f>0-Y$1070</f>
        <v>-0.13919999999999999</v>
      </c>
      <c r="Z1074" s="274">
        <f t="shared" si="169"/>
        <v>-0.13919999999999999</v>
      </c>
      <c r="AA1074" s="274">
        <f t="shared" si="169"/>
        <v>-0.13919999999999999</v>
      </c>
      <c r="AB1074" s="27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2061</v>
      </c>
      <c r="G1075" s="78"/>
      <c r="H1075" s="81" t="s">
        <v>2049</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274">
        <f t="shared" si="168"/>
        <v>0</v>
      </c>
      <c r="Y1075" s="81">
        <v>0</v>
      </c>
      <c r="Z1075" s="274">
        <f t="shared" si="169"/>
        <v>0</v>
      </c>
      <c r="AA1075" s="274">
        <f t="shared" si="169"/>
        <v>0</v>
      </c>
      <c r="AB1075" s="27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2062</v>
      </c>
      <c r="G1076" s="78"/>
      <c r="H1076" s="81" t="s">
        <v>2051</v>
      </c>
      <c r="I1076" s="81"/>
      <c r="J1076" s="81"/>
      <c r="K1076" s="81"/>
      <c r="L1076" s="81"/>
      <c r="M1076" s="81"/>
      <c r="N1076" s="81"/>
      <c r="O1076" s="81"/>
      <c r="P1076" s="81"/>
      <c r="Q1076" s="81"/>
      <c r="R1076" s="81"/>
      <c r="S1076" s="81"/>
      <c r="T1076" s="81"/>
      <c r="U1076" s="102">
        <v>-1.5E-6</v>
      </c>
      <c r="V1076" s="102">
        <v>-1.5E-6</v>
      </c>
      <c r="W1076" s="102">
        <v>-1.5E-6</v>
      </c>
      <c r="X1076" s="274">
        <f t="shared" si="168"/>
        <v>0</v>
      </c>
      <c r="Y1076" s="81">
        <v>0</v>
      </c>
      <c r="Z1076" s="274">
        <f t="shared" si="169"/>
        <v>0</v>
      </c>
      <c r="AA1076" s="274">
        <f t="shared" si="169"/>
        <v>0</v>
      </c>
      <c r="AB1076" s="27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2063</v>
      </c>
      <c r="G1077" s="78"/>
      <c r="H1077" s="81" t="s">
        <v>2064</v>
      </c>
      <c r="I1077" s="81"/>
      <c r="J1077" s="81"/>
      <c r="K1077" s="81"/>
      <c r="L1077" s="81"/>
      <c r="M1077" s="81"/>
      <c r="N1077" s="81"/>
      <c r="O1077" s="81"/>
      <c r="P1077" s="81"/>
      <c r="Q1077" s="81"/>
      <c r="R1077" s="81"/>
      <c r="S1077" s="81"/>
      <c r="T1077" s="81"/>
      <c r="U1077" s="102">
        <v>4.5599999999999996</v>
      </c>
      <c r="V1077" s="102">
        <v>4.5599999999999996</v>
      </c>
      <c r="W1077" s="102">
        <v>4.5599999999999996</v>
      </c>
      <c r="X1077" s="274">
        <f t="shared" si="168"/>
        <v>24.748000000000001</v>
      </c>
      <c r="Y1077" s="102">
        <f>27.01-0.2262*10</f>
        <v>24.748000000000001</v>
      </c>
      <c r="Z1077" s="274">
        <f t="shared" si="169"/>
        <v>24.748000000000001</v>
      </c>
      <c r="AA1077" s="274">
        <f t="shared" si="169"/>
        <v>24.748000000000001</v>
      </c>
      <c r="AB1077" s="27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2065</v>
      </c>
      <c r="G1078" s="78"/>
      <c r="H1078" s="81" t="s">
        <v>2066</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274">
        <f t="shared" si="168"/>
        <v>2.0499999999999997E-3</v>
      </c>
      <c r="Y1078" s="102">
        <f>2.05/1000</f>
        <v>2.0499999999999997E-3</v>
      </c>
      <c r="Z1078" s="274">
        <f t="shared" si="169"/>
        <v>2.0499999999999997E-3</v>
      </c>
      <c r="AA1078" s="274">
        <f t="shared" si="169"/>
        <v>2.0499999999999997E-3</v>
      </c>
      <c r="AB1078" s="274">
        <f t="shared" si="169"/>
        <v>2.0499999999999997E-3</v>
      </c>
      <c r="AC1078" s="81"/>
      <c r="AD1078" s="102" t="s">
        <v>1437</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2067</v>
      </c>
      <c r="G1079" s="78"/>
      <c r="H1079" s="81" t="s">
        <v>2068</v>
      </c>
      <c r="I1079" s="101"/>
      <c r="J1079" s="101"/>
      <c r="K1079" s="81"/>
      <c r="L1079" s="81"/>
      <c r="M1079" s="81"/>
      <c r="N1079" s="81"/>
      <c r="O1079" s="81"/>
      <c r="P1079" s="81"/>
      <c r="Q1079" s="81"/>
      <c r="R1079" s="81"/>
      <c r="S1079" s="81"/>
      <c r="T1079" s="81"/>
      <c r="U1079" s="272">
        <f t="shared" ref="U1079:AB1079" si="170">U1080</f>
        <v>-5.9999999999999724E-5</v>
      </c>
      <c r="V1079" s="272">
        <f t="shared" si="170"/>
        <v>-5.9999999999999724E-5</v>
      </c>
      <c r="W1079" s="272">
        <f t="shared" si="170"/>
        <v>-5.9999999999999724E-5</v>
      </c>
      <c r="X1079" s="272">
        <f t="shared" si="170"/>
        <v>-5.9999999999999724E-5</v>
      </c>
      <c r="Y1079" s="272">
        <f t="shared" si="170"/>
        <v>-5.9999999999999724E-5</v>
      </c>
      <c r="Z1079" s="272">
        <f t="shared" si="170"/>
        <v>-5.9999999999999724E-5</v>
      </c>
      <c r="AA1079" s="272">
        <f t="shared" si="170"/>
        <v>-5.9999999999999724E-5</v>
      </c>
      <c r="AB1079" s="272">
        <f t="shared" si="170"/>
        <v>-5.9999999999999724E-5</v>
      </c>
      <c r="AC1079" s="81"/>
      <c r="AD1079" s="81"/>
      <c r="AE1079" s="81"/>
      <c r="AF1079" s="272">
        <f>AF1080</f>
        <v>1</v>
      </c>
      <c r="AG1079" s="272">
        <f>AG1080</f>
        <v>1</v>
      </c>
      <c r="AH1079" s="78"/>
      <c r="AI1079" s="60"/>
      <c r="AJ1079" s="48"/>
      <c r="AK1079" s="48"/>
      <c r="AL1079" s="48"/>
    </row>
    <row r="1080" spans="1:38" outlineLevel="2" x14ac:dyDescent="0.25">
      <c r="A1080" s="48"/>
      <c r="B1080" s="57"/>
      <c r="C1080" s="50">
        <f t="shared" si="157"/>
        <v>3</v>
      </c>
      <c r="D1080" s="78"/>
      <c r="E1080" s="73"/>
      <c r="F1080" s="73" t="s">
        <v>2069</v>
      </c>
      <c r="G1080" s="78"/>
      <c r="H1080" s="81" t="s">
        <v>2070</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274">
        <f t="shared" ref="X1080:X1085" si="171">Y1080</f>
        <v>-5.9999999999999724E-5</v>
      </c>
      <c r="Y1080" s="102">
        <f>1.99/1000-Y$1078</f>
        <v>-5.9999999999999724E-5</v>
      </c>
      <c r="Z1080" s="274">
        <f t="shared" ref="Z1080:AB1085" si="172">Y1080</f>
        <v>-5.9999999999999724E-5</v>
      </c>
      <c r="AA1080" s="274">
        <f t="shared" si="172"/>
        <v>-5.9999999999999724E-5</v>
      </c>
      <c r="AB1080" s="27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2071</v>
      </c>
      <c r="G1081" s="78"/>
      <c r="H1081" s="81" t="s">
        <v>2072</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274">
        <f t="shared" si="171"/>
        <v>-6.4999999999999975E-4</v>
      </c>
      <c r="Y1081" s="102">
        <f>1.4/1000-Y$1078</f>
        <v>-6.4999999999999975E-4</v>
      </c>
      <c r="Z1081" s="274">
        <f t="shared" si="172"/>
        <v>-6.4999999999999975E-4</v>
      </c>
      <c r="AA1081" s="274">
        <f t="shared" si="172"/>
        <v>-6.4999999999999975E-4</v>
      </c>
      <c r="AB1081" s="27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2073</v>
      </c>
      <c r="G1082" s="78"/>
      <c r="H1082" s="81" t="s">
        <v>2074</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274">
        <f t="shared" si="171"/>
        <v>-2.0499999999999997E-3</v>
      </c>
      <c r="Y1082" s="102">
        <f>0-Y$1078</f>
        <v>-2.0499999999999997E-3</v>
      </c>
      <c r="Z1082" s="274">
        <f t="shared" si="172"/>
        <v>-2.0499999999999997E-3</v>
      </c>
      <c r="AA1082" s="274">
        <f t="shared" si="172"/>
        <v>-2.0499999999999997E-3</v>
      </c>
      <c r="AB1082" s="27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2075</v>
      </c>
      <c r="G1083" s="78"/>
      <c r="H1083" s="81" t="s">
        <v>2076</v>
      </c>
      <c r="I1083" s="81"/>
      <c r="J1083" s="81"/>
      <c r="K1083" s="81"/>
      <c r="L1083" s="81"/>
      <c r="M1083" s="81"/>
      <c r="N1083" s="81"/>
      <c r="O1083" s="81"/>
      <c r="P1083" s="81"/>
      <c r="Q1083" s="81"/>
      <c r="R1083" s="81"/>
      <c r="S1083" s="81"/>
      <c r="T1083" s="81"/>
      <c r="U1083" s="102">
        <f>0.102/1000</f>
        <v>1.02E-4</v>
      </c>
      <c r="V1083" s="102">
        <f>0.102/1000</f>
        <v>1.02E-4</v>
      </c>
      <c r="W1083" s="102">
        <f>0.102/1000</f>
        <v>1.02E-4</v>
      </c>
      <c r="X1083" s="274">
        <f t="shared" si="171"/>
        <v>1.02E-4</v>
      </c>
      <c r="Y1083" s="102">
        <f>0.102/1000</f>
        <v>1.02E-4</v>
      </c>
      <c r="Z1083" s="274">
        <f t="shared" si="172"/>
        <v>1.02E-4</v>
      </c>
      <c r="AA1083" s="274">
        <f t="shared" si="172"/>
        <v>1.02E-4</v>
      </c>
      <c r="AB1083" s="27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2077</v>
      </c>
      <c r="G1084" s="78"/>
      <c r="H1084" s="81" t="s">
        <v>2078</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274">
        <f t="shared" si="171"/>
        <v>-1.9000000000000001E-8</v>
      </c>
      <c r="Y1084" s="102">
        <f>-0.000019/1000</f>
        <v>-1.9000000000000001E-8</v>
      </c>
      <c r="Z1084" s="274">
        <f t="shared" si="172"/>
        <v>-1.9000000000000001E-8</v>
      </c>
      <c r="AA1084" s="274">
        <f t="shared" si="172"/>
        <v>-1.9000000000000001E-8</v>
      </c>
      <c r="AB1084" s="27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2079</v>
      </c>
      <c r="G1085" s="78"/>
      <c r="H1085" s="81" t="s">
        <v>2080</v>
      </c>
      <c r="I1085" s="81"/>
      <c r="J1085" s="81"/>
      <c r="K1085" s="81"/>
      <c r="L1085" s="81"/>
      <c r="M1085" s="81"/>
      <c r="N1085" s="81"/>
      <c r="O1085" s="81"/>
      <c r="P1085" s="81"/>
      <c r="Q1085" s="81"/>
      <c r="R1085" s="81"/>
      <c r="S1085" s="81"/>
      <c r="T1085" s="81"/>
      <c r="U1085" s="102">
        <f>14.9/1000</f>
        <v>1.49E-2</v>
      </c>
      <c r="V1085" s="102">
        <f>14.9/1000</f>
        <v>1.49E-2</v>
      </c>
      <c r="W1085" s="102">
        <f>14.9/1000</f>
        <v>1.49E-2</v>
      </c>
      <c r="X1085" s="274">
        <f t="shared" si="171"/>
        <v>1.49E-2</v>
      </c>
      <c r="Y1085" s="102">
        <f>14.9/1000</f>
        <v>1.49E-2</v>
      </c>
      <c r="Z1085" s="274">
        <f t="shared" si="172"/>
        <v>1.49E-2</v>
      </c>
      <c r="AA1085" s="274">
        <f t="shared" si="172"/>
        <v>1.49E-2</v>
      </c>
      <c r="AB1085" s="27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286" t="s">
        <v>1868</v>
      </c>
      <c r="G1086" s="78"/>
      <c r="H1086" s="288" t="s">
        <v>2081</v>
      </c>
      <c r="I1086" s="142"/>
      <c r="J1086" s="142" t="s">
        <v>1140</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2082</v>
      </c>
      <c r="G1087" s="78"/>
      <c r="H1087" s="81" t="s">
        <v>2083</v>
      </c>
      <c r="I1087" s="101" t="s">
        <v>2532</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2084</v>
      </c>
      <c r="G1088" s="78"/>
      <c r="H1088" s="81" t="s">
        <v>2085</v>
      </c>
      <c r="I1088" s="101" t="s">
        <v>2533</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2086</v>
      </c>
      <c r="G1089" s="78"/>
      <c r="H1089" s="81" t="s">
        <v>2087</v>
      </c>
      <c r="I1089" s="101" t="s">
        <v>2534</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2088</v>
      </c>
      <c r="G1090" s="78"/>
      <c r="H1090" s="81" t="s">
        <v>2570</v>
      </c>
      <c r="I1090" s="101" t="s">
        <v>2571</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2090</v>
      </c>
      <c r="G1091" s="78"/>
      <c r="H1091" s="81" t="s">
        <v>2089</v>
      </c>
      <c r="I1091" s="101" t="s">
        <v>2535</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2576</v>
      </c>
      <c r="G1092" s="78"/>
      <c r="H1092" s="81" t="s">
        <v>2091</v>
      </c>
      <c r="I1092" s="101" t="s">
        <v>2536</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2577</v>
      </c>
      <c r="G1093" s="78"/>
      <c r="H1093" s="81" t="s">
        <v>2572</v>
      </c>
      <c r="I1093" s="101" t="s">
        <v>2573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2578</v>
      </c>
      <c r="G1094" s="78"/>
      <c r="H1094" s="81" t="s">
        <v>2574</v>
      </c>
      <c r="I1094" s="101" t="s">
        <v>2575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2092</v>
      </c>
      <c r="G1095" s="78"/>
      <c r="H1095" s="81" t="s">
        <v>2093</v>
      </c>
      <c r="I1095" s="101" t="s">
        <v>2537</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2094</v>
      </c>
      <c r="G1096" s="78"/>
      <c r="H1096" s="81" t="s">
        <v>685</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2095</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2096</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2097</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2098</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2579</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2580</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2581</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2099</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2100</v>
      </c>
      <c r="G1105" s="78"/>
      <c r="H1105" s="81" t="s">
        <v>685</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2101</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2102</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2103</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2104</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2582</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2583</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2584</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2105</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2106</v>
      </c>
      <c r="G1114" s="78"/>
      <c r="H1114" s="81" t="s">
        <v>685</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2107</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2108</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2109</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2110</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2585</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2586</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2587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2111</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2112</v>
      </c>
      <c r="G1123" s="78"/>
      <c r="H1123" s="81" t="s">
        <v>685</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2113</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2114</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2115</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2116</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2609</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2610</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2611</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2117</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2118</v>
      </c>
      <c r="G1132" s="78"/>
      <c r="H1132" s="81" t="s">
        <v>685</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2119</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2120</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2121</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2122</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2612</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2613</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2614</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2123</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2124</v>
      </c>
      <c r="G1141" s="78"/>
      <c r="H1141" s="81" t="s">
        <v>685</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2125</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2126</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2127</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2128</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2615</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2616</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2617</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2129</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2130</v>
      </c>
      <c r="G1150" s="78"/>
      <c r="H1150" s="81" t="s">
        <v>685</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2131</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2132</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2133</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2134</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2618</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2619</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2620</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2135</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2136</v>
      </c>
      <c r="G1159" s="78"/>
      <c r="H1159" s="81" t="s">
        <v>2137</v>
      </c>
      <c r="I1159" s="81"/>
      <c r="J1159" s="81"/>
      <c r="K1159" s="81"/>
      <c r="L1159" s="81"/>
      <c r="M1159" s="81"/>
      <c r="N1159" s="81"/>
      <c r="O1159" s="81"/>
      <c r="P1159" s="81"/>
      <c r="Q1159" s="81"/>
      <c r="R1159" s="81"/>
      <c r="S1159" s="81"/>
      <c r="T1159" s="81"/>
      <c r="U1159" s="102">
        <v>3.7080000000000002</v>
      </c>
      <c r="V1159" s="102">
        <v>3.7080000000000002</v>
      </c>
      <c r="W1159" s="102">
        <v>3.7080000000000002</v>
      </c>
      <c r="X1159" s="274">
        <f t="shared" ref="X1159:AB1167" si="175">W1159</f>
        <v>3.7080000000000002</v>
      </c>
      <c r="Y1159" s="274">
        <f t="shared" si="175"/>
        <v>3.7080000000000002</v>
      </c>
      <c r="Z1159" s="274">
        <f t="shared" si="175"/>
        <v>3.7080000000000002</v>
      </c>
      <c r="AA1159" s="274">
        <f t="shared" si="175"/>
        <v>3.7080000000000002</v>
      </c>
      <c r="AB1159" s="274">
        <f t="shared" si="175"/>
        <v>3.7080000000000002</v>
      </c>
      <c r="AC1159" s="81"/>
      <c r="AD1159" s="102" t="s">
        <v>2138</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2139</v>
      </c>
      <c r="G1160" s="78"/>
      <c r="H1160" s="81" t="s">
        <v>2140</v>
      </c>
      <c r="I1160" s="81"/>
      <c r="J1160" s="81"/>
      <c r="K1160" s="81"/>
      <c r="L1160" s="81"/>
      <c r="M1160" s="81"/>
      <c r="N1160" s="81"/>
      <c r="O1160" s="81"/>
      <c r="P1160" s="81"/>
      <c r="Q1160" s="81"/>
      <c r="R1160" s="81"/>
      <c r="S1160" s="81"/>
      <c r="T1160" s="81"/>
      <c r="U1160" s="102">
        <v>-0.3417</v>
      </c>
      <c r="V1160" s="102">
        <v>-0.3417</v>
      </c>
      <c r="W1160" s="102">
        <v>-0.3417</v>
      </c>
      <c r="X1160" s="274">
        <f t="shared" si="175"/>
        <v>-0.3417</v>
      </c>
      <c r="Y1160" s="274">
        <f t="shared" si="175"/>
        <v>-0.3417</v>
      </c>
      <c r="Z1160" s="274">
        <f t="shared" si="175"/>
        <v>-0.3417</v>
      </c>
      <c r="AA1160" s="274">
        <f t="shared" si="175"/>
        <v>-0.3417</v>
      </c>
      <c r="AB1160" s="27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2141</v>
      </c>
      <c r="G1161" s="78"/>
      <c r="H1161" s="81" t="s">
        <v>2142</v>
      </c>
      <c r="I1161" s="81"/>
      <c r="J1161" s="81"/>
      <c r="K1161" s="81"/>
      <c r="L1161" s="81"/>
      <c r="M1161" s="81"/>
      <c r="N1161" s="81"/>
      <c r="O1161" s="81"/>
      <c r="P1161" s="81"/>
      <c r="Q1161" s="81"/>
      <c r="R1161" s="81"/>
      <c r="S1161" s="81"/>
      <c r="T1161" s="81"/>
      <c r="U1161" s="102">
        <v>-1.017E-2</v>
      </c>
      <c r="V1161" s="102">
        <v>-1.017E-2</v>
      </c>
      <c r="W1161" s="102">
        <v>-1.017E-2</v>
      </c>
      <c r="X1161" s="274">
        <f t="shared" si="175"/>
        <v>-1.017E-2</v>
      </c>
      <c r="Y1161" s="274">
        <f t="shared" si="175"/>
        <v>-1.017E-2</v>
      </c>
      <c r="Z1161" s="274">
        <f t="shared" si="175"/>
        <v>-1.017E-2</v>
      </c>
      <c r="AA1161" s="274">
        <f t="shared" si="175"/>
        <v>-1.017E-2</v>
      </c>
      <c r="AB1161" s="27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2143</v>
      </c>
      <c r="G1162" s="78"/>
      <c r="H1162" s="81" t="s">
        <v>2673</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2145</v>
      </c>
      <c r="G1163" s="78"/>
      <c r="H1163" s="81" t="s">
        <v>2144</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274">
        <f t="shared" si="175"/>
        <v>1.5920000000000001E-3</v>
      </c>
      <c r="Y1163" s="274">
        <f t="shared" si="175"/>
        <v>1.5920000000000001E-3</v>
      </c>
      <c r="Z1163" s="274">
        <f t="shared" si="175"/>
        <v>1.5920000000000001E-3</v>
      </c>
      <c r="AA1163" s="274">
        <f t="shared" si="175"/>
        <v>1.5920000000000001E-3</v>
      </c>
      <c r="AB1163" s="27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2676</v>
      </c>
      <c r="G1164" s="78"/>
      <c r="H1164" s="81" t="s">
        <v>2146</v>
      </c>
      <c r="I1164" s="81"/>
      <c r="J1164" s="81"/>
      <c r="K1164" s="81"/>
      <c r="L1164" s="81"/>
      <c r="M1164" s="81"/>
      <c r="N1164" s="81"/>
      <c r="O1164" s="81"/>
      <c r="P1164" s="81"/>
      <c r="Q1164" s="81"/>
      <c r="R1164" s="81"/>
      <c r="S1164" s="81"/>
      <c r="T1164" s="81"/>
      <c r="U1164" s="102">
        <v>-3.7E-7</v>
      </c>
      <c r="V1164" s="102">
        <v>-3.7E-7</v>
      </c>
      <c r="W1164" s="102">
        <v>-3.7E-7</v>
      </c>
      <c r="X1164" s="274">
        <f t="shared" si="175"/>
        <v>-3.7E-7</v>
      </c>
      <c r="Y1164" s="274">
        <f t="shared" si="175"/>
        <v>-3.7E-7</v>
      </c>
      <c r="Z1164" s="274">
        <f t="shared" si="175"/>
        <v>-3.7E-7</v>
      </c>
      <c r="AA1164" s="274">
        <f t="shared" si="175"/>
        <v>-3.7E-7</v>
      </c>
      <c r="AB1164" s="27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2677</v>
      </c>
      <c r="G1165" s="78"/>
      <c r="H1165" s="81" t="s">
        <v>2674</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2678</v>
      </c>
      <c r="G1166" s="78"/>
      <c r="H1166" s="81" t="s">
        <v>2675</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2147</v>
      </c>
      <c r="G1167" s="78"/>
      <c r="H1167" s="81" t="s">
        <v>2148</v>
      </c>
      <c r="I1167" s="81"/>
      <c r="J1167" s="81"/>
      <c r="K1167" s="81"/>
      <c r="L1167" s="81"/>
      <c r="M1167" s="81"/>
      <c r="N1167" s="81"/>
      <c r="O1167" s="81"/>
      <c r="P1167" s="81"/>
      <c r="Q1167" s="81"/>
      <c r="R1167" s="81"/>
      <c r="S1167" s="81"/>
      <c r="T1167" s="81"/>
      <c r="U1167" s="102">
        <v>1.2949999999999999</v>
      </c>
      <c r="V1167" s="102">
        <v>1.2949999999999999</v>
      </c>
      <c r="W1167" s="102">
        <v>1.2949999999999999</v>
      </c>
      <c r="X1167" s="274">
        <f t="shared" si="175"/>
        <v>1.2949999999999999</v>
      </c>
      <c r="Y1167" s="274">
        <f t="shared" si="175"/>
        <v>1.2949999999999999</v>
      </c>
      <c r="Z1167" s="274">
        <f t="shared" si="175"/>
        <v>1.2949999999999999</v>
      </c>
      <c r="AA1167" s="274">
        <f t="shared" si="175"/>
        <v>1.2949999999999999</v>
      </c>
      <c r="AB1167" s="27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2149</v>
      </c>
      <c r="G1168" s="78"/>
      <c r="H1168" s="81" t="s">
        <v>685</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2150</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2151</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2152</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2153</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2621</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2622</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2623</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2154</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2155</v>
      </c>
      <c r="G1177" s="78"/>
      <c r="H1177" s="81" t="s">
        <v>685</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2156</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2157</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2158</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2159</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2624</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2625</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2626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2160</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2161</v>
      </c>
      <c r="G1186" s="78"/>
      <c r="H1186" s="81" t="s">
        <v>685</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2162</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2163</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2164</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2165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2627</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2628</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2629</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2166</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2167</v>
      </c>
      <c r="G1195" s="78"/>
      <c r="H1195" s="81" t="s">
        <v>685</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2168</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2169</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2170</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2171</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2630</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2631</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2632</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2172</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2173</v>
      </c>
      <c r="G1204" s="78"/>
      <c r="H1204" s="81" t="s">
        <v>685</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2174</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2175</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2176</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2177</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2633</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2634</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2635</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2178</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2179</v>
      </c>
      <c r="G1213" s="78"/>
      <c r="H1213" s="81" t="s">
        <v>685</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2180</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2181</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2182</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2183</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2636</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2637</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2638</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2184</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2185</v>
      </c>
      <c r="G1222" s="78"/>
      <c r="H1222" s="81" t="s">
        <v>685</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2186</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2187</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2188</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2189</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2639</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2640</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2641</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2190</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2191</v>
      </c>
      <c r="G1231" s="78"/>
      <c r="H1231" s="81" t="s">
        <v>685</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2192</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2193</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2194</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2195</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2642</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2643</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2644</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2196</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2197</v>
      </c>
      <c r="G1240" s="78"/>
      <c r="H1240" s="81" t="s">
        <v>685</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2198</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2199</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2200</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2201</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2645</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2646</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2647</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2202</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2203</v>
      </c>
      <c r="G1249" s="78"/>
      <c r="H1249" s="81" t="s">
        <v>685</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2204</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2205</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2206</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2207</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2648</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2649</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2650</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2208</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2209</v>
      </c>
      <c r="G1258" s="78"/>
      <c r="H1258" s="81" t="s">
        <v>685</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2210</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2211</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2212</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2213</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2651</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2652</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2653</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2214</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2215</v>
      </c>
      <c r="G1267" s="78"/>
      <c r="H1267" s="81" t="s">
        <v>2216</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274">
        <f t="shared" ref="X1267:AB1268" si="178">W1267</f>
        <v>0.57699999999999996</v>
      </c>
      <c r="Y1267" s="274">
        <f t="shared" si="178"/>
        <v>0.57699999999999996</v>
      </c>
      <c r="Z1267" s="274">
        <f t="shared" si="178"/>
        <v>0.57699999999999996</v>
      </c>
      <c r="AA1267" s="274">
        <f t="shared" si="178"/>
        <v>0.57699999999999996</v>
      </c>
      <c r="AB1267" s="274">
        <f t="shared" si="178"/>
        <v>0.57699999999999996</v>
      </c>
      <c r="AC1267" s="81"/>
      <c r="AD1267" s="102" t="s">
        <v>2217</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2218</v>
      </c>
      <c r="G1268" s="78"/>
      <c r="H1268" s="81" t="s">
        <v>2219</v>
      </c>
      <c r="I1268" s="81"/>
      <c r="J1268" s="81"/>
      <c r="K1268" s="81"/>
      <c r="L1268" s="81"/>
      <c r="M1268" s="81"/>
      <c r="N1268" s="81"/>
      <c r="O1268" s="81"/>
      <c r="P1268" s="81"/>
      <c r="Q1268" s="81"/>
      <c r="R1268" s="81"/>
      <c r="S1268" s="81"/>
      <c r="T1268" s="81"/>
      <c r="U1268" s="102">
        <v>-1.2E-2</v>
      </c>
      <c r="V1268" s="102">
        <v>-1.2E-2</v>
      </c>
      <c r="W1268" s="102">
        <v>-1.2E-2</v>
      </c>
      <c r="X1268" s="274">
        <f t="shared" si="178"/>
        <v>-1.2E-2</v>
      </c>
      <c r="Y1268" s="274">
        <f t="shared" si="178"/>
        <v>-1.2E-2</v>
      </c>
      <c r="Z1268" s="274">
        <f t="shared" si="178"/>
        <v>-1.2E-2</v>
      </c>
      <c r="AA1268" s="274">
        <f t="shared" si="178"/>
        <v>-1.2E-2</v>
      </c>
      <c r="AB1268" s="27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2220</v>
      </c>
      <c r="G1269" s="78"/>
      <c r="H1269" s="81" t="s">
        <v>2221</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2222</v>
      </c>
      <c r="G1270" s="78"/>
      <c r="H1270" s="429" t="s">
        <v>2667</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2224</v>
      </c>
      <c r="G1271" s="78"/>
      <c r="H1271" s="81" t="s">
        <v>2223</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2672</v>
      </c>
      <c r="G1272" s="78"/>
      <c r="H1272" s="81" t="s">
        <v>2225</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2670</v>
      </c>
      <c r="G1273" s="78"/>
      <c r="H1273" s="429" t="s">
        <v>2668</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2671</v>
      </c>
      <c r="G1274" s="78"/>
      <c r="H1274" s="429" t="s">
        <v>2669</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2226</v>
      </c>
      <c r="G1275" s="78"/>
      <c r="H1275" s="81" t="s">
        <v>2227</v>
      </c>
      <c r="I1275" s="81"/>
      <c r="J1275" s="81"/>
      <c r="K1275" s="81"/>
      <c r="L1275" s="81"/>
      <c r="M1275" s="81"/>
      <c r="N1275" s="81"/>
      <c r="O1275" s="81"/>
      <c r="P1275" s="81"/>
      <c r="Q1275" s="81"/>
      <c r="R1275" s="81"/>
      <c r="S1275" s="81"/>
      <c r="T1275" s="81"/>
      <c r="U1275" s="102">
        <v>-4.07</v>
      </c>
      <c r="V1275" s="102">
        <v>-4.07</v>
      </c>
      <c r="W1275" s="102">
        <v>-4.07</v>
      </c>
      <c r="X1275" s="274">
        <f>W1275</f>
        <v>-4.07</v>
      </c>
      <c r="Y1275" s="274">
        <f>X1275</f>
        <v>-4.07</v>
      </c>
      <c r="Z1275" s="274">
        <f>Y1275</f>
        <v>-4.07</v>
      </c>
      <c r="AA1275" s="274">
        <f>Z1275</f>
        <v>-4.07</v>
      </c>
      <c r="AB1275" s="27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2228</v>
      </c>
      <c r="G1276" s="78"/>
      <c r="H1276" s="81" t="s">
        <v>685</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2229</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2230</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2231</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2654</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2655</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2656</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2233</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2234</v>
      </c>
      <c r="G1285" s="78"/>
      <c r="H1285" s="81" t="s">
        <v>2235</v>
      </c>
      <c r="I1285" s="81"/>
      <c r="J1285" s="81"/>
      <c r="K1285" s="81"/>
      <c r="L1285" s="81"/>
      <c r="M1285" s="81"/>
      <c r="N1285" s="81"/>
      <c r="O1285" s="81"/>
      <c r="P1285" s="81"/>
      <c r="Q1285" s="81"/>
      <c r="R1285" s="81"/>
      <c r="S1285" s="81"/>
      <c r="T1285" s="81"/>
      <c r="U1285" s="102">
        <v>-8.4959000000000007</v>
      </c>
      <c r="V1285" s="282">
        <f t="shared" ref="V1285:AB1286" si="181">U1285</f>
        <v>-8.4959000000000007</v>
      </c>
      <c r="W1285" s="282">
        <f t="shared" si="181"/>
        <v>-8.4959000000000007</v>
      </c>
      <c r="X1285" s="282">
        <f t="shared" si="181"/>
        <v>-8.4959000000000007</v>
      </c>
      <c r="Y1285" s="282">
        <f t="shared" si="181"/>
        <v>-8.4959000000000007</v>
      </c>
      <c r="Z1285" s="282">
        <f t="shared" si="181"/>
        <v>-8.4959000000000007</v>
      </c>
      <c r="AA1285" s="282">
        <f t="shared" si="181"/>
        <v>-8.4959000000000007</v>
      </c>
      <c r="AB1285" s="28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2236</v>
      </c>
      <c r="G1286" s="78"/>
      <c r="H1286" s="81" t="s">
        <v>2679</v>
      </c>
      <c r="I1286" s="81"/>
      <c r="J1286" s="81"/>
      <c r="K1286" s="81"/>
      <c r="L1286" s="81"/>
      <c r="M1286" s="81"/>
      <c r="N1286" s="81"/>
      <c r="O1286" s="81"/>
      <c r="P1286" s="81"/>
      <c r="Q1286" s="81"/>
      <c r="R1286" s="81"/>
      <c r="S1286" s="81"/>
      <c r="T1286" s="81"/>
      <c r="U1286" s="102">
        <v>1.38185</v>
      </c>
      <c r="V1286" s="282">
        <f t="shared" si="181"/>
        <v>1.38185</v>
      </c>
      <c r="W1286" s="282">
        <f t="shared" si="181"/>
        <v>1.38185</v>
      </c>
      <c r="X1286" s="282">
        <f t="shared" si="181"/>
        <v>1.38185</v>
      </c>
      <c r="Y1286" s="282">
        <f t="shared" si="181"/>
        <v>1.38185</v>
      </c>
      <c r="Z1286" s="282">
        <f t="shared" si="181"/>
        <v>1.38185</v>
      </c>
      <c r="AA1286" s="282">
        <f t="shared" si="181"/>
        <v>1.38185</v>
      </c>
      <c r="AB1286" s="28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2237</v>
      </c>
      <c r="G1287" s="78"/>
      <c r="H1287" s="429" t="s">
        <v>2694</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2238</v>
      </c>
      <c r="G1288" s="78"/>
      <c r="H1288" s="429" t="s">
        <v>2695</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2239</v>
      </c>
      <c r="G1289" s="78"/>
      <c r="H1289" s="429" t="s">
        <v>2696</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2588</v>
      </c>
      <c r="G1290" s="78"/>
      <c r="H1290" s="429" t="s">
        <v>2697</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2589</v>
      </c>
      <c r="G1291" s="78"/>
      <c r="H1291" s="429" t="s">
        <v>2698</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2590</v>
      </c>
      <c r="G1292" s="78"/>
      <c r="H1292" s="429" t="s">
        <v>2699</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2240</v>
      </c>
      <c r="G1293" s="78"/>
      <c r="H1293" s="81" t="s">
        <v>2680</v>
      </c>
      <c r="I1293" s="81"/>
      <c r="J1293" s="81"/>
      <c r="K1293" s="81"/>
      <c r="L1293" s="81"/>
      <c r="M1293" s="81"/>
      <c r="N1293" s="81"/>
      <c r="O1293" s="81"/>
      <c r="P1293" s="81"/>
      <c r="Q1293" s="81"/>
      <c r="R1293" s="81"/>
      <c r="S1293" s="81"/>
      <c r="T1293" s="81"/>
      <c r="U1293" s="102">
        <v>7.50061</v>
      </c>
      <c r="V1293" s="282">
        <f>U1293</f>
        <v>7.50061</v>
      </c>
      <c r="W1293" s="282">
        <f t="shared" ref="W1293:AB1293" si="183">V1293</f>
        <v>7.50061</v>
      </c>
      <c r="X1293" s="282">
        <f t="shared" si="183"/>
        <v>7.50061</v>
      </c>
      <c r="Y1293" s="282">
        <f t="shared" si="183"/>
        <v>7.50061</v>
      </c>
      <c r="Z1293" s="282">
        <f t="shared" si="183"/>
        <v>7.50061</v>
      </c>
      <c r="AA1293" s="282">
        <f t="shared" si="183"/>
        <v>7.50061</v>
      </c>
      <c r="AB1293" s="28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2591</v>
      </c>
      <c r="G1294" s="78"/>
      <c r="H1294" s="81" t="s">
        <v>685</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2592</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2593</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2594</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2595</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2596</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2597</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2598</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2599</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2600</v>
      </c>
      <c r="G1303" s="78"/>
      <c r="H1303" s="81" t="s">
        <v>2666</v>
      </c>
      <c r="I1303" s="81"/>
      <c r="J1303" s="81"/>
      <c r="K1303" s="81"/>
      <c r="L1303" s="81"/>
      <c r="M1303" s="81"/>
      <c r="N1303" s="81"/>
      <c r="O1303" s="81"/>
      <c r="P1303" s="81"/>
      <c r="Q1303" s="81"/>
      <c r="R1303" s="81"/>
      <c r="S1303" s="81"/>
      <c r="T1303" s="81"/>
      <c r="U1303" s="102">
        <v>0.43659999999999999</v>
      </c>
      <c r="V1303" s="274">
        <f t="shared" ref="V1303:W1307" si="187">U1303</f>
        <v>0.43659999999999999</v>
      </c>
      <c r="W1303" s="274">
        <f t="shared" si="187"/>
        <v>0.43659999999999999</v>
      </c>
      <c r="X1303" s="274">
        <f t="shared" ref="X1303:X1307" si="188">Y1303</f>
        <v>0.36530000000000001</v>
      </c>
      <c r="Y1303" s="102">
        <v>0.36530000000000001</v>
      </c>
      <c r="Z1303" s="274">
        <f t="shared" ref="Z1303:AB1303" si="189">Y1303</f>
        <v>0.36530000000000001</v>
      </c>
      <c r="AA1303" s="274">
        <f t="shared" si="189"/>
        <v>0.36530000000000001</v>
      </c>
      <c r="AB1303" s="274">
        <f t="shared" si="189"/>
        <v>0.36530000000000001</v>
      </c>
      <c r="AC1303" s="81"/>
      <c r="AD1303" s="102" t="s">
        <v>2784</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2601</v>
      </c>
      <c r="G1304" s="78"/>
      <c r="H1304" s="81" t="s">
        <v>2681</v>
      </c>
      <c r="I1304" s="81"/>
      <c r="J1304" s="81"/>
      <c r="K1304" s="81"/>
      <c r="L1304" s="81"/>
      <c r="M1304" s="81"/>
      <c r="N1304" s="81"/>
      <c r="O1304" s="81"/>
      <c r="P1304" s="81"/>
      <c r="Q1304" s="81"/>
      <c r="R1304" s="81"/>
      <c r="S1304" s="81"/>
      <c r="T1304" s="81"/>
      <c r="U1304" s="102">
        <v>-3.7200000000000002E-3</v>
      </c>
      <c r="V1304" s="274">
        <f t="shared" si="187"/>
        <v>-3.7200000000000002E-3</v>
      </c>
      <c r="W1304" s="274">
        <f t="shared" si="187"/>
        <v>-3.7200000000000002E-3</v>
      </c>
      <c r="X1304" s="274">
        <f t="shared" si="188"/>
        <v>-3.1389999999999999E-3</v>
      </c>
      <c r="Y1304" s="102">
        <v>-3.1389999999999999E-3</v>
      </c>
      <c r="Z1304" s="274">
        <f t="shared" ref="Z1304:AB1304" si="190">Y1304</f>
        <v>-3.1389999999999999E-3</v>
      </c>
      <c r="AA1304" s="274">
        <f t="shared" si="190"/>
        <v>-3.1389999999999999E-3</v>
      </c>
      <c r="AB1304" s="274">
        <f t="shared" si="190"/>
        <v>-3.1389999999999999E-3</v>
      </c>
      <c r="AC1304" s="81"/>
      <c r="AD1304" s="81"/>
      <c r="AE1304" s="81"/>
      <c r="AF1304" s="102">
        <v>1</v>
      </c>
      <c r="AG1304" s="102">
        <v>1</v>
      </c>
      <c r="AH1304" s="78"/>
      <c r="AI1304" s="60"/>
      <c r="AJ1304" s="48"/>
      <c r="AK1304" s="48"/>
      <c r="AL1304" s="48"/>
    </row>
    <row r="1305" spans="1:38" outlineLevel="2" x14ac:dyDescent="0.25">
      <c r="A1305" s="48"/>
      <c r="B1305" s="57"/>
      <c r="C1305" s="50">
        <f t="shared" ref="C1305:C1310" si="191">INT($C$40)+3</f>
        <v>4</v>
      </c>
      <c r="D1305" s="78"/>
      <c r="E1305" s="73"/>
      <c r="F1305" s="73" t="s">
        <v>2602</v>
      </c>
      <c r="G1305" s="78"/>
      <c r="H1305" s="430" t="s">
        <v>2682</v>
      </c>
      <c r="I1305" s="81"/>
      <c r="J1305" s="81"/>
      <c r="K1305" s="81"/>
      <c r="L1305" s="81"/>
      <c r="M1305" s="81"/>
      <c r="N1305" s="81"/>
      <c r="O1305" s="81"/>
      <c r="P1305" s="81"/>
      <c r="Q1305" s="81"/>
      <c r="R1305" s="81"/>
      <c r="S1305" s="81"/>
      <c r="T1305" s="81"/>
      <c r="U1305" s="102">
        <v>4.2500000000000003E-2</v>
      </c>
      <c r="V1305" s="274">
        <f t="shared" si="187"/>
        <v>4.2500000000000003E-2</v>
      </c>
      <c r="W1305" s="274">
        <f t="shared" si="187"/>
        <v>4.2500000000000003E-2</v>
      </c>
      <c r="X1305" s="274">
        <f t="shared" si="188"/>
        <v>0</v>
      </c>
      <c r="Y1305" s="102">
        <v>0</v>
      </c>
      <c r="Z1305" s="274">
        <f t="shared" ref="Z1305:AB1305" si="192">Y1305</f>
        <v>0</v>
      </c>
      <c r="AA1305" s="274">
        <f t="shared" si="192"/>
        <v>0</v>
      </c>
      <c r="AB1305" s="274">
        <f t="shared" si="192"/>
        <v>0</v>
      </c>
      <c r="AC1305" s="81"/>
      <c r="AD1305" s="81"/>
      <c r="AE1305" s="81"/>
      <c r="AF1305" s="102">
        <v>1</v>
      </c>
      <c r="AG1305" s="102">
        <v>1</v>
      </c>
      <c r="AH1305" s="78"/>
      <c r="AI1305" s="60"/>
      <c r="AJ1305" s="48"/>
      <c r="AK1305" s="48"/>
      <c r="AL1305" s="48"/>
    </row>
    <row r="1306" spans="1:38" outlineLevel="2" x14ac:dyDescent="0.25">
      <c r="A1306" s="48"/>
      <c r="B1306" s="57"/>
      <c r="C1306" s="50">
        <f t="shared" si="191"/>
        <v>4</v>
      </c>
      <c r="D1306" s="78"/>
      <c r="E1306" s="73"/>
      <c r="F1306" s="73" t="s">
        <v>2603</v>
      </c>
      <c r="G1306" s="78"/>
      <c r="H1306" s="430" t="s">
        <v>2780</v>
      </c>
      <c r="I1306" s="81"/>
      <c r="J1306" s="81"/>
      <c r="K1306" s="81"/>
      <c r="L1306" s="81"/>
      <c r="M1306" s="81"/>
      <c r="N1306" s="81"/>
      <c r="O1306" s="81"/>
      <c r="P1306" s="81"/>
      <c r="Q1306" s="81"/>
      <c r="R1306" s="81"/>
      <c r="S1306" s="81"/>
      <c r="T1306" s="81"/>
      <c r="U1306" s="102">
        <v>-7.3579999999999997E-5</v>
      </c>
      <c r="V1306" s="274">
        <f t="shared" si="187"/>
        <v>-7.3579999999999997E-5</v>
      </c>
      <c r="W1306" s="274">
        <f t="shared" si="187"/>
        <v>-7.3579999999999997E-5</v>
      </c>
      <c r="X1306" s="274">
        <f t="shared" si="188"/>
        <v>0</v>
      </c>
      <c r="Y1306" s="102">
        <v>0</v>
      </c>
      <c r="Z1306" s="274">
        <f t="shared" ref="Z1306" si="193">Y1306</f>
        <v>0</v>
      </c>
      <c r="AA1306" s="274">
        <f t="shared" ref="AA1306" si="194">Z1306</f>
        <v>0</v>
      </c>
      <c r="AB1306" s="274">
        <f t="shared" ref="AB1306" si="195">AA1306</f>
        <v>0</v>
      </c>
      <c r="AC1306" s="81"/>
      <c r="AD1306" s="81"/>
      <c r="AE1306" s="81"/>
      <c r="AF1306" s="81">
        <v>1</v>
      </c>
      <c r="AG1306" s="81">
        <v>1</v>
      </c>
      <c r="AH1306" s="78"/>
      <c r="AI1306" s="60"/>
      <c r="AJ1306" s="48"/>
      <c r="AK1306" s="48"/>
      <c r="AL1306" s="48"/>
    </row>
    <row r="1307" spans="1:38" outlineLevel="2" collapsed="1" x14ac:dyDescent="0.25">
      <c r="A1307" s="48"/>
      <c r="B1307" s="57"/>
      <c r="C1307" s="50">
        <f t="shared" si="191"/>
        <v>4</v>
      </c>
      <c r="D1307" s="78"/>
      <c r="E1307" s="73"/>
      <c r="F1307" s="73" t="s">
        <v>2604</v>
      </c>
      <c r="G1307" s="78"/>
      <c r="H1307" s="430" t="s">
        <v>2683</v>
      </c>
      <c r="I1307" s="81"/>
      <c r="J1307" s="81"/>
      <c r="K1307" s="81"/>
      <c r="L1307" s="81"/>
      <c r="M1307" s="81"/>
      <c r="N1307" s="81"/>
      <c r="O1307" s="81"/>
      <c r="P1307" s="81"/>
      <c r="Q1307" s="81"/>
      <c r="R1307" s="81"/>
      <c r="S1307" s="81"/>
      <c r="T1307" s="81"/>
      <c r="U1307" s="102">
        <v>4.0000000000000001E-3</v>
      </c>
      <c r="V1307" s="274">
        <f t="shared" si="187"/>
        <v>4.0000000000000001E-3</v>
      </c>
      <c r="W1307" s="274">
        <f t="shared" si="187"/>
        <v>4.0000000000000001E-3</v>
      </c>
      <c r="X1307" s="274">
        <f t="shared" si="188"/>
        <v>4.0000000000000001E-3</v>
      </c>
      <c r="Y1307" s="102">
        <v>4.0000000000000001E-3</v>
      </c>
      <c r="Z1307" s="274">
        <f t="shared" ref="Z1307:AB1307" si="196">Y1307</f>
        <v>4.0000000000000001E-3</v>
      </c>
      <c r="AA1307" s="274">
        <f t="shared" si="196"/>
        <v>4.0000000000000001E-3</v>
      </c>
      <c r="AB1307" s="274">
        <f t="shared" si="196"/>
        <v>4.0000000000000001E-3</v>
      </c>
      <c r="AC1307" s="81"/>
      <c r="AD1307" s="81"/>
      <c r="AE1307" s="81"/>
      <c r="AF1307" s="102">
        <v>1</v>
      </c>
      <c r="AG1307" s="102">
        <v>1</v>
      </c>
      <c r="AH1307" s="78"/>
      <c r="AI1307" s="60"/>
      <c r="AJ1307" s="48"/>
      <c r="AK1307" s="48"/>
      <c r="AL1307" s="48"/>
    </row>
    <row r="1308" spans="1:38" hidden="1" outlineLevel="3" x14ac:dyDescent="0.25">
      <c r="A1308" s="48"/>
      <c r="B1308" s="57"/>
      <c r="C1308" s="50">
        <f t="shared" si="191"/>
        <v>4</v>
      </c>
      <c r="D1308" s="78"/>
      <c r="E1308" s="73"/>
      <c r="F1308" s="73" t="s">
        <v>2605</v>
      </c>
      <c r="G1308" s="78"/>
      <c r="H1308" s="429" t="s">
        <v>2781</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1"/>
        <v>4</v>
      </c>
      <c r="D1309" s="78"/>
      <c r="E1309" s="73"/>
      <c r="F1309" s="73" t="s">
        <v>2606</v>
      </c>
      <c r="G1309" s="78"/>
      <c r="H1309" s="430" t="s">
        <v>2684</v>
      </c>
      <c r="I1309" s="81"/>
      <c r="J1309" s="81"/>
      <c r="K1309" s="81"/>
      <c r="L1309" s="81"/>
      <c r="M1309" s="81"/>
      <c r="N1309" s="81"/>
      <c r="O1309" s="81"/>
      <c r="P1309" s="81"/>
      <c r="Q1309" s="81"/>
      <c r="R1309" s="81"/>
      <c r="S1309" s="81"/>
      <c r="T1309" s="81"/>
      <c r="U1309" s="102">
        <v>2.75E-2</v>
      </c>
      <c r="V1309" s="274">
        <f t="shared" ref="V1309:W1309" si="197">U1309</f>
        <v>2.75E-2</v>
      </c>
      <c r="W1309" s="274">
        <f t="shared" si="197"/>
        <v>2.75E-2</v>
      </c>
      <c r="X1309" s="274">
        <f t="shared" ref="X1309" si="198">Y1309</f>
        <v>2.7E-2</v>
      </c>
      <c r="Y1309" s="102">
        <v>2.7E-2</v>
      </c>
      <c r="Z1309" s="274">
        <f t="shared" ref="Z1309:AB1309" si="199">Y1309</f>
        <v>2.7E-2</v>
      </c>
      <c r="AA1309" s="274">
        <f t="shared" si="199"/>
        <v>2.7E-2</v>
      </c>
      <c r="AB1309" s="274">
        <f t="shared" si="199"/>
        <v>2.7E-2</v>
      </c>
      <c r="AC1309" s="81"/>
      <c r="AD1309" s="81"/>
      <c r="AE1309" s="81"/>
      <c r="AF1309" s="102">
        <v>1</v>
      </c>
      <c r="AG1309" s="102">
        <v>1</v>
      </c>
      <c r="AH1309" s="78"/>
      <c r="AI1309" s="60"/>
      <c r="AJ1309" s="48"/>
      <c r="AK1309" s="48"/>
      <c r="AL1309" s="48"/>
    </row>
    <row r="1310" spans="1:38" hidden="1" outlineLevel="3" x14ac:dyDescent="0.25">
      <c r="A1310" s="48"/>
      <c r="B1310" s="57"/>
      <c r="C1310" s="50">
        <f t="shared" si="191"/>
        <v>4</v>
      </c>
      <c r="D1310" s="78"/>
      <c r="E1310" s="73"/>
      <c r="F1310" s="73" t="s">
        <v>2607</v>
      </c>
      <c r="G1310" s="78"/>
      <c r="H1310" s="429" t="s">
        <v>2782</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0">INT($C$40)+2</f>
        <v>3</v>
      </c>
      <c r="D1311" s="78"/>
      <c r="E1311" s="73"/>
      <c r="F1311" s="73" t="s">
        <v>2608</v>
      </c>
      <c r="G1311" s="78"/>
      <c r="H1311" s="81" t="s">
        <v>2685</v>
      </c>
      <c r="I1311" s="81"/>
      <c r="J1311" s="81"/>
      <c r="K1311" s="81"/>
      <c r="L1311" s="81"/>
      <c r="M1311" s="81"/>
      <c r="N1311" s="81"/>
      <c r="O1311" s="81"/>
      <c r="P1311" s="81"/>
      <c r="Q1311" s="81"/>
      <c r="R1311" s="81"/>
      <c r="S1311" s="81"/>
      <c r="T1311" s="81"/>
      <c r="U1311" s="102">
        <v>17.9176</v>
      </c>
      <c r="V1311" s="274">
        <f t="shared" ref="V1311:W1314" si="201">U1311</f>
        <v>17.9176</v>
      </c>
      <c r="W1311" s="274">
        <f t="shared" si="201"/>
        <v>17.9176</v>
      </c>
      <c r="X1311" s="274">
        <f t="shared" ref="X1311:X1314" si="202">Y1311</f>
        <v>9.1054999999999993</v>
      </c>
      <c r="Y1311" s="102">
        <v>9.1054999999999993</v>
      </c>
      <c r="Z1311" s="274">
        <f t="shared" ref="Z1311:AB1311" si="203">Y1311</f>
        <v>9.1054999999999993</v>
      </c>
      <c r="AA1311" s="274">
        <f t="shared" si="203"/>
        <v>9.1054999999999993</v>
      </c>
      <c r="AB1311" s="274">
        <f t="shared" si="203"/>
        <v>9.1054999999999993</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2657</v>
      </c>
      <c r="G1312" s="78"/>
      <c r="H1312" s="81" t="s">
        <v>2731</v>
      </c>
      <c r="I1312" s="81"/>
      <c r="J1312" s="81"/>
      <c r="K1312" s="81"/>
      <c r="L1312" s="81"/>
      <c r="M1312" s="81"/>
      <c r="N1312" s="81"/>
      <c r="O1312" s="81"/>
      <c r="P1312" s="81"/>
      <c r="Q1312" s="81"/>
      <c r="R1312" s="81"/>
      <c r="S1312" s="81"/>
      <c r="T1312" s="81"/>
      <c r="U1312" s="102">
        <v>8.5999999999999993E-2</v>
      </c>
      <c r="V1312" s="102">
        <v>9.2499999999999999E-2</v>
      </c>
      <c r="W1312" s="274">
        <f t="shared" si="201"/>
        <v>9.2499999999999999E-2</v>
      </c>
      <c r="X1312" s="274">
        <f t="shared" si="202"/>
        <v>0.08</v>
      </c>
      <c r="Y1312" s="102">
        <v>0.08</v>
      </c>
      <c r="Z1312" s="274">
        <f t="shared" ref="Z1312:AB1312" si="204">Y1312</f>
        <v>0.08</v>
      </c>
      <c r="AA1312" s="274">
        <f t="shared" si="204"/>
        <v>0.08</v>
      </c>
      <c r="AB1312" s="274">
        <f t="shared" si="204"/>
        <v>0.08</v>
      </c>
      <c r="AC1312" s="81"/>
      <c r="AD1312" s="102" t="s">
        <v>2783</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2658</v>
      </c>
      <c r="G1313" s="78"/>
      <c r="H1313" s="81" t="s">
        <v>2686</v>
      </c>
      <c r="I1313" s="81"/>
      <c r="J1313" s="81"/>
      <c r="K1313" s="81"/>
      <c r="L1313" s="81"/>
      <c r="M1313" s="81"/>
      <c r="N1313" s="81"/>
      <c r="O1313" s="81"/>
      <c r="P1313" s="81"/>
      <c r="Q1313" s="81"/>
      <c r="R1313" s="81"/>
      <c r="S1313" s="81"/>
      <c r="T1313" s="81"/>
      <c r="U1313" s="102">
        <v>0</v>
      </c>
      <c r="V1313" s="102">
        <v>0</v>
      </c>
      <c r="W1313" s="274">
        <f t="shared" si="201"/>
        <v>0</v>
      </c>
      <c r="X1313" s="274">
        <f t="shared" si="202"/>
        <v>0</v>
      </c>
      <c r="Y1313" s="102">
        <v>0</v>
      </c>
      <c r="Z1313" s="274">
        <f t="shared" ref="Z1313:AB1313" si="205">Y1313</f>
        <v>0</v>
      </c>
      <c r="AA1313" s="274">
        <f t="shared" si="205"/>
        <v>0</v>
      </c>
      <c r="AB1313" s="274">
        <f t="shared" si="205"/>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6">INT($C$40)+3</f>
        <v>4</v>
      </c>
      <c r="D1314" s="78"/>
      <c r="E1314" s="73"/>
      <c r="F1314" s="73" t="s">
        <v>2659</v>
      </c>
      <c r="G1314" s="78"/>
      <c r="H1314" s="430" t="s">
        <v>2687</v>
      </c>
      <c r="I1314" s="81"/>
      <c r="J1314" s="81"/>
      <c r="K1314" s="81"/>
      <c r="L1314" s="81"/>
      <c r="M1314" s="81"/>
      <c r="N1314" s="81"/>
      <c r="O1314" s="81"/>
      <c r="P1314" s="81"/>
      <c r="Q1314" s="81"/>
      <c r="R1314" s="81"/>
      <c r="S1314" s="81"/>
      <c r="T1314" s="81"/>
      <c r="U1314" s="102">
        <v>0</v>
      </c>
      <c r="V1314" s="102">
        <v>0</v>
      </c>
      <c r="W1314" s="274">
        <f t="shared" si="201"/>
        <v>0</v>
      </c>
      <c r="X1314" s="274">
        <f t="shared" si="202"/>
        <v>0</v>
      </c>
      <c r="Y1314" s="102">
        <v>0</v>
      </c>
      <c r="Z1314" s="274">
        <f t="shared" ref="Z1314:AB1314" si="207">Y1314</f>
        <v>0</v>
      </c>
      <c r="AA1314" s="274">
        <f t="shared" si="207"/>
        <v>0</v>
      </c>
      <c r="AB1314" s="274">
        <f t="shared" si="207"/>
        <v>0</v>
      </c>
      <c r="AC1314" s="81"/>
      <c r="AD1314" s="81"/>
      <c r="AE1314" s="81"/>
      <c r="AF1314" s="102">
        <v>1</v>
      </c>
      <c r="AG1314" s="102">
        <v>1</v>
      </c>
      <c r="AH1314" s="78"/>
      <c r="AI1314" s="60"/>
      <c r="AJ1314" s="48"/>
      <c r="AK1314" s="48"/>
      <c r="AL1314" s="48"/>
    </row>
    <row r="1315" spans="1:38" hidden="1" outlineLevel="3" x14ac:dyDescent="0.25">
      <c r="A1315" s="48"/>
      <c r="B1315" s="57"/>
      <c r="C1315" s="50">
        <f t="shared" si="206"/>
        <v>4</v>
      </c>
      <c r="D1315" s="78"/>
      <c r="E1315" s="73"/>
      <c r="F1315" s="73" t="s">
        <v>2660</v>
      </c>
      <c r="G1315" s="78"/>
      <c r="H1315" s="429" t="s">
        <v>2688</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6"/>
        <v>4</v>
      </c>
      <c r="D1316" s="78"/>
      <c r="E1316" s="73"/>
      <c r="F1316" s="73" t="s">
        <v>2661</v>
      </c>
      <c r="G1316" s="78"/>
      <c r="H1316" s="430" t="s">
        <v>2689</v>
      </c>
      <c r="I1316" s="81"/>
      <c r="J1316" s="81"/>
      <c r="K1316" s="81"/>
      <c r="L1316" s="81"/>
      <c r="M1316" s="81"/>
      <c r="N1316" s="81"/>
      <c r="O1316" s="81"/>
      <c r="P1316" s="81"/>
      <c r="Q1316" s="81"/>
      <c r="R1316" s="81"/>
      <c r="S1316" s="81"/>
      <c r="T1316" s="81"/>
      <c r="U1316" s="102">
        <v>0</v>
      </c>
      <c r="V1316" s="102">
        <v>0</v>
      </c>
      <c r="W1316" s="274">
        <f t="shared" ref="W1316" si="208">V1316</f>
        <v>0</v>
      </c>
      <c r="X1316" s="274">
        <f t="shared" ref="X1316" si="209">Y1316</f>
        <v>0</v>
      </c>
      <c r="Y1316" s="102">
        <v>0</v>
      </c>
      <c r="Z1316" s="274">
        <f t="shared" ref="Z1316:AB1316" si="210">Y1316</f>
        <v>0</v>
      </c>
      <c r="AA1316" s="274">
        <f t="shared" si="210"/>
        <v>0</v>
      </c>
      <c r="AB1316" s="274">
        <f t="shared" si="210"/>
        <v>0</v>
      </c>
      <c r="AC1316" s="81"/>
      <c r="AD1316" s="81"/>
      <c r="AE1316" s="81"/>
      <c r="AF1316" s="102">
        <v>1</v>
      </c>
      <c r="AG1316" s="102">
        <v>1</v>
      </c>
      <c r="AH1316" s="78"/>
      <c r="AI1316" s="60"/>
      <c r="AJ1316" s="48"/>
      <c r="AK1316" s="48"/>
      <c r="AL1316" s="48"/>
    </row>
    <row r="1317" spans="1:38" hidden="1" outlineLevel="3" x14ac:dyDescent="0.25">
      <c r="A1317" s="48"/>
      <c r="B1317" s="57"/>
      <c r="C1317" s="50">
        <f t="shared" si="206"/>
        <v>4</v>
      </c>
      <c r="D1317" s="78"/>
      <c r="E1317" s="73"/>
      <c r="F1317" s="73" t="s">
        <v>2662</v>
      </c>
      <c r="G1317" s="78"/>
      <c r="H1317" s="429" t="s">
        <v>2690</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6"/>
        <v>4</v>
      </c>
      <c r="D1318" s="78"/>
      <c r="E1318" s="73"/>
      <c r="F1318" s="73" t="s">
        <v>2663</v>
      </c>
      <c r="G1318" s="78"/>
      <c r="H1318" s="430" t="s">
        <v>2691</v>
      </c>
      <c r="I1318" s="81"/>
      <c r="J1318" s="81"/>
      <c r="K1318" s="81"/>
      <c r="L1318" s="81"/>
      <c r="M1318" s="81"/>
      <c r="N1318" s="81"/>
      <c r="O1318" s="81"/>
      <c r="P1318" s="81"/>
      <c r="Q1318" s="81"/>
      <c r="R1318" s="81"/>
      <c r="S1318" s="81"/>
      <c r="T1318" s="81"/>
      <c r="U1318" s="102">
        <v>4.1000000000000002E-2</v>
      </c>
      <c r="V1318" s="102">
        <v>4.3999999999999997E-2</v>
      </c>
      <c r="W1318" s="274">
        <f t="shared" ref="W1318" si="211">V1318</f>
        <v>4.3999999999999997E-2</v>
      </c>
      <c r="X1318" s="274">
        <f t="shared" ref="X1318" si="212">Y1318</f>
        <v>4.7500000000000001E-2</v>
      </c>
      <c r="Y1318" s="102">
        <v>4.7500000000000001E-2</v>
      </c>
      <c r="Z1318" s="274">
        <f t="shared" ref="Z1318:AB1318" si="213">Y1318</f>
        <v>4.7500000000000001E-2</v>
      </c>
      <c r="AA1318" s="274">
        <f t="shared" si="213"/>
        <v>4.7500000000000001E-2</v>
      </c>
      <c r="AB1318" s="274">
        <f t="shared" si="213"/>
        <v>4.7500000000000001E-2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6"/>
        <v>4</v>
      </c>
      <c r="D1319" s="78"/>
      <c r="E1319" s="73"/>
      <c r="F1319" s="73" t="s">
        <v>2664</v>
      </c>
      <c r="G1319" s="78"/>
      <c r="H1319" s="429" t="s">
        <v>2692</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4">INT($C$40)+2</f>
        <v>3</v>
      </c>
      <c r="D1320" s="78"/>
      <c r="E1320" s="73"/>
      <c r="F1320" s="73" t="s">
        <v>2665</v>
      </c>
      <c r="G1320" s="78"/>
      <c r="H1320" s="81" t="s">
        <v>2693</v>
      </c>
      <c r="I1320" s="81"/>
      <c r="J1320" s="81"/>
      <c r="K1320" s="81"/>
      <c r="L1320" s="81"/>
      <c r="M1320" s="81"/>
      <c r="N1320" s="81"/>
      <c r="O1320" s="81"/>
      <c r="P1320" s="81"/>
      <c r="Q1320" s="81"/>
      <c r="R1320" s="81"/>
      <c r="S1320" s="81"/>
      <c r="T1320" s="81"/>
      <c r="U1320" s="102">
        <v>1.56</v>
      </c>
      <c r="V1320" s="102">
        <v>0.92700000000000005</v>
      </c>
      <c r="W1320" s="274">
        <f t="shared" ref="W1320" si="215">V1320</f>
        <v>0.92700000000000005</v>
      </c>
      <c r="X1320" s="274">
        <f t="shared" ref="X1320" si="216">Y1320</f>
        <v>1.052</v>
      </c>
      <c r="Y1320" s="102">
        <v>1.052</v>
      </c>
      <c r="Z1320" s="274">
        <f t="shared" ref="Z1320:AB1320" si="217">Y1320</f>
        <v>1.052</v>
      </c>
      <c r="AA1320" s="274">
        <f t="shared" si="217"/>
        <v>1.052</v>
      </c>
      <c r="AB1320" s="274">
        <f t="shared" si="217"/>
        <v>1.052</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51" t="s">
        <v>490</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25">
        <v>44653.716487384299</v>
      </c>
      <c r="J18" s="492" t="s">
        <v>2553</v>
      </c>
      <c r="K18" s="488"/>
      <c r="L18" s="488"/>
      <c r="M18" s="488"/>
      <c r="N18" s="488"/>
      <c r="O18" s="488"/>
      <c r="P18" s="488"/>
      <c r="Q18" s="488"/>
      <c r="R18" s="488"/>
      <c r="S18" s="488"/>
      <c r="T18" s="488"/>
      <c r="U18" s="488"/>
      <c r="V18" s="488"/>
      <c r="W18" s="488"/>
      <c r="X18" s="48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32">
        <v>44664.379814814798</v>
      </c>
      <c r="J21" s="489" t="s">
        <v>2565</v>
      </c>
      <c r="K21" s="490"/>
      <c r="L21" s="490"/>
      <c r="M21" s="490"/>
      <c r="N21" s="490"/>
      <c r="O21" s="490"/>
      <c r="P21" s="490"/>
      <c r="Q21" s="490"/>
      <c r="R21" s="490"/>
      <c r="S21" s="490"/>
      <c r="T21" s="490"/>
      <c r="U21" s="490"/>
      <c r="V21" s="490"/>
      <c r="W21" s="490"/>
      <c r="X21" s="49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5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58" t="s">
        <v>2241</v>
      </c>
      <c r="L45" s="258"/>
      <c r="M45" s="258"/>
      <c r="N45" s="258"/>
      <c r="O45" s="258"/>
      <c r="P45" s="25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504</v>
      </c>
      <c r="J46" s="75"/>
      <c r="K46" s="75" t="s">
        <v>2420</v>
      </c>
      <c r="L46" s="75"/>
      <c r="M46" s="75"/>
      <c r="N46" s="75"/>
      <c r="O46" s="75"/>
      <c r="P46" s="75"/>
      <c r="Q46" s="75"/>
      <c r="R46" s="75" t="s">
        <v>2242</v>
      </c>
      <c r="S46" s="258" t="s">
        <v>2555</v>
      </c>
      <c r="T46" s="258"/>
      <c r="U46" s="258"/>
      <c r="V46" s="258"/>
      <c r="W46" s="258"/>
      <c r="X46" s="258"/>
      <c r="Y46" s="25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65" t="s">
        <v>2243</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2244</v>
      </c>
      <c r="I52" s="81" t="s">
        <v>2245</v>
      </c>
      <c r="J52" s="81"/>
      <c r="K52" s="102">
        <f>30/1000</f>
        <v>0.03</v>
      </c>
      <c r="L52" s="81"/>
      <c r="M52" s="81"/>
      <c r="N52" s="81"/>
      <c r="O52" s="81"/>
      <c r="P52" s="81"/>
      <c r="Q52" s="81"/>
      <c r="R52" s="102" t="s">
        <v>2538</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2539</v>
      </c>
      <c r="I53" s="81" t="s">
        <v>2540</v>
      </c>
      <c r="J53" s="81"/>
      <c r="K53" s="338">
        <v>200</v>
      </c>
      <c r="L53" s="81"/>
      <c r="M53" s="81"/>
      <c r="N53" s="81"/>
      <c r="O53" s="81"/>
      <c r="P53" s="81"/>
      <c r="Q53" s="81"/>
      <c r="R53" s="102" t="s">
        <v>2564</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2246</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286" t="s">
        <v>1868</v>
      </c>
      <c r="G58" s="78"/>
      <c r="H58" s="333" t="s">
        <v>2247</v>
      </c>
      <c r="I58" s="115">
        <v>2</v>
      </c>
      <c r="J58" s="334" t="s">
        <v>1140</v>
      </c>
      <c r="K58" s="115">
        <v>3</v>
      </c>
      <c r="L58" s="115">
        <v>10</v>
      </c>
      <c r="M58" s="170"/>
      <c r="N58" s="170"/>
      <c r="O58" s="170"/>
      <c r="P58" s="170"/>
      <c r="Q58" s="170"/>
      <c r="R58" s="168" t="s">
        <v>2248</v>
      </c>
      <c r="S58" s="170"/>
      <c r="T58" s="170"/>
      <c r="U58" s="170"/>
      <c r="V58" s="170"/>
      <c r="W58" s="170"/>
      <c r="X58" s="170"/>
      <c r="Y58" s="170"/>
      <c r="Z58" s="78"/>
      <c r="AA58" s="60"/>
      <c r="AB58" s="48"/>
      <c r="AC58" s="48"/>
      <c r="AD58" s="48"/>
    </row>
    <row r="59" spans="1:30" outlineLevel="2" x14ac:dyDescent="0.25">
      <c r="A59" s="48"/>
      <c r="B59" s="57"/>
      <c r="C59" s="92">
        <f>INT($C$40)+2</f>
        <v>3</v>
      </c>
      <c r="D59" s="78"/>
      <c r="E59" s="73" t="s">
        <v>2249</v>
      </c>
      <c r="F59" s="73" t="s">
        <v>2250</v>
      </c>
      <c r="G59" s="78"/>
      <c r="H59" s="335" t="s">
        <v>2541</v>
      </c>
      <c r="I59" s="335"/>
      <c r="J59" s="335"/>
      <c r="K59" s="336">
        <v>1</v>
      </c>
      <c r="L59" s="336"/>
      <c r="M59" s="336"/>
      <c r="N59" s="336"/>
      <c r="O59" s="335"/>
      <c r="P59" s="335"/>
      <c r="Q59" s="335"/>
      <c r="R59" s="335"/>
      <c r="S59" s="335">
        <f>S90</f>
        <v>1500</v>
      </c>
      <c r="T59" s="335">
        <f>(K59*$S$59)</f>
        <v>1500</v>
      </c>
      <c r="U59" s="335"/>
      <c r="V59" s="335"/>
      <c r="W59" s="335"/>
      <c r="X59" s="335"/>
      <c r="Y59" s="335"/>
      <c r="Z59" s="78"/>
      <c r="AA59" s="60"/>
      <c r="AB59" s="48"/>
      <c r="AC59" s="48"/>
      <c r="AD59" s="48"/>
    </row>
    <row r="60" spans="1:30" outlineLevel="3" x14ac:dyDescent="0.25">
      <c r="A60" s="48"/>
      <c r="B60" s="57"/>
      <c r="C60" s="92">
        <f t="shared" ref="C60:C143" si="0">INT($C$40)+3</f>
        <v>4</v>
      </c>
      <c r="D60" s="78"/>
      <c r="E60" s="73"/>
      <c r="F60" s="73" t="s">
        <v>2251</v>
      </c>
      <c r="G60" s="78"/>
      <c r="H60" s="337" t="s">
        <v>2416</v>
      </c>
      <c r="I60" s="337"/>
      <c r="J60" s="337"/>
      <c r="K60" s="338">
        <v>1</v>
      </c>
      <c r="L60" s="338"/>
      <c r="M60" s="338"/>
      <c r="N60" s="338"/>
      <c r="O60" s="337"/>
      <c r="P60" s="337"/>
      <c r="Q60" s="337"/>
      <c r="R60" s="337"/>
      <c r="S60" s="337"/>
      <c r="T60" s="337">
        <f t="shared" ref="T60:T68" si="1">(K60*$S$59)</f>
        <v>1500</v>
      </c>
      <c r="U60" s="337"/>
      <c r="V60" s="337"/>
      <c r="W60" s="337"/>
      <c r="X60" s="337"/>
      <c r="Y60" s="337"/>
      <c r="Z60" s="78"/>
      <c r="AA60" s="60"/>
      <c r="AB60" s="48"/>
      <c r="AC60" s="48"/>
      <c r="AD60" s="48"/>
    </row>
    <row r="61" spans="1:30" outlineLevel="3" x14ac:dyDescent="0.25">
      <c r="A61" s="48"/>
      <c r="B61" s="57"/>
      <c r="C61" s="92">
        <f t="shared" si="0"/>
        <v>4</v>
      </c>
      <c r="D61" s="78"/>
      <c r="E61" s="73"/>
      <c r="F61" s="73" t="s">
        <v>2252</v>
      </c>
      <c r="G61" s="78"/>
      <c r="H61" s="337" t="s">
        <v>2253</v>
      </c>
      <c r="I61" s="337"/>
      <c r="J61" s="337"/>
      <c r="K61" s="338">
        <v>1.0003500000000001</v>
      </c>
      <c r="L61" s="338"/>
      <c r="M61" s="338"/>
      <c r="N61" s="338"/>
      <c r="O61" s="337"/>
      <c r="P61" s="337"/>
      <c r="Q61" s="337"/>
      <c r="R61" s="337"/>
      <c r="S61" s="337"/>
      <c r="T61" s="337">
        <f t="shared" si="1"/>
        <v>1500.5250000000001</v>
      </c>
      <c r="U61" s="337"/>
      <c r="V61" s="337"/>
      <c r="W61" s="337"/>
      <c r="X61" s="337"/>
      <c r="Y61" s="337"/>
      <c r="Z61" s="78"/>
      <c r="AA61" s="60"/>
      <c r="AB61" s="48"/>
      <c r="AC61" s="48"/>
      <c r="AD61" s="48"/>
    </row>
    <row r="62" spans="1:30" outlineLevel="3" x14ac:dyDescent="0.25">
      <c r="A62" s="48"/>
      <c r="B62" s="57"/>
      <c r="C62" s="92">
        <f t="shared" si="0"/>
        <v>4</v>
      </c>
      <c r="D62" s="78"/>
      <c r="E62" s="73"/>
      <c r="F62" s="73" t="s">
        <v>2254</v>
      </c>
      <c r="G62" s="78"/>
      <c r="H62" s="337" t="s">
        <v>2417</v>
      </c>
      <c r="I62" s="337"/>
      <c r="J62" s="337"/>
      <c r="K62" s="338">
        <v>1.0003500000000001</v>
      </c>
      <c r="L62" s="338"/>
      <c r="M62" s="338"/>
      <c r="N62" s="338"/>
      <c r="O62" s="337"/>
      <c r="P62" s="337"/>
      <c r="Q62" s="337"/>
      <c r="R62" s="337"/>
      <c r="S62" s="337"/>
      <c r="T62" s="337">
        <f t="shared" si="1"/>
        <v>1500.5250000000001</v>
      </c>
      <c r="U62" s="337"/>
      <c r="V62" s="337"/>
      <c r="W62" s="337"/>
      <c r="X62" s="337"/>
      <c r="Y62" s="337"/>
      <c r="Z62" s="78"/>
      <c r="AA62" s="60"/>
      <c r="AB62" s="48"/>
      <c r="AC62" s="48"/>
      <c r="AD62" s="48"/>
    </row>
    <row r="63" spans="1:30" outlineLevel="3" x14ac:dyDescent="0.25">
      <c r="A63" s="48"/>
      <c r="B63" s="57"/>
      <c r="C63" s="92">
        <f t="shared" si="0"/>
        <v>4</v>
      </c>
      <c r="D63" s="78"/>
      <c r="E63" s="73"/>
      <c r="F63" s="73" t="s">
        <v>2255</v>
      </c>
      <c r="G63" s="78"/>
      <c r="H63" s="337" t="s">
        <v>2256</v>
      </c>
      <c r="I63" s="337"/>
      <c r="J63" s="337"/>
      <c r="K63" s="338">
        <v>1.0429999999999999</v>
      </c>
      <c r="L63" s="338"/>
      <c r="M63" s="338"/>
      <c r="N63" s="338"/>
      <c r="O63" s="337"/>
      <c r="P63" s="337"/>
      <c r="Q63" s="337"/>
      <c r="R63" s="337"/>
      <c r="S63" s="337"/>
      <c r="T63" s="337">
        <f t="shared" si="1"/>
        <v>1564.5</v>
      </c>
      <c r="U63" s="337"/>
      <c r="V63" s="337"/>
      <c r="W63" s="337"/>
      <c r="X63" s="337"/>
      <c r="Y63" s="337"/>
      <c r="Z63" s="78"/>
      <c r="AA63" s="60"/>
      <c r="AB63" s="48"/>
      <c r="AC63" s="48"/>
      <c r="AD63" s="48"/>
    </row>
    <row r="64" spans="1:30" outlineLevel="3" x14ac:dyDescent="0.25">
      <c r="A64" s="48"/>
      <c r="B64" s="57"/>
      <c r="C64" s="92">
        <f t="shared" si="0"/>
        <v>4</v>
      </c>
      <c r="D64" s="78"/>
      <c r="E64" s="73"/>
      <c r="F64" s="73" t="s">
        <v>2257</v>
      </c>
      <c r="G64" s="78"/>
      <c r="H64" s="337" t="s">
        <v>2418</v>
      </c>
      <c r="I64" s="337"/>
      <c r="J64" s="337"/>
      <c r="K64" s="338">
        <v>1.0900000000000001</v>
      </c>
      <c r="L64" s="338"/>
      <c r="M64" s="338"/>
      <c r="N64" s="338"/>
      <c r="O64" s="337"/>
      <c r="P64" s="337"/>
      <c r="Q64" s="337"/>
      <c r="R64" s="337"/>
      <c r="S64" s="337"/>
      <c r="T64" s="337">
        <f t="shared" si="1"/>
        <v>1635.0000000000002</v>
      </c>
      <c r="U64" s="337"/>
      <c r="V64" s="337"/>
      <c r="W64" s="337"/>
      <c r="X64" s="337"/>
      <c r="Y64" s="337"/>
      <c r="Z64" s="78"/>
      <c r="AA64" s="60"/>
      <c r="AB64" s="48"/>
      <c r="AC64" s="48"/>
      <c r="AD64" s="48"/>
    </row>
    <row r="65" spans="1:30" outlineLevel="3" x14ac:dyDescent="0.25">
      <c r="A65" s="48"/>
      <c r="B65" s="57"/>
      <c r="C65" s="92">
        <f t="shared" si="0"/>
        <v>4</v>
      </c>
      <c r="D65" s="78"/>
      <c r="E65" s="73"/>
      <c r="F65" s="73" t="s">
        <v>2255</v>
      </c>
      <c r="G65" s="78"/>
      <c r="H65" s="337" t="s">
        <v>2461</v>
      </c>
      <c r="I65" s="337"/>
      <c r="J65" s="337"/>
      <c r="K65" s="338">
        <v>1</v>
      </c>
      <c r="L65" s="338"/>
      <c r="M65" s="338"/>
      <c r="N65" s="338"/>
      <c r="O65" s="337"/>
      <c r="P65" s="337"/>
      <c r="Q65" s="337"/>
      <c r="R65" s="337"/>
      <c r="S65" s="337"/>
      <c r="T65" s="337">
        <f t="shared" si="1"/>
        <v>1500</v>
      </c>
      <c r="U65" s="337"/>
      <c r="V65" s="337"/>
      <c r="W65" s="337"/>
      <c r="X65" s="337"/>
      <c r="Y65" s="337"/>
      <c r="Z65" s="78"/>
      <c r="AA65" s="60"/>
      <c r="AB65" s="48"/>
      <c r="AC65" s="48"/>
      <c r="AD65" s="48"/>
    </row>
    <row r="66" spans="1:30" outlineLevel="3" x14ac:dyDescent="0.25">
      <c r="A66" s="48"/>
      <c r="B66" s="57"/>
      <c r="C66" s="92">
        <f t="shared" si="0"/>
        <v>4</v>
      </c>
      <c r="D66" s="78"/>
      <c r="E66" s="73"/>
      <c r="F66" s="73" t="s">
        <v>2257</v>
      </c>
      <c r="G66" s="78"/>
      <c r="H66" s="337" t="s">
        <v>2419</v>
      </c>
      <c r="I66" s="337"/>
      <c r="J66" s="337"/>
      <c r="K66" s="338">
        <v>1</v>
      </c>
      <c r="L66" s="338"/>
      <c r="M66" s="338"/>
      <c r="N66" s="338"/>
      <c r="O66" s="337"/>
      <c r="P66" s="337"/>
      <c r="Q66" s="337"/>
      <c r="R66" s="337"/>
      <c r="S66" s="337"/>
      <c r="T66" s="337">
        <f t="shared" si="1"/>
        <v>1500</v>
      </c>
      <c r="U66" s="337"/>
      <c r="V66" s="337"/>
      <c r="W66" s="337"/>
      <c r="X66" s="337"/>
      <c r="Y66" s="337"/>
      <c r="Z66" s="78"/>
      <c r="AA66" s="60"/>
      <c r="AB66" s="48"/>
      <c r="AC66" s="48"/>
      <c r="AD66" s="48"/>
    </row>
    <row r="67" spans="1:30" outlineLevel="3" x14ac:dyDescent="0.25">
      <c r="A67" s="48"/>
      <c r="B67" s="57"/>
      <c r="C67" s="92">
        <f t="shared" si="0"/>
        <v>4</v>
      </c>
      <c r="D67" s="78"/>
      <c r="E67" s="73"/>
      <c r="F67" s="73" t="s">
        <v>2255</v>
      </c>
      <c r="G67" s="78"/>
      <c r="H67" s="337" t="s">
        <v>2461</v>
      </c>
      <c r="I67" s="337"/>
      <c r="J67" s="337"/>
      <c r="K67" s="338">
        <v>1</v>
      </c>
      <c r="L67" s="338"/>
      <c r="M67" s="338"/>
      <c r="N67" s="338"/>
      <c r="O67" s="337"/>
      <c r="P67" s="337"/>
      <c r="Q67" s="337"/>
      <c r="R67" s="337"/>
      <c r="S67" s="337"/>
      <c r="T67" s="337">
        <f t="shared" si="1"/>
        <v>1500</v>
      </c>
      <c r="U67" s="337"/>
      <c r="V67" s="337"/>
      <c r="W67" s="337"/>
      <c r="X67" s="337"/>
      <c r="Y67" s="337"/>
      <c r="Z67" s="78"/>
      <c r="AA67" s="60"/>
      <c r="AB67" s="48"/>
      <c r="AC67" s="48"/>
      <c r="AD67" s="48"/>
    </row>
    <row r="68" spans="1:30" outlineLevel="3" x14ac:dyDescent="0.25">
      <c r="A68" s="48"/>
      <c r="B68" s="57"/>
      <c r="C68" s="92">
        <f t="shared" si="0"/>
        <v>4</v>
      </c>
      <c r="D68" s="78"/>
      <c r="E68" s="73"/>
      <c r="F68" s="73" t="s">
        <v>2257</v>
      </c>
      <c r="G68" s="78"/>
      <c r="H68" s="236" t="s">
        <v>2419</v>
      </c>
      <c r="I68" s="236"/>
      <c r="J68" s="236"/>
      <c r="K68" s="339">
        <v>1</v>
      </c>
      <c r="L68" s="339"/>
      <c r="M68" s="339"/>
      <c r="N68" s="339"/>
      <c r="O68" s="236"/>
      <c r="P68" s="236"/>
      <c r="Q68" s="236"/>
      <c r="R68" s="236"/>
      <c r="S68" s="236"/>
      <c r="T68" s="236">
        <f t="shared" si="1"/>
        <v>1500</v>
      </c>
      <c r="U68" s="236"/>
      <c r="V68" s="236"/>
      <c r="W68" s="236"/>
      <c r="X68" s="236"/>
      <c r="Y68" s="236"/>
      <c r="Z68" s="78"/>
      <c r="AA68" s="60"/>
      <c r="AB68" s="48"/>
      <c r="AC68" s="48"/>
      <c r="AD68" s="48"/>
    </row>
    <row r="69" spans="1:30" outlineLevel="3" x14ac:dyDescent="0.25">
      <c r="A69" s="48"/>
      <c r="B69" s="57"/>
      <c r="C69" s="92">
        <f t="shared" si="0"/>
        <v>4</v>
      </c>
      <c r="D69" s="78"/>
      <c r="E69" s="73"/>
      <c r="F69" s="73" t="s">
        <v>2258</v>
      </c>
      <c r="G69" s="78"/>
      <c r="H69" s="335" t="s">
        <v>2542</v>
      </c>
      <c r="I69" s="335"/>
      <c r="J69" s="335"/>
      <c r="K69" s="336">
        <v>0</v>
      </c>
      <c r="L69" s="336"/>
      <c r="M69" s="336"/>
      <c r="N69" s="336"/>
      <c r="O69" s="335"/>
      <c r="P69" s="335"/>
      <c r="Q69" s="335"/>
      <c r="R69" s="335"/>
      <c r="S69" s="335">
        <f>S100</f>
        <v>0.3</v>
      </c>
      <c r="T69" s="335">
        <f>(K69*$S$69)</f>
        <v>0</v>
      </c>
      <c r="U69" s="335"/>
      <c r="V69" s="335"/>
      <c r="W69" s="335"/>
      <c r="X69" s="335"/>
      <c r="Y69" s="335"/>
      <c r="Z69" s="78"/>
      <c r="AA69" s="60"/>
      <c r="AB69" s="48"/>
      <c r="AC69" s="48"/>
      <c r="AD69" s="48"/>
    </row>
    <row r="70" spans="1:30" outlineLevel="3" x14ac:dyDescent="0.25">
      <c r="A70" s="48"/>
      <c r="B70" s="57"/>
      <c r="C70" s="92">
        <f t="shared" si="0"/>
        <v>4</v>
      </c>
      <c r="D70" s="78"/>
      <c r="E70" s="73"/>
      <c r="F70" s="73" t="s">
        <v>2259</v>
      </c>
      <c r="G70" s="78"/>
      <c r="H70" s="337" t="s">
        <v>2416</v>
      </c>
      <c r="I70" s="337"/>
      <c r="J70" s="337"/>
      <c r="K70" s="338">
        <v>0</v>
      </c>
      <c r="L70" s="338"/>
      <c r="M70" s="338"/>
      <c r="N70" s="338"/>
      <c r="O70" s="337"/>
      <c r="P70" s="337"/>
      <c r="Q70" s="337"/>
      <c r="R70" s="337"/>
      <c r="S70" s="337"/>
      <c r="T70" s="337">
        <f t="shared" ref="T70:T78" si="2">(K70*$S$69)</f>
        <v>0</v>
      </c>
      <c r="U70" s="337"/>
      <c r="V70" s="337"/>
      <c r="W70" s="337"/>
      <c r="X70" s="337"/>
      <c r="Y70" s="337"/>
      <c r="Z70" s="78"/>
      <c r="AA70" s="60"/>
      <c r="AB70" s="48"/>
      <c r="AC70" s="48"/>
      <c r="AD70" s="48"/>
    </row>
    <row r="71" spans="1:30" outlineLevel="3" x14ac:dyDescent="0.25">
      <c r="A71" s="48"/>
      <c r="B71" s="57"/>
      <c r="C71" s="92">
        <f t="shared" si="0"/>
        <v>4</v>
      </c>
      <c r="D71" s="78"/>
      <c r="E71" s="73"/>
      <c r="F71" s="73" t="s">
        <v>2260</v>
      </c>
      <c r="G71" s="78"/>
      <c r="H71" s="337" t="s">
        <v>2253</v>
      </c>
      <c r="I71" s="337"/>
      <c r="J71" s="337"/>
      <c r="K71" s="338">
        <v>0</v>
      </c>
      <c r="L71" s="338"/>
      <c r="M71" s="338"/>
      <c r="N71" s="338"/>
      <c r="O71" s="337"/>
      <c r="P71" s="337"/>
      <c r="Q71" s="337"/>
      <c r="R71" s="337"/>
      <c r="S71" s="337"/>
      <c r="T71" s="337">
        <f t="shared" si="2"/>
        <v>0</v>
      </c>
      <c r="U71" s="337"/>
      <c r="V71" s="337"/>
      <c r="W71" s="337"/>
      <c r="X71" s="337"/>
      <c r="Y71" s="337"/>
      <c r="Z71" s="78"/>
      <c r="AA71" s="60"/>
      <c r="AB71" s="48"/>
      <c r="AC71" s="48"/>
      <c r="AD71" s="48"/>
    </row>
    <row r="72" spans="1:30" outlineLevel="3" x14ac:dyDescent="0.25">
      <c r="A72" s="48"/>
      <c r="B72" s="57"/>
      <c r="C72" s="92">
        <f t="shared" si="0"/>
        <v>4</v>
      </c>
      <c r="D72" s="78"/>
      <c r="E72" s="73"/>
      <c r="F72" s="73" t="s">
        <v>2261</v>
      </c>
      <c r="G72" s="78"/>
      <c r="H72" s="337" t="s">
        <v>2417</v>
      </c>
      <c r="I72" s="337"/>
      <c r="J72" s="337"/>
      <c r="K72" s="338">
        <v>0</v>
      </c>
      <c r="L72" s="338"/>
      <c r="M72" s="338"/>
      <c r="N72" s="338"/>
      <c r="O72" s="337"/>
      <c r="P72" s="337"/>
      <c r="Q72" s="337"/>
      <c r="R72" s="337"/>
      <c r="S72" s="337"/>
      <c r="T72" s="337">
        <f t="shared" si="2"/>
        <v>0</v>
      </c>
      <c r="U72" s="337"/>
      <c r="V72" s="337"/>
      <c r="W72" s="337"/>
      <c r="X72" s="337"/>
      <c r="Y72" s="337"/>
      <c r="Z72" s="78"/>
      <c r="AA72" s="60"/>
      <c r="AB72" s="48"/>
      <c r="AC72" s="48"/>
      <c r="AD72" s="48"/>
    </row>
    <row r="73" spans="1:30" outlineLevel="3" x14ac:dyDescent="0.25">
      <c r="A73" s="48"/>
      <c r="B73" s="57"/>
      <c r="C73" s="92">
        <f t="shared" si="0"/>
        <v>4</v>
      </c>
      <c r="D73" s="78"/>
      <c r="E73" s="73"/>
      <c r="F73" s="73" t="s">
        <v>2262</v>
      </c>
      <c r="G73" s="78"/>
      <c r="H73" s="337" t="s">
        <v>2256</v>
      </c>
      <c r="I73" s="337"/>
      <c r="J73" s="337"/>
      <c r="K73" s="338">
        <v>-178</v>
      </c>
      <c r="L73" s="338"/>
      <c r="M73" s="338"/>
      <c r="N73" s="338"/>
      <c r="O73" s="337"/>
      <c r="P73" s="337"/>
      <c r="Q73" s="337"/>
      <c r="R73" s="337"/>
      <c r="S73" s="337"/>
      <c r="T73" s="337">
        <f t="shared" si="2"/>
        <v>-53.4</v>
      </c>
      <c r="U73" s="337"/>
      <c r="V73" s="337"/>
      <c r="W73" s="337"/>
      <c r="X73" s="337"/>
      <c r="Y73" s="337"/>
      <c r="Z73" s="78"/>
      <c r="AA73" s="60"/>
      <c r="AB73" s="48"/>
      <c r="AC73" s="48"/>
      <c r="AD73" s="48"/>
    </row>
    <row r="74" spans="1:30" outlineLevel="3" x14ac:dyDescent="0.25">
      <c r="A74" s="48"/>
      <c r="B74" s="57"/>
      <c r="C74" s="92">
        <f t="shared" si="0"/>
        <v>4</v>
      </c>
      <c r="D74" s="78"/>
      <c r="E74" s="73"/>
      <c r="F74" s="73" t="s">
        <v>2263</v>
      </c>
      <c r="G74" s="78"/>
      <c r="H74" s="337" t="s">
        <v>2418</v>
      </c>
      <c r="I74" s="337"/>
      <c r="J74" s="337"/>
      <c r="K74" s="338">
        <v>-454</v>
      </c>
      <c r="L74" s="338"/>
      <c r="M74" s="338"/>
      <c r="N74" s="338"/>
      <c r="O74" s="337"/>
      <c r="P74" s="337"/>
      <c r="Q74" s="337"/>
      <c r="R74" s="337"/>
      <c r="S74" s="337"/>
      <c r="T74" s="337">
        <f t="shared" si="2"/>
        <v>-136.19999999999999</v>
      </c>
      <c r="U74" s="337"/>
      <c r="V74" s="337"/>
      <c r="W74" s="337"/>
      <c r="X74" s="337"/>
      <c r="Y74" s="337"/>
      <c r="Z74" s="78"/>
      <c r="AA74" s="60"/>
      <c r="AB74" s="48"/>
      <c r="AC74" s="48"/>
      <c r="AD74" s="48"/>
    </row>
    <row r="75" spans="1:30" outlineLevel="3" x14ac:dyDescent="0.25">
      <c r="A75" s="48"/>
      <c r="B75" s="57"/>
      <c r="C75" s="92">
        <f t="shared" si="0"/>
        <v>4</v>
      </c>
      <c r="D75" s="78"/>
      <c r="E75" s="73"/>
      <c r="F75" s="73" t="s">
        <v>2255</v>
      </c>
      <c r="G75" s="78"/>
      <c r="H75" s="337" t="s">
        <v>2461</v>
      </c>
      <c r="I75" s="337"/>
      <c r="J75" s="337"/>
      <c r="K75" s="338">
        <v>0</v>
      </c>
      <c r="L75" s="338"/>
      <c r="M75" s="338"/>
      <c r="N75" s="338"/>
      <c r="O75" s="337"/>
      <c r="P75" s="337"/>
      <c r="Q75" s="337"/>
      <c r="R75" s="337"/>
      <c r="S75" s="337"/>
      <c r="T75" s="337">
        <f t="shared" si="2"/>
        <v>0</v>
      </c>
      <c r="U75" s="337"/>
      <c r="V75" s="337"/>
      <c r="W75" s="337"/>
      <c r="X75" s="337"/>
      <c r="Y75" s="337"/>
      <c r="Z75" s="78"/>
      <c r="AA75" s="60"/>
      <c r="AB75" s="48"/>
      <c r="AC75" s="48"/>
      <c r="AD75" s="48"/>
    </row>
    <row r="76" spans="1:30" outlineLevel="3" x14ac:dyDescent="0.25">
      <c r="A76" s="48"/>
      <c r="B76" s="57"/>
      <c r="C76" s="92">
        <f t="shared" si="0"/>
        <v>4</v>
      </c>
      <c r="D76" s="78"/>
      <c r="E76" s="73"/>
      <c r="F76" s="73" t="s">
        <v>2257</v>
      </c>
      <c r="G76" s="78"/>
      <c r="H76" s="337" t="s">
        <v>2419</v>
      </c>
      <c r="I76" s="337"/>
      <c r="J76" s="337"/>
      <c r="K76" s="338">
        <v>0</v>
      </c>
      <c r="L76" s="338"/>
      <c r="M76" s="338"/>
      <c r="N76" s="338"/>
      <c r="O76" s="337"/>
      <c r="P76" s="337"/>
      <c r="Q76" s="337"/>
      <c r="R76" s="337"/>
      <c r="S76" s="337"/>
      <c r="T76" s="337">
        <f t="shared" si="2"/>
        <v>0</v>
      </c>
      <c r="U76" s="337"/>
      <c r="V76" s="337"/>
      <c r="W76" s="337"/>
      <c r="X76" s="337"/>
      <c r="Y76" s="337"/>
      <c r="Z76" s="78"/>
      <c r="AA76" s="60"/>
      <c r="AB76" s="48"/>
      <c r="AC76" s="48"/>
      <c r="AD76" s="48"/>
    </row>
    <row r="77" spans="1:30" outlineLevel="3" x14ac:dyDescent="0.25">
      <c r="A77" s="48"/>
      <c r="B77" s="57"/>
      <c r="C77" s="92">
        <f t="shared" si="0"/>
        <v>4</v>
      </c>
      <c r="D77" s="78"/>
      <c r="E77" s="73"/>
      <c r="F77" s="73" t="s">
        <v>2255</v>
      </c>
      <c r="G77" s="78"/>
      <c r="H77" s="337" t="s">
        <v>2461</v>
      </c>
      <c r="I77" s="337"/>
      <c r="J77" s="337"/>
      <c r="K77" s="338">
        <v>0</v>
      </c>
      <c r="L77" s="338"/>
      <c r="M77" s="338"/>
      <c r="N77" s="338"/>
      <c r="O77" s="337"/>
      <c r="P77" s="337"/>
      <c r="Q77" s="337"/>
      <c r="R77" s="337"/>
      <c r="S77" s="337"/>
      <c r="T77" s="337">
        <f t="shared" si="2"/>
        <v>0</v>
      </c>
      <c r="U77" s="337"/>
      <c r="V77" s="337"/>
      <c r="W77" s="337"/>
      <c r="X77" s="337"/>
      <c r="Y77" s="337"/>
      <c r="Z77" s="78"/>
      <c r="AA77" s="60"/>
      <c r="AB77" s="48"/>
      <c r="AC77" s="48"/>
      <c r="AD77" s="48"/>
    </row>
    <row r="78" spans="1:30" outlineLevel="3" x14ac:dyDescent="0.25">
      <c r="A78" s="48"/>
      <c r="B78" s="57"/>
      <c r="C78" s="92">
        <f t="shared" si="0"/>
        <v>4</v>
      </c>
      <c r="D78" s="78"/>
      <c r="E78" s="73"/>
      <c r="F78" s="73" t="s">
        <v>2257</v>
      </c>
      <c r="G78" s="78"/>
      <c r="H78" s="236" t="s">
        <v>2419</v>
      </c>
      <c r="I78" s="236"/>
      <c r="J78" s="236"/>
      <c r="K78" s="339">
        <v>0</v>
      </c>
      <c r="L78" s="339"/>
      <c r="M78" s="339"/>
      <c r="N78" s="339"/>
      <c r="O78" s="236"/>
      <c r="P78" s="236"/>
      <c r="Q78" s="236"/>
      <c r="R78" s="236"/>
      <c r="S78" s="236"/>
      <c r="T78" s="236">
        <f t="shared" si="2"/>
        <v>0</v>
      </c>
      <c r="U78" s="236"/>
      <c r="V78" s="236"/>
      <c r="W78" s="236"/>
      <c r="X78" s="236"/>
      <c r="Y78" s="236"/>
      <c r="Z78" s="78"/>
      <c r="AA78" s="60"/>
      <c r="AB78" s="48"/>
      <c r="AC78" s="48"/>
      <c r="AD78" s="48"/>
    </row>
    <row r="79" spans="1:30" outlineLevel="3" x14ac:dyDescent="0.25">
      <c r="A79" s="48"/>
      <c r="B79" s="57"/>
      <c r="C79" s="92">
        <f t="shared" si="0"/>
        <v>4</v>
      </c>
      <c r="D79" s="78"/>
      <c r="E79" s="73"/>
      <c r="F79" s="73" t="s">
        <v>2264</v>
      </c>
      <c r="G79" s="78"/>
      <c r="H79" s="335" t="s">
        <v>2543</v>
      </c>
      <c r="I79" s="335"/>
      <c r="J79" s="335"/>
      <c r="K79" s="336">
        <v>0</v>
      </c>
      <c r="L79" s="336"/>
      <c r="M79" s="336"/>
      <c r="N79" s="336"/>
      <c r="O79" s="335"/>
      <c r="P79" s="335"/>
      <c r="Q79" s="335"/>
      <c r="R79" s="335"/>
      <c r="S79" s="335"/>
      <c r="T79" s="335">
        <f t="shared" ref="T79:T82" si="3">(K79)</f>
        <v>0</v>
      </c>
      <c r="U79" s="335"/>
      <c r="V79" s="335"/>
      <c r="W79" s="335"/>
      <c r="X79" s="335"/>
      <c r="Y79" s="335"/>
      <c r="Z79" s="78"/>
      <c r="AA79" s="60"/>
      <c r="AB79" s="48"/>
      <c r="AC79" s="48"/>
      <c r="AD79" s="48"/>
    </row>
    <row r="80" spans="1:30" outlineLevel="3" x14ac:dyDescent="0.25">
      <c r="A80" s="48"/>
      <c r="B80" s="57"/>
      <c r="C80" s="92">
        <f t="shared" si="0"/>
        <v>4</v>
      </c>
      <c r="D80" s="78"/>
      <c r="E80" s="73"/>
      <c r="F80" s="73" t="s">
        <v>2265</v>
      </c>
      <c r="G80" s="78"/>
      <c r="H80" s="337" t="s">
        <v>2416</v>
      </c>
      <c r="I80" s="337"/>
      <c r="J80" s="337"/>
      <c r="K80" s="338">
        <v>0</v>
      </c>
      <c r="L80" s="338"/>
      <c r="M80" s="338"/>
      <c r="N80" s="338"/>
      <c r="O80" s="337"/>
      <c r="P80" s="337"/>
      <c r="Q80" s="337"/>
      <c r="R80" s="337"/>
      <c r="S80" s="337"/>
      <c r="T80" s="337">
        <f t="shared" si="3"/>
        <v>0</v>
      </c>
      <c r="U80" s="337"/>
      <c r="V80" s="337"/>
      <c r="W80" s="337"/>
      <c r="X80" s="337"/>
      <c r="Y80" s="337"/>
      <c r="Z80" s="78"/>
      <c r="AA80" s="60"/>
      <c r="AB80" s="48"/>
      <c r="AC80" s="48"/>
      <c r="AD80" s="48"/>
    </row>
    <row r="81" spans="1:30" outlineLevel="3" x14ac:dyDescent="0.25">
      <c r="A81" s="48"/>
      <c r="B81" s="57"/>
      <c r="C81" s="92">
        <f t="shared" si="0"/>
        <v>4</v>
      </c>
      <c r="D81" s="78"/>
      <c r="E81" s="73"/>
      <c r="F81" s="73" t="s">
        <v>2266</v>
      </c>
      <c r="G81" s="78"/>
      <c r="H81" s="337" t="s">
        <v>2253</v>
      </c>
      <c r="I81" s="337"/>
      <c r="J81" s="337"/>
      <c r="K81" s="338">
        <v>-429</v>
      </c>
      <c r="L81" s="338"/>
      <c r="M81" s="338"/>
      <c r="N81" s="338"/>
      <c r="O81" s="337"/>
      <c r="P81" s="337"/>
      <c r="Q81" s="337"/>
      <c r="R81" s="337"/>
      <c r="S81" s="337"/>
      <c r="T81" s="337">
        <f t="shared" si="3"/>
        <v>-429</v>
      </c>
      <c r="U81" s="337"/>
      <c r="V81" s="337"/>
      <c r="W81" s="337"/>
      <c r="X81" s="337"/>
      <c r="Y81" s="337"/>
      <c r="Z81" s="78"/>
      <c r="AA81" s="60"/>
      <c r="AB81" s="48"/>
      <c r="AC81" s="48"/>
      <c r="AD81" s="48"/>
    </row>
    <row r="82" spans="1:30" outlineLevel="3" x14ac:dyDescent="0.25">
      <c r="A82" s="48"/>
      <c r="B82" s="57"/>
      <c r="C82" s="92">
        <f t="shared" si="0"/>
        <v>4</v>
      </c>
      <c r="D82" s="78"/>
      <c r="E82" s="73"/>
      <c r="F82" s="73" t="s">
        <v>2267</v>
      </c>
      <c r="G82" s="78"/>
      <c r="H82" s="337" t="s">
        <v>2417</v>
      </c>
      <c r="I82" s="337"/>
      <c r="J82" s="337"/>
      <c r="K82" s="338">
        <v>-429</v>
      </c>
      <c r="L82" s="338"/>
      <c r="M82" s="338"/>
      <c r="N82" s="338"/>
      <c r="O82" s="337"/>
      <c r="P82" s="337"/>
      <c r="Q82" s="337"/>
      <c r="R82" s="337"/>
      <c r="S82" s="337"/>
      <c r="T82" s="337">
        <f t="shared" si="3"/>
        <v>-429</v>
      </c>
      <c r="U82" s="337"/>
      <c r="V82" s="337"/>
      <c r="W82" s="337"/>
      <c r="X82" s="337"/>
      <c r="Y82" s="337"/>
      <c r="Z82" s="78"/>
      <c r="AA82" s="60"/>
      <c r="AB82" s="48"/>
      <c r="AC82" s="48"/>
      <c r="AD82" s="48"/>
    </row>
    <row r="83" spans="1:30" outlineLevel="3" x14ac:dyDescent="0.25">
      <c r="A83" s="48"/>
      <c r="B83" s="57"/>
      <c r="C83" s="92">
        <f t="shared" si="0"/>
        <v>4</v>
      </c>
      <c r="D83" s="78"/>
      <c r="E83" s="73"/>
      <c r="F83" s="73" t="s">
        <v>2268</v>
      </c>
      <c r="G83" s="78"/>
      <c r="H83" s="337" t="s">
        <v>2256</v>
      </c>
      <c r="I83" s="337"/>
      <c r="J83" s="337"/>
      <c r="K83" s="338">
        <f>-268+300</f>
        <v>32</v>
      </c>
      <c r="L83" s="338"/>
      <c r="M83" s="338"/>
      <c r="N83" s="338"/>
      <c r="O83" s="337"/>
      <c r="P83" s="337"/>
      <c r="Q83" s="337"/>
      <c r="R83" s="337"/>
      <c r="S83" s="337"/>
      <c r="T83" s="337">
        <f>(K83)</f>
        <v>32</v>
      </c>
      <c r="U83" s="337"/>
      <c r="V83" s="337"/>
      <c r="W83" s="337"/>
      <c r="X83" s="337"/>
      <c r="Y83" s="337"/>
      <c r="Z83" s="78"/>
      <c r="AA83" s="60"/>
      <c r="AB83" s="48"/>
      <c r="AC83" s="48"/>
      <c r="AD83" s="48"/>
    </row>
    <row r="84" spans="1:30" outlineLevel="3" x14ac:dyDescent="0.25">
      <c r="A84" s="48"/>
      <c r="B84" s="57"/>
      <c r="C84" s="92">
        <f t="shared" si="0"/>
        <v>4</v>
      </c>
      <c r="D84" s="78"/>
      <c r="E84" s="73"/>
      <c r="F84" s="73" t="s">
        <v>2269</v>
      </c>
      <c r="G84" s="78"/>
      <c r="H84" s="337" t="s">
        <v>2418</v>
      </c>
      <c r="I84" s="337"/>
      <c r="J84" s="337"/>
      <c r="K84" s="338">
        <f>-650+300</f>
        <v>-350</v>
      </c>
      <c r="L84" s="338"/>
      <c r="M84" s="338"/>
      <c r="N84" s="338"/>
      <c r="O84" s="337"/>
      <c r="P84" s="337"/>
      <c r="Q84" s="337"/>
      <c r="R84" s="337"/>
      <c r="S84" s="337"/>
      <c r="T84" s="337">
        <f>(K84)</f>
        <v>-350</v>
      </c>
      <c r="U84" s="337"/>
      <c r="V84" s="337"/>
      <c r="W84" s="337"/>
      <c r="X84" s="337"/>
      <c r="Y84" s="337"/>
      <c r="Z84" s="78"/>
      <c r="AA84" s="60"/>
      <c r="AB84" s="48"/>
      <c r="AC84" s="48"/>
      <c r="AD84" s="48"/>
    </row>
    <row r="85" spans="1:30" outlineLevel="3" x14ac:dyDescent="0.25">
      <c r="A85" s="48"/>
      <c r="B85" s="57"/>
      <c r="C85" s="92">
        <f t="shared" si="0"/>
        <v>4</v>
      </c>
      <c r="D85" s="78"/>
      <c r="E85" s="73"/>
      <c r="F85" s="73" t="s">
        <v>2268</v>
      </c>
      <c r="G85" s="78"/>
      <c r="H85" s="337" t="s">
        <v>2461</v>
      </c>
      <c r="I85" s="337"/>
      <c r="J85" s="337"/>
      <c r="K85" s="338">
        <v>-200</v>
      </c>
      <c r="L85" s="338"/>
      <c r="M85" s="338"/>
      <c r="N85" s="338"/>
      <c r="O85" s="337"/>
      <c r="P85" s="337"/>
      <c r="Q85" s="337"/>
      <c r="R85" s="102" t="s">
        <v>2462</v>
      </c>
      <c r="S85" s="337"/>
      <c r="T85" s="337">
        <f t="shared" ref="T85:T88" si="4">(K85)</f>
        <v>-200</v>
      </c>
      <c r="U85" s="337"/>
      <c r="V85" s="337"/>
      <c r="W85" s="337"/>
      <c r="X85" s="337"/>
      <c r="Y85" s="337"/>
      <c r="Z85" s="78"/>
      <c r="AA85" s="60"/>
      <c r="AB85" s="48"/>
      <c r="AC85" s="48"/>
      <c r="AD85" s="48"/>
    </row>
    <row r="86" spans="1:30" outlineLevel="3" x14ac:dyDescent="0.25">
      <c r="A86" s="48"/>
      <c r="B86" s="57"/>
      <c r="C86" s="92">
        <f t="shared" si="0"/>
        <v>4</v>
      </c>
      <c r="D86" s="78"/>
      <c r="E86" s="73"/>
      <c r="F86" s="73" t="s">
        <v>2269</v>
      </c>
      <c r="G86" s="78"/>
      <c r="H86" s="337" t="s">
        <v>2419</v>
      </c>
      <c r="I86" s="337"/>
      <c r="J86" s="337"/>
      <c r="K86" s="338">
        <v>-200</v>
      </c>
      <c r="L86" s="338"/>
      <c r="M86" s="338"/>
      <c r="N86" s="338"/>
      <c r="O86" s="337"/>
      <c r="P86" s="337"/>
      <c r="Q86" s="337"/>
      <c r="R86" s="337"/>
      <c r="S86" s="337"/>
      <c r="T86" s="337">
        <f t="shared" si="4"/>
        <v>-200</v>
      </c>
      <c r="U86" s="337"/>
      <c r="V86" s="337"/>
      <c r="W86" s="337"/>
      <c r="X86" s="337"/>
      <c r="Y86" s="337"/>
      <c r="Z86" s="78"/>
      <c r="AA86" s="60"/>
      <c r="AB86" s="48"/>
      <c r="AC86" s="48"/>
      <c r="AD86" s="48"/>
    </row>
    <row r="87" spans="1:30" outlineLevel="3" x14ac:dyDescent="0.25">
      <c r="A87" s="48"/>
      <c r="B87" s="57"/>
      <c r="C87" s="92">
        <f t="shared" si="0"/>
        <v>4</v>
      </c>
      <c r="D87" s="78"/>
      <c r="E87" s="73"/>
      <c r="F87" s="73" t="s">
        <v>2268</v>
      </c>
      <c r="G87" s="78"/>
      <c r="H87" s="337" t="s">
        <v>2464</v>
      </c>
      <c r="I87" s="337"/>
      <c r="J87" s="337"/>
      <c r="K87" s="338">
        <v>-100</v>
      </c>
      <c r="L87" s="338"/>
      <c r="M87" s="338"/>
      <c r="N87" s="338"/>
      <c r="O87" s="337"/>
      <c r="P87" s="337"/>
      <c r="Q87" s="337"/>
      <c r="R87" s="102" t="s">
        <v>2463</v>
      </c>
      <c r="S87" s="337"/>
      <c r="T87" s="337">
        <f t="shared" si="4"/>
        <v>-100</v>
      </c>
      <c r="U87" s="337"/>
      <c r="V87" s="337"/>
      <c r="W87" s="337"/>
      <c r="X87" s="337"/>
      <c r="Y87" s="337"/>
      <c r="Z87" s="78"/>
      <c r="AA87" s="60"/>
      <c r="AB87" s="48"/>
      <c r="AC87" s="48"/>
      <c r="AD87" s="48"/>
    </row>
    <row r="88" spans="1:30" outlineLevel="3" x14ac:dyDescent="0.25">
      <c r="A88" s="48"/>
      <c r="B88" s="57"/>
      <c r="C88" s="92">
        <f t="shared" si="0"/>
        <v>4</v>
      </c>
      <c r="D88" s="78"/>
      <c r="E88" s="73"/>
      <c r="F88" s="73" t="s">
        <v>2269</v>
      </c>
      <c r="G88" s="78"/>
      <c r="H88" s="236" t="s">
        <v>2419</v>
      </c>
      <c r="I88" s="236"/>
      <c r="J88" s="236"/>
      <c r="K88" s="339">
        <v>-100</v>
      </c>
      <c r="L88" s="339"/>
      <c r="M88" s="339"/>
      <c r="N88" s="339"/>
      <c r="O88" s="236"/>
      <c r="P88" s="236"/>
      <c r="Q88" s="236"/>
      <c r="R88" s="236"/>
      <c r="S88" s="236"/>
      <c r="T88" s="236">
        <f t="shared" si="4"/>
        <v>-100</v>
      </c>
      <c r="U88" s="236"/>
      <c r="V88" s="236"/>
      <c r="W88" s="236"/>
      <c r="X88" s="236"/>
      <c r="Y88" s="236"/>
      <c r="Z88" s="78"/>
      <c r="AA88" s="60"/>
      <c r="AB88" s="48"/>
      <c r="AC88" s="48"/>
      <c r="AD88" s="48"/>
    </row>
    <row r="89" spans="1:30" outlineLevel="3" x14ac:dyDescent="0.25">
      <c r="A89" s="48"/>
      <c r="B89" s="57"/>
      <c r="C89" s="92">
        <f t="shared" si="0"/>
        <v>4</v>
      </c>
      <c r="D89" s="78"/>
      <c r="E89" s="73"/>
      <c r="F89" s="286" t="s">
        <v>1868</v>
      </c>
      <c r="G89" s="78"/>
      <c r="H89" s="288" t="s">
        <v>2270</v>
      </c>
      <c r="I89" s="142"/>
      <c r="J89" s="142" t="s">
        <v>1140</v>
      </c>
      <c r="K89" s="84">
        <v>6</v>
      </c>
      <c r="L89" s="84">
        <v>10</v>
      </c>
      <c r="M89" s="81"/>
      <c r="N89" s="81"/>
      <c r="O89" s="81"/>
      <c r="P89" s="81"/>
      <c r="Q89" s="81"/>
      <c r="R89" s="102" t="s">
        <v>2248</v>
      </c>
      <c r="S89" s="81" t="s">
        <v>2550</v>
      </c>
      <c r="T89" s="81"/>
      <c r="U89" s="81" t="s">
        <v>2551</v>
      </c>
      <c r="V89" s="81" t="s">
        <v>2552</v>
      </c>
      <c r="W89" s="81"/>
      <c r="X89" s="81"/>
      <c r="Y89" s="81"/>
      <c r="Z89" s="78"/>
      <c r="AA89" s="60"/>
      <c r="AB89" s="48"/>
      <c r="AC89" s="48"/>
      <c r="AD89" s="48"/>
    </row>
    <row r="90" spans="1:30" outlineLevel="3" x14ac:dyDescent="0.25">
      <c r="A90" s="48"/>
      <c r="B90" s="57"/>
      <c r="C90" s="92">
        <f t="shared" si="0"/>
        <v>4</v>
      </c>
      <c r="D90" s="78"/>
      <c r="E90" s="73" t="s">
        <v>2271</v>
      </c>
      <c r="F90" s="73" t="s">
        <v>2272</v>
      </c>
      <c r="G90" s="78"/>
      <c r="H90" s="335" t="s">
        <v>2544</v>
      </c>
      <c r="I90" s="335"/>
      <c r="J90" s="335"/>
      <c r="K90" s="336">
        <v>-100</v>
      </c>
      <c r="L90" s="336"/>
      <c r="M90" s="336"/>
      <c r="N90" s="336"/>
      <c r="O90" s="335"/>
      <c r="P90" s="335"/>
      <c r="Q90" s="335"/>
      <c r="R90" s="335"/>
      <c r="S90" s="102">
        <v>1500</v>
      </c>
      <c r="T90" s="335">
        <f t="shared" ref="T90:T99" si="5">EXP(K90*$S$90)</f>
        <v>0</v>
      </c>
      <c r="U90" s="407">
        <f t="shared" ref="U90:U93" si="6">SUM(T90,T100,T110,T120,T130,T140)</f>
        <v>45.000000000000092</v>
      </c>
      <c r="V90" s="415">
        <f>SUM(T59,T69,T79)</f>
        <v>1500</v>
      </c>
      <c r="W90" s="335"/>
      <c r="X90" s="335"/>
      <c r="Y90" s="335"/>
      <c r="Z90" s="78"/>
      <c r="AA90" s="60"/>
      <c r="AB90" s="48"/>
      <c r="AC90" s="48"/>
      <c r="AD90" s="48"/>
    </row>
    <row r="91" spans="1:30" outlineLevel="3" x14ac:dyDescent="0.25">
      <c r="A91" s="48"/>
      <c r="B91" s="57"/>
      <c r="C91" s="92">
        <f t="shared" si="0"/>
        <v>4</v>
      </c>
      <c r="D91" s="78"/>
      <c r="E91" s="73"/>
      <c r="F91" s="73" t="s">
        <v>2273</v>
      </c>
      <c r="G91" s="78"/>
      <c r="H91" s="337" t="s">
        <v>2416</v>
      </c>
      <c r="I91" s="337"/>
      <c r="J91" s="337"/>
      <c r="K91" s="338">
        <v>-100</v>
      </c>
      <c r="L91" s="338"/>
      <c r="M91" s="338"/>
      <c r="N91" s="338"/>
      <c r="O91" s="337"/>
      <c r="P91" s="337"/>
      <c r="Q91" s="337"/>
      <c r="R91" s="337"/>
      <c r="S91" s="337"/>
      <c r="T91" s="337">
        <f t="shared" si="5"/>
        <v>0</v>
      </c>
      <c r="U91" s="408">
        <f t="shared" si="6"/>
        <v>45.000000000000092</v>
      </c>
      <c r="V91" s="414">
        <f t="shared" ref="V91:V99" si="7">SUM(T60,T70,T80)</f>
        <v>1500</v>
      </c>
      <c r="W91" s="337"/>
      <c r="X91" s="337"/>
      <c r="Y91" s="337"/>
      <c r="Z91" s="78"/>
      <c r="AA91" s="60"/>
      <c r="AB91" s="48"/>
      <c r="AC91" s="48"/>
      <c r="AD91" s="48"/>
    </row>
    <row r="92" spans="1:30" outlineLevel="3" x14ac:dyDescent="0.25">
      <c r="A92" s="48"/>
      <c r="B92" s="57"/>
      <c r="C92" s="92">
        <f t="shared" si="0"/>
        <v>4</v>
      </c>
      <c r="D92" s="78"/>
      <c r="E92" s="73"/>
      <c r="F92" s="73" t="s">
        <v>2274</v>
      </c>
      <c r="G92" s="78"/>
      <c r="H92" s="337" t="s">
        <v>2253</v>
      </c>
      <c r="I92" s="337"/>
      <c r="J92" s="337"/>
      <c r="K92" s="338">
        <v>-100</v>
      </c>
      <c r="L92" s="338"/>
      <c r="M92" s="338"/>
      <c r="N92" s="338"/>
      <c r="O92" s="337"/>
      <c r="P92" s="337"/>
      <c r="Q92" s="337"/>
      <c r="R92" s="337"/>
      <c r="S92" s="337"/>
      <c r="T92" s="337">
        <f t="shared" si="5"/>
        <v>0</v>
      </c>
      <c r="U92" s="408">
        <f t="shared" si="6"/>
        <v>48.280500000000103</v>
      </c>
      <c r="V92" s="414">
        <f t="shared" si="7"/>
        <v>1071.5250000000001</v>
      </c>
      <c r="W92" s="337"/>
      <c r="X92" s="337"/>
      <c r="Y92" s="337"/>
      <c r="Z92" s="78"/>
      <c r="AA92" s="60"/>
      <c r="AB92" s="48"/>
      <c r="AC92" s="48"/>
      <c r="AD92" s="48"/>
    </row>
    <row r="93" spans="1:30" outlineLevel="3" x14ac:dyDescent="0.25">
      <c r="A93" s="48"/>
      <c r="B93" s="57"/>
      <c r="C93" s="92">
        <f t="shared" si="0"/>
        <v>4</v>
      </c>
      <c r="D93" s="78"/>
      <c r="E93" s="73"/>
      <c r="F93" s="73" t="s">
        <v>2275</v>
      </c>
      <c r="G93" s="78"/>
      <c r="H93" s="337" t="s">
        <v>2417</v>
      </c>
      <c r="I93" s="337"/>
      <c r="J93" s="337"/>
      <c r="K93" s="338">
        <v>-100</v>
      </c>
      <c r="L93" s="338"/>
      <c r="M93" s="338"/>
      <c r="N93" s="338"/>
      <c r="O93" s="337"/>
      <c r="P93" s="337"/>
      <c r="Q93" s="337"/>
      <c r="R93" s="337"/>
      <c r="S93" s="337"/>
      <c r="T93" s="337">
        <f t="shared" si="5"/>
        <v>0</v>
      </c>
      <c r="U93" s="410">
        <f t="shared" si="6"/>
        <v>31.902200000000096</v>
      </c>
      <c r="V93" s="414">
        <f t="shared" si="7"/>
        <v>1071.5250000000001</v>
      </c>
      <c r="W93" s="337"/>
      <c r="X93" s="418" t="s">
        <v>2554</v>
      </c>
      <c r="Y93" s="337" t="s">
        <v>2556</v>
      </c>
      <c r="Z93" s="78"/>
      <c r="AA93" s="60"/>
      <c r="AB93" s="48"/>
      <c r="AC93" s="48"/>
      <c r="AD93" s="48"/>
    </row>
    <row r="94" spans="1:30" outlineLevel="3" x14ac:dyDescent="0.25">
      <c r="A94" s="48"/>
      <c r="B94" s="57"/>
      <c r="C94" s="92">
        <f t="shared" si="0"/>
        <v>4</v>
      </c>
      <c r="D94" s="78"/>
      <c r="E94" s="73"/>
      <c r="F94" s="73" t="s">
        <v>2276</v>
      </c>
      <c r="G94" s="78"/>
      <c r="H94" s="337" t="s">
        <v>2256</v>
      </c>
      <c r="I94" s="337"/>
      <c r="J94" s="337"/>
      <c r="K94" s="338">
        <v>1.01E-3</v>
      </c>
      <c r="L94" s="338"/>
      <c r="M94" s="338"/>
      <c r="N94" s="338"/>
      <c r="O94" s="337"/>
      <c r="P94" s="337"/>
      <c r="Q94" s="337"/>
      <c r="R94" s="337"/>
      <c r="S94" s="337">
        <f>U94/$S$90*100</f>
        <v>1.154494140728072</v>
      </c>
      <c r="T94" s="192">
        <f t="shared" si="5"/>
        <v>4.5494211268456457</v>
      </c>
      <c r="U94" s="412">
        <f>SUM(T94,T104,T114,T124,T134,T144)</f>
        <v>17.317412110921079</v>
      </c>
      <c r="V94" s="416">
        <f t="shared" si="7"/>
        <v>1543.1</v>
      </c>
      <c r="W94" s="337">
        <f>U94/U90</f>
        <v>0.38483138024268987</v>
      </c>
      <c r="X94" s="408">
        <f>U94*1.25</f>
        <v>21.64676513865135</v>
      </c>
      <c r="Y94" s="414">
        <f>V94-$S$90</f>
        <v>43.099999999999909</v>
      </c>
      <c r="Z94" s="78"/>
      <c r="AA94" s="60"/>
      <c r="AB94" s="48"/>
      <c r="AC94" s="48"/>
      <c r="AD94" s="48"/>
    </row>
    <row r="95" spans="1:30" outlineLevel="3" x14ac:dyDescent="0.25">
      <c r="A95" s="48"/>
      <c r="B95" s="57"/>
      <c r="C95" s="92">
        <f t="shared" si="0"/>
        <v>4</v>
      </c>
      <c r="D95" s="78"/>
      <c r="E95" s="73"/>
      <c r="F95" s="73" t="s">
        <v>2277</v>
      </c>
      <c r="G95" s="78"/>
      <c r="H95" s="337" t="s">
        <v>2418</v>
      </c>
      <c r="I95" s="337"/>
      <c r="J95" s="337"/>
      <c r="K95" s="338">
        <v>8.4000000000000003E-4</v>
      </c>
      <c r="L95" s="338"/>
      <c r="M95" s="338"/>
      <c r="N95" s="338"/>
      <c r="O95" s="337"/>
      <c r="P95" s="337"/>
      <c r="Q95" s="337"/>
      <c r="R95" s="337"/>
      <c r="S95" s="337">
        <f>U95/$S$90*100</f>
        <v>0.80748458310791493</v>
      </c>
      <c r="T95" s="192">
        <f t="shared" si="5"/>
        <v>3.5254214873653824</v>
      </c>
      <c r="U95" s="413">
        <f>SUM(T95,T105,T115,T125,T135,T145)</f>
        <v>12.112268746618723</v>
      </c>
      <c r="V95" s="416">
        <f t="shared" si="7"/>
        <v>1148.8000000000002</v>
      </c>
      <c r="W95" s="337">
        <f>U95/U91</f>
        <v>0.26916152770263774</v>
      </c>
      <c r="X95" s="408">
        <f>U95*1.25</f>
        <v>15.140335933273404</v>
      </c>
      <c r="Y95" s="414">
        <f>V95-$S$90</f>
        <v>-351.19999999999982</v>
      </c>
      <c r="Z95" s="78"/>
      <c r="AA95" s="60"/>
      <c r="AB95" s="48"/>
      <c r="AC95" s="48"/>
      <c r="AD95" s="48"/>
    </row>
    <row r="96" spans="1:30" outlineLevel="3" x14ac:dyDescent="0.25">
      <c r="A96" s="48"/>
      <c r="B96" s="57"/>
      <c r="C96" s="92">
        <f t="shared" si="0"/>
        <v>4</v>
      </c>
      <c r="D96" s="78"/>
      <c r="E96" s="73"/>
      <c r="F96" s="73" t="s">
        <v>2268</v>
      </c>
      <c r="G96" s="78"/>
      <c r="H96" s="337" t="s">
        <v>2461</v>
      </c>
      <c r="I96" s="337"/>
      <c r="J96" s="337"/>
      <c r="K96" s="338">
        <v>-100</v>
      </c>
      <c r="L96" s="338"/>
      <c r="M96" s="338"/>
      <c r="N96" s="338"/>
      <c r="O96" s="337"/>
      <c r="P96" s="337"/>
      <c r="Q96" s="337"/>
      <c r="R96" s="337"/>
      <c r="S96" s="337"/>
      <c r="T96" s="337">
        <f t="shared" si="5"/>
        <v>0</v>
      </c>
      <c r="U96" s="411">
        <f t="shared" ref="U96:U99" si="8">SUM(T96,T106,T116,T126,T136,T146)</f>
        <v>39.000000000000092</v>
      </c>
      <c r="V96" s="414">
        <f t="shared" si="7"/>
        <v>1300</v>
      </c>
      <c r="W96" s="337"/>
      <c r="X96" s="337"/>
      <c r="Y96" s="337"/>
      <c r="Z96" s="78"/>
      <c r="AA96" s="60"/>
      <c r="AB96" s="48"/>
      <c r="AC96" s="48"/>
      <c r="AD96" s="48"/>
    </row>
    <row r="97" spans="1:30" outlineLevel="3" x14ac:dyDescent="0.25">
      <c r="A97" s="48"/>
      <c r="B97" s="57"/>
      <c r="C97" s="92">
        <f t="shared" si="0"/>
        <v>4</v>
      </c>
      <c r="D97" s="78"/>
      <c r="E97" s="73"/>
      <c r="F97" s="73" t="s">
        <v>2277</v>
      </c>
      <c r="G97" s="78"/>
      <c r="H97" s="337" t="s">
        <v>2418</v>
      </c>
      <c r="I97" s="337"/>
      <c r="J97" s="337"/>
      <c r="K97" s="338">
        <v>-100</v>
      </c>
      <c r="L97" s="338"/>
      <c r="M97" s="338"/>
      <c r="N97" s="338"/>
      <c r="O97" s="337"/>
      <c r="P97" s="337"/>
      <c r="Q97" s="337"/>
      <c r="R97" s="337"/>
      <c r="S97" s="337"/>
      <c r="T97" s="337">
        <f t="shared" si="5"/>
        <v>0</v>
      </c>
      <c r="U97" s="408">
        <f t="shared" si="8"/>
        <v>39.000000000000092</v>
      </c>
      <c r="V97" s="414">
        <f t="shared" si="7"/>
        <v>1300</v>
      </c>
      <c r="W97" s="337"/>
      <c r="X97" s="337"/>
      <c r="Y97" s="337"/>
      <c r="Z97" s="78"/>
      <c r="AA97" s="60"/>
      <c r="AB97" s="48"/>
      <c r="AC97" s="48"/>
      <c r="AD97" s="48"/>
    </row>
    <row r="98" spans="1:30" outlineLevel="3" x14ac:dyDescent="0.25">
      <c r="A98" s="48"/>
      <c r="B98" s="57"/>
      <c r="C98" s="92">
        <f t="shared" si="0"/>
        <v>4</v>
      </c>
      <c r="D98" s="78"/>
      <c r="E98" s="73"/>
      <c r="F98" s="73" t="s">
        <v>2268</v>
      </c>
      <c r="G98" s="78"/>
      <c r="H98" s="337" t="s">
        <v>2464</v>
      </c>
      <c r="I98" s="337"/>
      <c r="J98" s="337"/>
      <c r="K98" s="338">
        <v>-100</v>
      </c>
      <c r="L98" s="338"/>
      <c r="M98" s="338"/>
      <c r="N98" s="338"/>
      <c r="O98" s="337"/>
      <c r="P98" s="337"/>
      <c r="Q98" s="337"/>
      <c r="R98" s="337"/>
      <c r="S98" s="337"/>
      <c r="T98" s="337">
        <f t="shared" si="5"/>
        <v>0</v>
      </c>
      <c r="U98" s="408">
        <f t="shared" si="8"/>
        <v>42.000000000000092</v>
      </c>
      <c r="V98" s="414">
        <f t="shared" si="7"/>
        <v>1400</v>
      </c>
      <c r="W98" s="337"/>
      <c r="X98" s="337"/>
      <c r="Y98" s="337"/>
      <c r="Z98" s="78"/>
      <c r="AA98" s="60"/>
      <c r="AB98" s="48"/>
      <c r="AC98" s="48"/>
      <c r="AD98" s="48"/>
    </row>
    <row r="99" spans="1:30" outlineLevel="3" x14ac:dyDescent="0.25">
      <c r="A99" s="48"/>
      <c r="B99" s="57"/>
      <c r="C99" s="92">
        <f t="shared" si="0"/>
        <v>4</v>
      </c>
      <c r="D99" s="78"/>
      <c r="E99" s="73"/>
      <c r="F99" s="73" t="s">
        <v>2269</v>
      </c>
      <c r="G99" s="78"/>
      <c r="H99" s="236" t="s">
        <v>2419</v>
      </c>
      <c r="I99" s="236"/>
      <c r="J99" s="236"/>
      <c r="K99" s="339">
        <v>-100</v>
      </c>
      <c r="L99" s="339"/>
      <c r="M99" s="339"/>
      <c r="N99" s="339"/>
      <c r="O99" s="236"/>
      <c r="P99" s="236"/>
      <c r="Q99" s="236"/>
      <c r="R99" s="236"/>
      <c r="S99" s="236"/>
      <c r="T99" s="337">
        <f t="shared" si="5"/>
        <v>0</v>
      </c>
      <c r="U99" s="408">
        <f t="shared" si="8"/>
        <v>42.000000000000092</v>
      </c>
      <c r="V99" s="417">
        <f t="shared" si="7"/>
        <v>1400</v>
      </c>
      <c r="W99" s="236"/>
      <c r="X99" s="236"/>
      <c r="Y99" s="236"/>
      <c r="Z99" s="78"/>
      <c r="AA99" s="60"/>
      <c r="AB99" s="48"/>
      <c r="AC99" s="48"/>
      <c r="AD99" s="48"/>
    </row>
    <row r="100" spans="1:30" outlineLevel="3" x14ac:dyDescent="0.25">
      <c r="A100" s="48"/>
      <c r="B100" s="57"/>
      <c r="C100" s="92">
        <f t="shared" si="0"/>
        <v>4</v>
      </c>
      <c r="D100" s="78"/>
      <c r="E100" s="73"/>
      <c r="F100" s="73" t="s">
        <v>2278</v>
      </c>
      <c r="G100" s="78"/>
      <c r="H100" s="335" t="s">
        <v>2545</v>
      </c>
      <c r="I100" s="335"/>
      <c r="J100" s="335"/>
      <c r="K100" s="336">
        <v>-100</v>
      </c>
      <c r="L100" s="336"/>
      <c r="M100" s="336"/>
      <c r="N100" s="336"/>
      <c r="O100" s="335"/>
      <c r="P100" s="335"/>
      <c r="Q100" s="335"/>
      <c r="R100" s="335"/>
      <c r="S100" s="102">
        <v>0.3</v>
      </c>
      <c r="T100" s="404">
        <f>EXP(K100*$S$100)</f>
        <v>9.3576229688401748E-14</v>
      </c>
      <c r="U100" s="335"/>
      <c r="V100" s="335"/>
      <c r="W100" s="335"/>
      <c r="X100" s="335"/>
      <c r="Y100" s="335"/>
      <c r="Z100" s="78"/>
      <c r="AA100" s="60"/>
      <c r="AB100" s="48"/>
      <c r="AC100" s="48"/>
      <c r="AD100" s="48"/>
    </row>
    <row r="101" spans="1:30" outlineLevel="3" x14ac:dyDescent="0.25">
      <c r="A101" s="48"/>
      <c r="B101" s="57"/>
      <c r="C101" s="92">
        <f t="shared" si="0"/>
        <v>4</v>
      </c>
      <c r="D101" s="78"/>
      <c r="E101" s="73"/>
      <c r="F101" s="73" t="s">
        <v>2279</v>
      </c>
      <c r="G101" s="78"/>
      <c r="H101" s="337" t="s">
        <v>2416</v>
      </c>
      <c r="I101" s="337"/>
      <c r="J101" s="337"/>
      <c r="K101" s="338">
        <v>-100</v>
      </c>
      <c r="L101" s="338"/>
      <c r="M101" s="338"/>
      <c r="N101" s="338"/>
      <c r="O101" s="337"/>
      <c r="P101" s="337"/>
      <c r="Q101" s="337"/>
      <c r="R101" s="337"/>
      <c r="S101" s="337"/>
      <c r="T101" s="405">
        <f t="shared" ref="T101:T109" si="9">EXP(K101*$S$100)</f>
        <v>9.3576229688401748E-14</v>
      </c>
      <c r="U101" s="337"/>
      <c r="V101" s="337"/>
      <c r="W101" s="337"/>
      <c r="X101" s="337"/>
      <c r="Y101" s="337"/>
      <c r="Z101" s="78"/>
      <c r="AA101" s="60"/>
      <c r="AB101" s="48"/>
      <c r="AC101" s="48"/>
      <c r="AD101" s="48"/>
    </row>
    <row r="102" spans="1:30" outlineLevel="3" x14ac:dyDescent="0.25">
      <c r="A102" s="48"/>
      <c r="B102" s="57"/>
      <c r="C102" s="92">
        <f t="shared" si="0"/>
        <v>4</v>
      </c>
      <c r="D102" s="78"/>
      <c r="E102" s="73"/>
      <c r="F102" s="73" t="s">
        <v>2280</v>
      </c>
      <c r="G102" s="78"/>
      <c r="H102" s="337" t="s">
        <v>2253</v>
      </c>
      <c r="I102" s="337"/>
      <c r="J102" s="337"/>
      <c r="K102" s="338">
        <v>-100</v>
      </c>
      <c r="L102" s="338"/>
      <c r="M102" s="338"/>
      <c r="N102" s="338"/>
      <c r="O102" s="337"/>
      <c r="P102" s="337"/>
      <c r="Q102" s="337"/>
      <c r="R102" s="337"/>
      <c r="S102" s="337"/>
      <c r="T102" s="405">
        <f t="shared" si="9"/>
        <v>9.3576229688401748E-14</v>
      </c>
      <c r="U102" s="337"/>
      <c r="V102" s="337"/>
      <c r="W102" s="337"/>
      <c r="X102" s="337"/>
      <c r="Y102" s="337"/>
      <c r="Z102" s="78"/>
      <c r="AA102" s="60"/>
      <c r="AB102" s="48"/>
      <c r="AC102" s="48"/>
      <c r="AD102" s="48"/>
    </row>
    <row r="103" spans="1:30" outlineLevel="3" x14ac:dyDescent="0.25">
      <c r="A103" s="48"/>
      <c r="B103" s="57"/>
      <c r="C103" s="92">
        <f t="shared" si="0"/>
        <v>4</v>
      </c>
      <c r="D103" s="78"/>
      <c r="E103" s="73"/>
      <c r="F103" s="73" t="s">
        <v>2281</v>
      </c>
      <c r="G103" s="78"/>
      <c r="H103" s="337" t="s">
        <v>2417</v>
      </c>
      <c r="I103" s="337"/>
      <c r="J103" s="337"/>
      <c r="K103" s="338">
        <v>-100</v>
      </c>
      <c r="L103" s="338"/>
      <c r="M103" s="338"/>
      <c r="N103" s="338"/>
      <c r="O103" s="337"/>
      <c r="P103" s="337"/>
      <c r="Q103" s="337"/>
      <c r="R103" s="337"/>
      <c r="S103" s="337"/>
      <c r="T103" s="405">
        <f t="shared" si="9"/>
        <v>9.3576229688401748E-14</v>
      </c>
      <c r="U103" s="337"/>
      <c r="V103" s="337"/>
      <c r="W103" s="337"/>
      <c r="X103" s="337"/>
      <c r="Y103" s="337"/>
      <c r="Z103" s="78"/>
      <c r="AA103" s="60"/>
      <c r="AB103" s="48"/>
      <c r="AC103" s="48"/>
      <c r="AD103" s="48"/>
    </row>
    <row r="104" spans="1:30" outlineLevel="3" x14ac:dyDescent="0.25">
      <c r="A104" s="48"/>
      <c r="B104" s="57"/>
      <c r="C104" s="92">
        <f t="shared" si="0"/>
        <v>4</v>
      </c>
      <c r="D104" s="78"/>
      <c r="E104" s="73"/>
      <c r="F104" s="73" t="s">
        <v>2282</v>
      </c>
      <c r="G104" s="78"/>
      <c r="H104" s="337" t="s">
        <v>2256</v>
      </c>
      <c r="I104" s="337"/>
      <c r="J104" s="337"/>
      <c r="K104" s="338">
        <v>-0.46</v>
      </c>
      <c r="L104" s="338"/>
      <c r="M104" s="338"/>
      <c r="N104" s="338"/>
      <c r="O104" s="337"/>
      <c r="P104" s="337"/>
      <c r="Q104" s="337"/>
      <c r="R104" s="337"/>
      <c r="S104" s="337"/>
      <c r="T104" s="405">
        <f t="shared" si="9"/>
        <v>0.87109869174579835</v>
      </c>
      <c r="U104" s="337"/>
      <c r="V104" s="337"/>
      <c r="W104" s="337"/>
      <c r="X104" s="337"/>
      <c r="Y104" s="337"/>
      <c r="Z104" s="78"/>
      <c r="AA104" s="60"/>
      <c r="AB104" s="48"/>
      <c r="AC104" s="48"/>
      <c r="AD104" s="48"/>
    </row>
    <row r="105" spans="1:30" outlineLevel="3" x14ac:dyDescent="0.25">
      <c r="A105" s="48"/>
      <c r="B105" s="57"/>
      <c r="C105" s="92">
        <f t="shared" si="0"/>
        <v>4</v>
      </c>
      <c r="D105" s="78"/>
      <c r="E105" s="73"/>
      <c r="F105" s="73" t="s">
        <v>2283</v>
      </c>
      <c r="G105" s="78"/>
      <c r="H105" s="337" t="s">
        <v>2418</v>
      </c>
      <c r="I105" s="337"/>
      <c r="J105" s="337"/>
      <c r="K105" s="338">
        <v>-0.22</v>
      </c>
      <c r="L105" s="338"/>
      <c r="M105" s="338"/>
      <c r="N105" s="338"/>
      <c r="O105" s="337"/>
      <c r="P105" s="337"/>
      <c r="Q105" s="337"/>
      <c r="R105" s="337"/>
      <c r="S105" s="337"/>
      <c r="T105" s="405">
        <f t="shared" si="9"/>
        <v>0.93613086429161885</v>
      </c>
      <c r="U105" s="337"/>
      <c r="V105" s="337"/>
      <c r="W105" s="337"/>
      <c r="X105" s="337"/>
      <c r="Y105" s="337"/>
      <c r="Z105" s="78"/>
      <c r="AA105" s="60"/>
      <c r="AB105" s="48"/>
      <c r="AC105" s="48"/>
      <c r="AD105" s="48"/>
    </row>
    <row r="106" spans="1:30" outlineLevel="3" x14ac:dyDescent="0.25">
      <c r="A106" s="48"/>
      <c r="B106" s="57"/>
      <c r="C106" s="92">
        <f t="shared" si="0"/>
        <v>4</v>
      </c>
      <c r="D106" s="78"/>
      <c r="E106" s="73"/>
      <c r="F106" s="73" t="s">
        <v>2268</v>
      </c>
      <c r="G106" s="78"/>
      <c r="H106" s="337" t="s">
        <v>2461</v>
      </c>
      <c r="I106" s="337"/>
      <c r="J106" s="337"/>
      <c r="K106" s="338">
        <v>-100</v>
      </c>
      <c r="L106" s="338"/>
      <c r="M106" s="338"/>
      <c r="N106" s="338"/>
      <c r="O106" s="337"/>
      <c r="P106" s="337"/>
      <c r="Q106" s="337"/>
      <c r="R106" s="337"/>
      <c r="S106" s="337"/>
      <c r="T106" s="405">
        <f t="shared" si="9"/>
        <v>9.3576229688401748E-14</v>
      </c>
      <c r="U106" s="337"/>
      <c r="V106" s="337"/>
      <c r="W106" s="337"/>
      <c r="X106" s="337"/>
      <c r="Y106" s="337"/>
      <c r="Z106" s="78"/>
      <c r="AA106" s="60"/>
      <c r="AB106" s="48"/>
      <c r="AC106" s="48"/>
      <c r="AD106" s="48"/>
    </row>
    <row r="107" spans="1:30" outlineLevel="3" x14ac:dyDescent="0.25">
      <c r="A107" s="48"/>
      <c r="B107" s="57"/>
      <c r="C107" s="92">
        <f t="shared" si="0"/>
        <v>4</v>
      </c>
      <c r="D107" s="78"/>
      <c r="E107" s="73"/>
      <c r="F107" s="73" t="s">
        <v>2277</v>
      </c>
      <c r="G107" s="78"/>
      <c r="H107" s="337" t="s">
        <v>2418</v>
      </c>
      <c r="I107" s="337"/>
      <c r="J107" s="337"/>
      <c r="K107" s="338">
        <v>-100</v>
      </c>
      <c r="L107" s="338"/>
      <c r="M107" s="338"/>
      <c r="N107" s="338"/>
      <c r="O107" s="337"/>
      <c r="P107" s="337"/>
      <c r="Q107" s="337"/>
      <c r="R107" s="337"/>
      <c r="S107" s="337"/>
      <c r="T107" s="405">
        <f t="shared" si="9"/>
        <v>9.3576229688401748E-14</v>
      </c>
      <c r="U107" s="337"/>
      <c r="V107" s="337"/>
      <c r="W107" s="337"/>
      <c r="X107" s="337"/>
      <c r="Y107" s="337"/>
      <c r="Z107" s="78"/>
      <c r="AA107" s="60"/>
      <c r="AB107" s="48"/>
      <c r="AC107" s="48"/>
      <c r="AD107" s="48"/>
    </row>
    <row r="108" spans="1:30" outlineLevel="3" x14ac:dyDescent="0.25">
      <c r="A108" s="48"/>
      <c r="B108" s="57"/>
      <c r="C108" s="92">
        <f t="shared" si="0"/>
        <v>4</v>
      </c>
      <c r="D108" s="78"/>
      <c r="E108" s="73"/>
      <c r="F108" s="73" t="s">
        <v>2268</v>
      </c>
      <c r="G108" s="78"/>
      <c r="H108" s="337" t="s">
        <v>2464</v>
      </c>
      <c r="I108" s="337"/>
      <c r="J108" s="337"/>
      <c r="K108" s="338">
        <v>-100</v>
      </c>
      <c r="L108" s="338"/>
      <c r="M108" s="338"/>
      <c r="N108" s="338"/>
      <c r="O108" s="337"/>
      <c r="P108" s="337"/>
      <c r="Q108" s="337"/>
      <c r="R108" s="337"/>
      <c r="S108" s="337"/>
      <c r="T108" s="405">
        <f t="shared" si="9"/>
        <v>9.3576229688401748E-14</v>
      </c>
      <c r="U108" s="337"/>
      <c r="V108" s="337"/>
      <c r="W108" s="337"/>
      <c r="X108" s="337"/>
      <c r="Y108" s="337"/>
      <c r="Z108" s="78"/>
      <c r="AA108" s="60"/>
      <c r="AB108" s="48"/>
      <c r="AC108" s="48"/>
      <c r="AD108" s="48"/>
    </row>
    <row r="109" spans="1:30" outlineLevel="3" x14ac:dyDescent="0.25">
      <c r="A109" s="48"/>
      <c r="B109" s="57"/>
      <c r="C109" s="92">
        <f t="shared" si="0"/>
        <v>4</v>
      </c>
      <c r="D109" s="78"/>
      <c r="E109" s="73"/>
      <c r="F109" s="73" t="s">
        <v>2269</v>
      </c>
      <c r="G109" s="78"/>
      <c r="H109" s="236" t="s">
        <v>2419</v>
      </c>
      <c r="I109" s="236"/>
      <c r="J109" s="236"/>
      <c r="K109" s="339">
        <v>-100</v>
      </c>
      <c r="L109" s="339"/>
      <c r="M109" s="339"/>
      <c r="N109" s="339"/>
      <c r="O109" s="236"/>
      <c r="P109" s="236"/>
      <c r="Q109" s="236"/>
      <c r="R109" s="236"/>
      <c r="S109" s="236"/>
      <c r="T109" s="406">
        <f t="shared" si="9"/>
        <v>9.3576229688401748E-14</v>
      </c>
      <c r="U109" s="236"/>
      <c r="V109" s="236"/>
      <c r="W109" s="236"/>
      <c r="X109" s="236"/>
      <c r="Y109" s="236"/>
      <c r="Z109" s="78"/>
      <c r="AA109" s="60"/>
      <c r="AB109" s="48"/>
      <c r="AC109" s="48"/>
      <c r="AD109" s="48"/>
    </row>
    <row r="110" spans="1:30" outlineLevel="3" x14ac:dyDescent="0.25">
      <c r="A110" s="48"/>
      <c r="B110" s="57"/>
      <c r="C110" s="92">
        <f t="shared" si="0"/>
        <v>4</v>
      </c>
      <c r="D110" s="78"/>
      <c r="E110" s="73"/>
      <c r="F110" s="73" t="s">
        <v>2284</v>
      </c>
      <c r="G110" s="78"/>
      <c r="H110" s="335" t="s">
        <v>2546</v>
      </c>
      <c r="I110" s="335"/>
      <c r="J110" s="335"/>
      <c r="K110" s="336">
        <v>-100</v>
      </c>
      <c r="L110" s="336"/>
      <c r="M110" s="336"/>
      <c r="N110" s="336"/>
      <c r="O110" s="335"/>
      <c r="P110" s="335"/>
      <c r="Q110" s="335"/>
      <c r="R110" s="335"/>
      <c r="S110" s="335">
        <f>S90*S100</f>
        <v>450</v>
      </c>
      <c r="T110" s="404">
        <f>EXP(K110*$S$110)</f>
        <v>0</v>
      </c>
      <c r="U110" s="335"/>
      <c r="V110" s="335"/>
      <c r="W110" s="335"/>
      <c r="X110" s="335"/>
      <c r="Y110" s="335"/>
      <c r="Z110" s="78"/>
      <c r="AA110" s="60"/>
      <c r="AB110" s="48"/>
      <c r="AC110" s="48"/>
      <c r="AD110" s="48"/>
    </row>
    <row r="111" spans="1:30" outlineLevel="3" x14ac:dyDescent="0.25">
      <c r="A111" s="48"/>
      <c r="B111" s="57"/>
      <c r="C111" s="92">
        <f t="shared" si="0"/>
        <v>4</v>
      </c>
      <c r="D111" s="78"/>
      <c r="E111" s="73"/>
      <c r="F111" s="73" t="s">
        <v>2285</v>
      </c>
      <c r="G111" s="78"/>
      <c r="H111" s="337" t="s">
        <v>2416</v>
      </c>
      <c r="I111" s="337"/>
      <c r="J111" s="337"/>
      <c r="K111" s="338">
        <v>-100</v>
      </c>
      <c r="L111" s="338"/>
      <c r="M111" s="338"/>
      <c r="N111" s="338"/>
      <c r="O111" s="337"/>
      <c r="P111" s="337"/>
      <c r="Q111" s="337"/>
      <c r="R111" s="337"/>
      <c r="S111" s="337"/>
      <c r="T111" s="405">
        <f t="shared" ref="T111:T119" si="10">EXP(K111*$S$110)</f>
        <v>0</v>
      </c>
      <c r="U111" s="337"/>
      <c r="V111" s="337"/>
      <c r="W111" s="337"/>
      <c r="X111" s="337"/>
      <c r="Y111" s="337"/>
      <c r="Z111" s="78"/>
      <c r="AA111" s="60"/>
      <c r="AB111" s="48"/>
      <c r="AC111" s="48"/>
      <c r="AD111" s="48"/>
    </row>
    <row r="112" spans="1:30" outlineLevel="3" x14ac:dyDescent="0.25">
      <c r="A112" s="48"/>
      <c r="B112" s="57"/>
      <c r="C112" s="92">
        <f t="shared" si="0"/>
        <v>4</v>
      </c>
      <c r="D112" s="78"/>
      <c r="E112" s="73"/>
      <c r="F112" s="73" t="s">
        <v>2286</v>
      </c>
      <c r="G112" s="78"/>
      <c r="H112" s="337" t="s">
        <v>2253</v>
      </c>
      <c r="I112" s="337"/>
      <c r="J112" s="337"/>
      <c r="K112" s="338">
        <v>-100</v>
      </c>
      <c r="L112" s="338"/>
      <c r="M112" s="338"/>
      <c r="N112" s="338"/>
      <c r="O112" s="337"/>
      <c r="P112" s="337"/>
      <c r="Q112" s="337"/>
      <c r="R112" s="337"/>
      <c r="S112" s="337"/>
      <c r="T112" s="405">
        <f t="shared" si="10"/>
        <v>0</v>
      </c>
      <c r="U112" s="337"/>
      <c r="V112" s="337"/>
      <c r="W112" s="337"/>
      <c r="X112" s="337"/>
      <c r="Y112" s="337"/>
      <c r="Z112" s="78"/>
      <c r="AA112" s="60"/>
      <c r="AB112" s="48"/>
      <c r="AC112" s="48"/>
      <c r="AD112" s="48"/>
    </row>
    <row r="113" spans="1:30" outlineLevel="3" x14ac:dyDescent="0.25">
      <c r="A113" s="48"/>
      <c r="B113" s="57"/>
      <c r="C113" s="92">
        <f t="shared" si="0"/>
        <v>4</v>
      </c>
      <c r="D113" s="78"/>
      <c r="E113" s="73"/>
      <c r="F113" s="73" t="s">
        <v>2287</v>
      </c>
      <c r="G113" s="78"/>
      <c r="H113" s="337" t="s">
        <v>2417</v>
      </c>
      <c r="I113" s="337"/>
      <c r="J113" s="337"/>
      <c r="K113" s="338">
        <v>-100</v>
      </c>
      <c r="L113" s="338"/>
      <c r="M113" s="338"/>
      <c r="N113" s="338"/>
      <c r="O113" s="337"/>
      <c r="P113" s="337"/>
      <c r="Q113" s="337"/>
      <c r="R113" s="337"/>
      <c r="S113" s="337"/>
      <c r="T113" s="405">
        <f t="shared" si="10"/>
        <v>0</v>
      </c>
      <c r="U113" s="337"/>
      <c r="V113" s="337"/>
      <c r="W113" s="337"/>
      <c r="X113" s="337"/>
      <c r="Y113" s="337"/>
      <c r="Z113" s="78"/>
      <c r="AA113" s="60"/>
      <c r="AB113" s="48"/>
      <c r="AC113" s="48"/>
      <c r="AD113" s="48"/>
    </row>
    <row r="114" spans="1:30" outlineLevel="3" x14ac:dyDescent="0.25">
      <c r="A114" s="48"/>
      <c r="B114" s="57"/>
      <c r="C114" s="92">
        <f t="shared" si="0"/>
        <v>4</v>
      </c>
      <c r="D114" s="78"/>
      <c r="E114" s="73"/>
      <c r="F114" s="73" t="s">
        <v>2288</v>
      </c>
      <c r="G114" s="78"/>
      <c r="H114" s="337" t="s">
        <v>2256</v>
      </c>
      <c r="I114" s="337"/>
      <c r="J114" s="337"/>
      <c r="K114" s="338">
        <v>-2.9999999999999997E-4</v>
      </c>
      <c r="L114" s="338"/>
      <c r="M114" s="338"/>
      <c r="N114" s="338"/>
      <c r="O114" s="337"/>
      <c r="P114" s="337"/>
      <c r="Q114" s="337"/>
      <c r="R114" s="337"/>
      <c r="S114" s="337"/>
      <c r="T114" s="405">
        <f t="shared" si="10"/>
        <v>0.87371591168803442</v>
      </c>
      <c r="U114" s="337"/>
      <c r="V114" s="337"/>
      <c r="W114" s="337"/>
      <c r="X114" s="337"/>
      <c r="Y114" s="337"/>
      <c r="Z114" s="78"/>
      <c r="AA114" s="60"/>
      <c r="AB114" s="48"/>
      <c r="AC114" s="48"/>
      <c r="AD114" s="48"/>
    </row>
    <row r="115" spans="1:30" outlineLevel="3" x14ac:dyDescent="0.25">
      <c r="A115" s="48"/>
      <c r="B115" s="57"/>
      <c r="C115" s="92">
        <f t="shared" si="0"/>
        <v>4</v>
      </c>
      <c r="D115" s="78"/>
      <c r="E115" s="73"/>
      <c r="F115" s="73" t="s">
        <v>2289</v>
      </c>
      <c r="G115" s="78"/>
      <c r="H115" s="337" t="s">
        <v>2418</v>
      </c>
      <c r="I115" s="337"/>
      <c r="J115" s="337"/>
      <c r="K115" s="338">
        <v>-2.4000000000000001E-4</v>
      </c>
      <c r="L115" s="338"/>
      <c r="M115" s="338"/>
      <c r="N115" s="338"/>
      <c r="O115" s="337"/>
      <c r="P115" s="337"/>
      <c r="Q115" s="337"/>
      <c r="R115" s="337"/>
      <c r="S115" s="337"/>
      <c r="T115" s="405">
        <f t="shared" si="10"/>
        <v>0.89762759643043488</v>
      </c>
      <c r="U115" s="337"/>
      <c r="V115" s="337"/>
      <c r="W115" s="337"/>
      <c r="X115" s="337"/>
      <c r="Y115" s="337"/>
      <c r="Z115" s="78"/>
      <c r="AA115" s="60"/>
      <c r="AB115" s="48"/>
      <c r="AC115" s="48"/>
      <c r="AD115" s="48"/>
    </row>
    <row r="116" spans="1:30" outlineLevel="3" x14ac:dyDescent="0.25">
      <c r="A116" s="48"/>
      <c r="B116" s="57"/>
      <c r="C116" s="92">
        <f t="shared" si="0"/>
        <v>4</v>
      </c>
      <c r="D116" s="78"/>
      <c r="E116" s="73"/>
      <c r="F116" s="73" t="s">
        <v>2268</v>
      </c>
      <c r="G116" s="78"/>
      <c r="H116" s="337" t="s">
        <v>2461</v>
      </c>
      <c r="I116" s="337"/>
      <c r="J116" s="337"/>
      <c r="K116" s="338">
        <v>-100</v>
      </c>
      <c r="L116" s="338"/>
      <c r="M116" s="338"/>
      <c r="N116" s="338"/>
      <c r="O116" s="337"/>
      <c r="P116" s="337"/>
      <c r="Q116" s="337"/>
      <c r="R116" s="337"/>
      <c r="S116" s="337"/>
      <c r="T116" s="405">
        <f t="shared" si="10"/>
        <v>0</v>
      </c>
      <c r="U116" s="337"/>
      <c r="V116" s="337"/>
      <c r="W116" s="337"/>
      <c r="X116" s="337"/>
      <c r="Y116" s="337"/>
      <c r="Z116" s="78"/>
      <c r="AA116" s="60"/>
      <c r="AB116" s="48"/>
      <c r="AC116" s="48"/>
      <c r="AD116" s="48"/>
    </row>
    <row r="117" spans="1:30" outlineLevel="3" x14ac:dyDescent="0.25">
      <c r="A117" s="48"/>
      <c r="B117" s="57"/>
      <c r="C117" s="92">
        <f t="shared" si="0"/>
        <v>4</v>
      </c>
      <c r="D117" s="78"/>
      <c r="E117" s="73"/>
      <c r="F117" s="73" t="s">
        <v>2277</v>
      </c>
      <c r="G117" s="78"/>
      <c r="H117" s="337" t="s">
        <v>2418</v>
      </c>
      <c r="I117" s="337"/>
      <c r="J117" s="337"/>
      <c r="K117" s="338">
        <v>-100</v>
      </c>
      <c r="L117" s="338"/>
      <c r="M117" s="338"/>
      <c r="N117" s="338"/>
      <c r="O117" s="337"/>
      <c r="P117" s="337"/>
      <c r="Q117" s="337"/>
      <c r="R117" s="337"/>
      <c r="S117" s="337"/>
      <c r="T117" s="405">
        <f t="shared" si="10"/>
        <v>0</v>
      </c>
      <c r="U117" s="337"/>
      <c r="V117" s="337"/>
      <c r="W117" s="337"/>
      <c r="X117" s="337"/>
      <c r="Y117" s="337"/>
      <c r="Z117" s="78"/>
      <c r="AA117" s="60"/>
      <c r="AB117" s="48"/>
      <c r="AC117" s="48"/>
      <c r="AD117" s="48"/>
    </row>
    <row r="118" spans="1:30" outlineLevel="3" x14ac:dyDescent="0.25">
      <c r="A118" s="48"/>
      <c r="B118" s="57"/>
      <c r="C118" s="92">
        <f t="shared" si="0"/>
        <v>4</v>
      </c>
      <c r="D118" s="78"/>
      <c r="E118" s="73"/>
      <c r="F118" s="73" t="s">
        <v>2268</v>
      </c>
      <c r="G118" s="78"/>
      <c r="H118" s="337" t="s">
        <v>2464</v>
      </c>
      <c r="I118" s="337"/>
      <c r="J118" s="337"/>
      <c r="K118" s="338">
        <v>-100</v>
      </c>
      <c r="L118" s="338"/>
      <c r="M118" s="338"/>
      <c r="N118" s="338"/>
      <c r="O118" s="337"/>
      <c r="P118" s="337"/>
      <c r="Q118" s="337"/>
      <c r="R118" s="337"/>
      <c r="S118" s="337"/>
      <c r="T118" s="405">
        <f t="shared" si="10"/>
        <v>0</v>
      </c>
      <c r="U118" s="337"/>
      <c r="V118" s="337"/>
      <c r="W118" s="337"/>
      <c r="X118" s="337"/>
      <c r="Y118" s="337"/>
      <c r="Z118" s="78"/>
      <c r="AA118" s="60"/>
      <c r="AB118" s="48"/>
      <c r="AC118" s="48"/>
      <c r="AD118" s="48"/>
    </row>
    <row r="119" spans="1:30" outlineLevel="3" x14ac:dyDescent="0.25">
      <c r="A119" s="48"/>
      <c r="B119" s="57"/>
      <c r="C119" s="92">
        <f t="shared" si="0"/>
        <v>4</v>
      </c>
      <c r="D119" s="78"/>
      <c r="E119" s="73"/>
      <c r="F119" s="73" t="s">
        <v>2269</v>
      </c>
      <c r="G119" s="78"/>
      <c r="H119" s="236" t="s">
        <v>2419</v>
      </c>
      <c r="I119" s="236"/>
      <c r="J119" s="236"/>
      <c r="K119" s="339">
        <v>-100</v>
      </c>
      <c r="L119" s="339"/>
      <c r="M119" s="339"/>
      <c r="N119" s="339"/>
      <c r="O119" s="236"/>
      <c r="P119" s="236"/>
      <c r="Q119" s="236"/>
      <c r="R119" s="236"/>
      <c r="S119" s="236"/>
      <c r="T119" s="406">
        <f t="shared" si="10"/>
        <v>0</v>
      </c>
      <c r="U119" s="236"/>
      <c r="V119" s="236"/>
      <c r="W119" s="236"/>
      <c r="X119" s="236"/>
      <c r="Y119" s="236"/>
      <c r="Z119" s="78"/>
      <c r="AA119" s="60"/>
      <c r="AB119" s="48"/>
      <c r="AC119" s="48"/>
      <c r="AD119" s="48"/>
    </row>
    <row r="120" spans="1:30" outlineLevel="3" x14ac:dyDescent="0.25">
      <c r="A120" s="48"/>
      <c r="B120" s="57"/>
      <c r="C120" s="92">
        <f t="shared" si="0"/>
        <v>4</v>
      </c>
      <c r="D120" s="78"/>
      <c r="E120" s="73"/>
      <c r="F120" s="73" t="s">
        <v>2290</v>
      </c>
      <c r="G120" s="78"/>
      <c r="H120" s="335" t="s">
        <v>2547</v>
      </c>
      <c r="I120" s="335"/>
      <c r="J120" s="335"/>
      <c r="K120" s="336">
        <v>-100</v>
      </c>
      <c r="L120" s="336"/>
      <c r="M120" s="336"/>
      <c r="N120" s="336"/>
      <c r="O120" s="335"/>
      <c r="P120" s="335"/>
      <c r="Q120" s="335"/>
      <c r="R120" s="335"/>
      <c r="S120" s="335"/>
      <c r="T120" s="407">
        <f t="shared" ref="T120:T123" si="11">EXP(K120)</f>
        <v>3.7200759760208361E-44</v>
      </c>
      <c r="U120" s="335"/>
      <c r="V120" s="335"/>
      <c r="W120" s="335"/>
      <c r="X120" s="335"/>
      <c r="Y120" s="335"/>
      <c r="Z120" s="78"/>
      <c r="AA120" s="60"/>
      <c r="AB120" s="48"/>
      <c r="AC120" s="48"/>
      <c r="AD120" s="48"/>
    </row>
    <row r="121" spans="1:30" outlineLevel="3" x14ac:dyDescent="0.25">
      <c r="A121" s="48"/>
      <c r="B121" s="57"/>
      <c r="C121" s="92">
        <f t="shared" si="0"/>
        <v>4</v>
      </c>
      <c r="D121" s="78"/>
      <c r="E121" s="73"/>
      <c r="F121" s="73" t="s">
        <v>2291</v>
      </c>
      <c r="G121" s="78"/>
      <c r="H121" s="337" t="s">
        <v>2416</v>
      </c>
      <c r="I121" s="337"/>
      <c r="J121" s="337"/>
      <c r="K121" s="338">
        <v>-100</v>
      </c>
      <c r="L121" s="338"/>
      <c r="M121" s="338"/>
      <c r="N121" s="338"/>
      <c r="O121" s="337"/>
      <c r="P121" s="337"/>
      <c r="Q121" s="337"/>
      <c r="R121" s="337"/>
      <c r="S121" s="337"/>
      <c r="T121" s="408">
        <f t="shared" si="11"/>
        <v>3.7200759760208361E-44</v>
      </c>
      <c r="U121" s="337"/>
      <c r="V121" s="337"/>
      <c r="W121" s="337"/>
      <c r="X121" s="337"/>
      <c r="Y121" s="337"/>
      <c r="Z121" s="78"/>
      <c r="AA121" s="60"/>
      <c r="AB121" s="48"/>
      <c r="AC121" s="48"/>
      <c r="AD121" s="48"/>
    </row>
    <row r="122" spans="1:30" outlineLevel="3" x14ac:dyDescent="0.25">
      <c r="A122" s="48"/>
      <c r="B122" s="57"/>
      <c r="C122" s="92">
        <f t="shared" si="0"/>
        <v>4</v>
      </c>
      <c r="D122" s="78"/>
      <c r="E122" s="73"/>
      <c r="F122" s="73" t="s">
        <v>2292</v>
      </c>
      <c r="G122" s="78"/>
      <c r="H122" s="337" t="s">
        <v>2253</v>
      </c>
      <c r="I122" s="337"/>
      <c r="J122" s="337"/>
      <c r="K122" s="338">
        <v>-100</v>
      </c>
      <c r="L122" s="338"/>
      <c r="M122" s="338"/>
      <c r="N122" s="338"/>
      <c r="O122" s="337"/>
      <c r="P122" s="337"/>
      <c r="Q122" s="337"/>
      <c r="R122" s="337"/>
      <c r="S122" s="337"/>
      <c r="T122" s="408">
        <f t="shared" si="11"/>
        <v>3.7200759760208361E-44</v>
      </c>
      <c r="U122" s="337"/>
      <c r="V122" s="337"/>
      <c r="W122" s="337"/>
      <c r="X122" s="337"/>
      <c r="Y122" s="337"/>
      <c r="Z122" s="78"/>
      <c r="AA122" s="60"/>
      <c r="AB122" s="48"/>
      <c r="AC122" s="48"/>
      <c r="AD122" s="48"/>
    </row>
    <row r="123" spans="1:30" outlineLevel="3" x14ac:dyDescent="0.25">
      <c r="A123" s="48"/>
      <c r="B123" s="57"/>
      <c r="C123" s="92">
        <f t="shared" si="0"/>
        <v>4</v>
      </c>
      <c r="D123" s="78"/>
      <c r="E123" s="73"/>
      <c r="F123" s="73" t="s">
        <v>2293</v>
      </c>
      <c r="G123" s="78"/>
      <c r="H123" s="337" t="s">
        <v>2417</v>
      </c>
      <c r="I123" s="337"/>
      <c r="J123" s="337"/>
      <c r="K123" s="338">
        <v>-100</v>
      </c>
      <c r="L123" s="338"/>
      <c r="M123" s="338"/>
      <c r="N123" s="338"/>
      <c r="O123" s="337"/>
      <c r="P123" s="337"/>
      <c r="Q123" s="337"/>
      <c r="R123" s="337"/>
      <c r="S123" s="337"/>
      <c r="T123" s="408">
        <f t="shared" si="11"/>
        <v>3.7200759760208361E-44</v>
      </c>
      <c r="U123" s="337"/>
      <c r="V123" s="337"/>
      <c r="W123" s="337"/>
      <c r="X123" s="337"/>
      <c r="Y123" s="337"/>
      <c r="Z123" s="78"/>
      <c r="AA123" s="60"/>
      <c r="AB123" s="48"/>
      <c r="AC123" s="48"/>
      <c r="AD123" s="48"/>
    </row>
    <row r="124" spans="1:30" outlineLevel="3" x14ac:dyDescent="0.25">
      <c r="A124" s="48"/>
      <c r="B124" s="57"/>
      <c r="C124" s="92">
        <f t="shared" si="0"/>
        <v>4</v>
      </c>
      <c r="D124" s="78"/>
      <c r="E124" s="73"/>
      <c r="F124" s="73" t="s">
        <v>2294</v>
      </c>
      <c r="G124" s="78"/>
      <c r="H124" s="337" t="s">
        <v>2256</v>
      </c>
      <c r="I124" s="337"/>
      <c r="J124" s="337"/>
      <c r="K124" s="338">
        <v>2.4</v>
      </c>
      <c r="L124" s="338"/>
      <c r="M124" s="338"/>
      <c r="N124" s="338"/>
      <c r="O124" s="337"/>
      <c r="P124" s="337"/>
      <c r="Q124" s="337"/>
      <c r="R124" s="337"/>
      <c r="S124" s="337"/>
      <c r="T124" s="408">
        <f>EXP(K124)</f>
        <v>11.023176380641601</v>
      </c>
      <c r="U124" s="337"/>
      <c r="V124" s="337"/>
      <c r="W124" s="337"/>
      <c r="X124" s="337"/>
      <c r="Y124" s="337"/>
      <c r="Z124" s="78"/>
      <c r="AA124" s="60"/>
      <c r="AB124" s="48"/>
      <c r="AC124" s="48"/>
      <c r="AD124" s="48"/>
    </row>
    <row r="125" spans="1:30" outlineLevel="3" x14ac:dyDescent="0.25">
      <c r="A125" s="48"/>
      <c r="B125" s="57"/>
      <c r="C125" s="92">
        <f t="shared" si="0"/>
        <v>4</v>
      </c>
      <c r="D125" s="78"/>
      <c r="E125" s="73"/>
      <c r="F125" s="73" t="s">
        <v>2295</v>
      </c>
      <c r="G125" s="78"/>
      <c r="H125" s="337" t="s">
        <v>2418</v>
      </c>
      <c r="I125" s="337"/>
      <c r="J125" s="337"/>
      <c r="K125" s="338">
        <v>1.91</v>
      </c>
      <c r="L125" s="338"/>
      <c r="M125" s="338"/>
      <c r="N125" s="338"/>
      <c r="O125" s="337"/>
      <c r="P125" s="337"/>
      <c r="Q125" s="337"/>
      <c r="R125" s="337"/>
      <c r="S125" s="337"/>
      <c r="T125" s="408">
        <f>EXP(K125)</f>
        <v>6.7530887985312864</v>
      </c>
      <c r="U125" s="337"/>
      <c r="V125" s="337"/>
      <c r="W125" s="337"/>
      <c r="X125" s="337"/>
      <c r="Y125" s="337"/>
      <c r="Z125" s="78"/>
      <c r="AA125" s="60"/>
      <c r="AB125" s="48"/>
      <c r="AC125" s="48"/>
      <c r="AD125" s="48"/>
    </row>
    <row r="126" spans="1:30" outlineLevel="3" x14ac:dyDescent="0.25">
      <c r="A126" s="48"/>
      <c r="B126" s="57"/>
      <c r="C126" s="92">
        <f t="shared" si="0"/>
        <v>4</v>
      </c>
      <c r="D126" s="78"/>
      <c r="E126" s="73"/>
      <c r="F126" s="73" t="s">
        <v>2268</v>
      </c>
      <c r="G126" s="78"/>
      <c r="H126" s="337" t="s">
        <v>2461</v>
      </c>
      <c r="I126" s="337"/>
      <c r="J126" s="337"/>
      <c r="K126" s="338">
        <v>-100</v>
      </c>
      <c r="L126" s="338"/>
      <c r="M126" s="338"/>
      <c r="N126" s="338"/>
      <c r="O126" s="337"/>
      <c r="P126" s="337"/>
      <c r="Q126" s="337"/>
      <c r="R126" s="337"/>
      <c r="S126" s="337"/>
      <c r="T126" s="408">
        <f t="shared" ref="T126:T129" si="12">EXP(K126)</f>
        <v>3.7200759760208361E-44</v>
      </c>
      <c r="U126" s="337"/>
      <c r="V126" s="337"/>
      <c r="W126" s="337"/>
      <c r="X126" s="337"/>
      <c r="Y126" s="337"/>
      <c r="Z126" s="78"/>
      <c r="AA126" s="60"/>
      <c r="AB126" s="48"/>
      <c r="AC126" s="48"/>
      <c r="AD126" s="48"/>
    </row>
    <row r="127" spans="1:30" outlineLevel="3" x14ac:dyDescent="0.25">
      <c r="A127" s="48"/>
      <c r="B127" s="57"/>
      <c r="C127" s="92">
        <f t="shared" si="0"/>
        <v>4</v>
      </c>
      <c r="D127" s="78"/>
      <c r="E127" s="73"/>
      <c r="F127" s="73" t="s">
        <v>2277</v>
      </c>
      <c r="G127" s="78"/>
      <c r="H127" s="337" t="s">
        <v>2418</v>
      </c>
      <c r="I127" s="337"/>
      <c r="J127" s="337"/>
      <c r="K127" s="338">
        <v>-100</v>
      </c>
      <c r="L127" s="338"/>
      <c r="M127" s="338"/>
      <c r="N127" s="338"/>
      <c r="O127" s="337"/>
      <c r="P127" s="337"/>
      <c r="Q127" s="337"/>
      <c r="R127" s="337"/>
      <c r="S127" s="337"/>
      <c r="T127" s="408">
        <f t="shared" si="12"/>
        <v>3.7200759760208361E-44</v>
      </c>
      <c r="U127" s="337"/>
      <c r="V127" s="337"/>
      <c r="W127" s="337"/>
      <c r="X127" s="337"/>
      <c r="Y127" s="337"/>
      <c r="Z127" s="78"/>
      <c r="AA127" s="60"/>
      <c r="AB127" s="48"/>
      <c r="AC127" s="48"/>
      <c r="AD127" s="48"/>
    </row>
    <row r="128" spans="1:30" outlineLevel="3" x14ac:dyDescent="0.25">
      <c r="A128" s="48"/>
      <c r="B128" s="57"/>
      <c r="C128" s="92">
        <f t="shared" si="0"/>
        <v>4</v>
      </c>
      <c r="D128" s="78"/>
      <c r="E128" s="73"/>
      <c r="F128" s="73" t="s">
        <v>2268</v>
      </c>
      <c r="G128" s="78"/>
      <c r="H128" s="337" t="s">
        <v>2464</v>
      </c>
      <c r="I128" s="337"/>
      <c r="J128" s="337"/>
      <c r="K128" s="338">
        <v>-100</v>
      </c>
      <c r="L128" s="338"/>
      <c r="M128" s="338"/>
      <c r="N128" s="338"/>
      <c r="O128" s="337"/>
      <c r="P128" s="337"/>
      <c r="Q128" s="337"/>
      <c r="R128" s="337"/>
      <c r="S128" s="337"/>
      <c r="T128" s="408">
        <f t="shared" si="12"/>
        <v>3.7200759760208361E-44</v>
      </c>
      <c r="U128" s="337"/>
      <c r="V128" s="337"/>
      <c r="W128" s="337"/>
      <c r="X128" s="337"/>
      <c r="Y128" s="337"/>
      <c r="Z128" s="78"/>
      <c r="AA128" s="60"/>
      <c r="AB128" s="48"/>
      <c r="AC128" s="48"/>
      <c r="AD128" s="48"/>
    </row>
    <row r="129" spans="1:30" outlineLevel="3" x14ac:dyDescent="0.25">
      <c r="A129" s="48"/>
      <c r="B129" s="57"/>
      <c r="C129" s="92">
        <f t="shared" si="0"/>
        <v>4</v>
      </c>
      <c r="D129" s="78"/>
      <c r="E129" s="73"/>
      <c r="F129" s="73" t="s">
        <v>2269</v>
      </c>
      <c r="G129" s="78"/>
      <c r="H129" s="236" t="s">
        <v>2419</v>
      </c>
      <c r="I129" s="236"/>
      <c r="J129" s="236"/>
      <c r="K129" s="339">
        <v>-100</v>
      </c>
      <c r="L129" s="339"/>
      <c r="M129" s="339"/>
      <c r="N129" s="339"/>
      <c r="O129" s="236"/>
      <c r="P129" s="236"/>
      <c r="Q129" s="236"/>
      <c r="R129" s="236"/>
      <c r="S129" s="236"/>
      <c r="T129" s="409">
        <f t="shared" si="12"/>
        <v>3.7200759760208361E-44</v>
      </c>
      <c r="U129" s="236"/>
      <c r="V129" s="236"/>
      <c r="W129" s="236"/>
      <c r="X129" s="236"/>
      <c r="Y129" s="236"/>
      <c r="Z129" s="78"/>
      <c r="AA129" s="60"/>
      <c r="AB129" s="48"/>
      <c r="AC129" s="48"/>
      <c r="AD129" s="48"/>
    </row>
    <row r="130" spans="1:30" outlineLevel="3" x14ac:dyDescent="0.25">
      <c r="A130" s="48"/>
      <c r="B130" s="57"/>
      <c r="C130" s="92">
        <f t="shared" si="0"/>
        <v>4</v>
      </c>
      <c r="D130" s="78"/>
      <c r="E130" s="73"/>
      <c r="F130" s="73" t="s">
        <v>2296</v>
      </c>
      <c r="G130" s="78"/>
      <c r="H130" s="335" t="s">
        <v>2548</v>
      </c>
      <c r="I130" s="335" t="s">
        <v>2297</v>
      </c>
      <c r="J130" s="335"/>
      <c r="K130" s="336">
        <f>30/1000</f>
        <v>0.03</v>
      </c>
      <c r="L130" s="336"/>
      <c r="M130" s="336"/>
      <c r="N130" s="336"/>
      <c r="O130" s="335"/>
      <c r="P130" s="335"/>
      <c r="Q130" s="335"/>
      <c r="R130" s="335"/>
      <c r="S130" s="335">
        <f>S$90</f>
        <v>1500</v>
      </c>
      <c r="T130" s="407">
        <f>(K130*$S$130)</f>
        <v>45</v>
      </c>
      <c r="U130" s="335"/>
      <c r="V130" s="335"/>
      <c r="W130" s="335"/>
      <c r="X130" s="335"/>
      <c r="Y130" s="335"/>
      <c r="Z130" s="78"/>
      <c r="AA130" s="60"/>
      <c r="AB130" s="48"/>
      <c r="AC130" s="48"/>
      <c r="AD130" s="48"/>
    </row>
    <row r="131" spans="1:30" outlineLevel="3" x14ac:dyDescent="0.25">
      <c r="A131" s="48"/>
      <c r="B131" s="57"/>
      <c r="C131" s="92">
        <f t="shared" si="0"/>
        <v>4</v>
      </c>
      <c r="D131" s="78"/>
      <c r="E131" s="73"/>
      <c r="F131" s="73" t="s">
        <v>2298</v>
      </c>
      <c r="G131" s="78"/>
      <c r="H131" s="337" t="s">
        <v>2416</v>
      </c>
      <c r="I131" s="337" t="s">
        <v>2297</v>
      </c>
      <c r="J131" s="337"/>
      <c r="K131" s="338">
        <f>30/1000</f>
        <v>0.03</v>
      </c>
      <c r="L131" s="338"/>
      <c r="M131" s="338"/>
      <c r="N131" s="338"/>
      <c r="O131" s="337"/>
      <c r="P131" s="337"/>
      <c r="Q131" s="337"/>
      <c r="R131" s="337"/>
      <c r="S131" s="337"/>
      <c r="T131" s="408">
        <f t="shared" ref="T131:T139" si="13">(K131*$S$130)</f>
        <v>45</v>
      </c>
      <c r="U131" s="337"/>
      <c r="V131" s="337"/>
      <c r="W131" s="337"/>
      <c r="X131" s="337"/>
      <c r="Y131" s="337"/>
      <c r="Z131" s="78"/>
      <c r="AA131" s="60"/>
      <c r="AB131" s="48"/>
      <c r="AC131" s="48"/>
      <c r="AD131" s="48"/>
    </row>
    <row r="132" spans="1:30" outlineLevel="3" x14ac:dyDescent="0.25">
      <c r="A132" s="48"/>
      <c r="B132" s="57"/>
      <c r="C132" s="92">
        <f t="shared" si="0"/>
        <v>4</v>
      </c>
      <c r="D132" s="78"/>
      <c r="E132" s="73"/>
      <c r="F132" s="73" t="s">
        <v>2299</v>
      </c>
      <c r="G132" s="78"/>
      <c r="H132" s="337" t="s">
        <v>2253</v>
      </c>
      <c r="I132" s="337" t="s">
        <v>2297</v>
      </c>
      <c r="J132" s="337"/>
      <c r="K132" s="338">
        <v>4.9147000000000003E-2</v>
      </c>
      <c r="L132" s="338"/>
      <c r="M132" s="338"/>
      <c r="N132" s="338"/>
      <c r="O132" s="337"/>
      <c r="P132" s="337"/>
      <c r="Q132" s="337"/>
      <c r="R132" s="337"/>
      <c r="S132" s="337"/>
      <c r="T132" s="408">
        <f t="shared" si="13"/>
        <v>73.720500000000001</v>
      </c>
      <c r="U132" s="337"/>
      <c r="V132" s="337"/>
      <c r="W132" s="337"/>
      <c r="X132" s="337"/>
      <c r="Y132" s="337"/>
      <c r="Z132" s="78"/>
      <c r="AA132" s="60"/>
      <c r="AB132" s="48"/>
      <c r="AC132" s="48"/>
      <c r="AD132" s="48"/>
    </row>
    <row r="133" spans="1:30" outlineLevel="3" x14ac:dyDescent="0.25">
      <c r="A133" s="48"/>
      <c r="B133" s="57"/>
      <c r="C133" s="92">
        <f t="shared" si="0"/>
        <v>4</v>
      </c>
      <c r="D133" s="78"/>
      <c r="E133" s="73"/>
      <c r="F133" s="73" t="s">
        <v>2300</v>
      </c>
      <c r="G133" s="78"/>
      <c r="H133" s="337" t="s">
        <v>2417</v>
      </c>
      <c r="I133" s="337" t="s">
        <v>2297</v>
      </c>
      <c r="J133" s="337"/>
      <c r="K133" s="338">
        <v>3.4518800000000002E-2</v>
      </c>
      <c r="L133" s="338"/>
      <c r="M133" s="338"/>
      <c r="N133" s="338"/>
      <c r="O133" s="337"/>
      <c r="P133" s="337"/>
      <c r="Q133" s="337"/>
      <c r="R133" s="337"/>
      <c r="S133" s="337"/>
      <c r="T133" s="408">
        <f t="shared" si="13"/>
        <v>51.778200000000005</v>
      </c>
      <c r="U133" s="337"/>
      <c r="V133" s="337"/>
      <c r="W133" s="337"/>
      <c r="X133" s="337"/>
      <c r="Y133" s="337"/>
      <c r="Z133" s="78"/>
      <c r="AA133" s="60"/>
      <c r="AB133" s="48"/>
      <c r="AC133" s="48"/>
      <c r="AD133" s="48"/>
    </row>
    <row r="134" spans="1:30" outlineLevel="3" x14ac:dyDescent="0.25">
      <c r="A134" s="48"/>
      <c r="B134" s="57"/>
      <c r="C134" s="92">
        <f t="shared" si="0"/>
        <v>4</v>
      </c>
      <c r="D134" s="78"/>
      <c r="E134" s="73"/>
      <c r="F134" s="73" t="s">
        <v>2301</v>
      </c>
      <c r="G134" s="78"/>
      <c r="H134" s="337" t="s">
        <v>2256</v>
      </c>
      <c r="I134" s="337" t="s">
        <v>2297</v>
      </c>
      <c r="J134" s="337"/>
      <c r="K134" s="338">
        <v>0</v>
      </c>
      <c r="L134" s="338"/>
      <c r="M134" s="338"/>
      <c r="N134" s="338"/>
      <c r="O134" s="337"/>
      <c r="P134" s="337"/>
      <c r="Q134" s="337"/>
      <c r="R134" s="337"/>
      <c r="S134" s="337"/>
      <c r="T134" s="408">
        <f t="shared" si="13"/>
        <v>0</v>
      </c>
      <c r="U134" s="337"/>
      <c r="V134" s="337"/>
      <c r="W134" s="337"/>
      <c r="X134" s="337"/>
      <c r="Y134" s="337"/>
      <c r="Z134" s="78"/>
      <c r="AA134" s="60"/>
      <c r="AB134" s="48"/>
      <c r="AC134" s="48"/>
      <c r="AD134" s="48"/>
    </row>
    <row r="135" spans="1:30" outlineLevel="3" x14ac:dyDescent="0.25">
      <c r="A135" s="48"/>
      <c r="B135" s="57"/>
      <c r="C135" s="92">
        <f t="shared" si="0"/>
        <v>4</v>
      </c>
      <c r="D135" s="78"/>
      <c r="E135" s="73"/>
      <c r="F135" s="73" t="s">
        <v>2302</v>
      </c>
      <c r="G135" s="78"/>
      <c r="H135" s="337" t="s">
        <v>2418</v>
      </c>
      <c r="I135" s="337" t="s">
        <v>2297</v>
      </c>
      <c r="J135" s="337"/>
      <c r="K135" s="338">
        <v>0</v>
      </c>
      <c r="L135" s="338"/>
      <c r="M135" s="338"/>
      <c r="N135" s="338"/>
      <c r="O135" s="337"/>
      <c r="P135" s="337"/>
      <c r="Q135" s="337"/>
      <c r="R135" s="337"/>
      <c r="S135" s="337"/>
      <c r="T135" s="408">
        <f t="shared" si="13"/>
        <v>0</v>
      </c>
      <c r="U135" s="337"/>
      <c r="V135" s="337"/>
      <c r="W135" s="337"/>
      <c r="X135" s="337"/>
      <c r="Y135" s="337"/>
      <c r="Z135" s="78"/>
      <c r="AA135" s="60"/>
      <c r="AB135" s="48"/>
      <c r="AC135" s="48"/>
      <c r="AD135" s="48"/>
    </row>
    <row r="136" spans="1:30" outlineLevel="3" x14ac:dyDescent="0.25">
      <c r="A136" s="48"/>
      <c r="B136" s="57"/>
      <c r="C136" s="92">
        <f t="shared" si="0"/>
        <v>4</v>
      </c>
      <c r="D136" s="78"/>
      <c r="E136" s="73"/>
      <c r="F136" s="73" t="s">
        <v>2268</v>
      </c>
      <c r="G136" s="78"/>
      <c r="H136" s="337" t="s">
        <v>2461</v>
      </c>
      <c r="I136" s="337" t="s">
        <v>2297</v>
      </c>
      <c r="J136" s="337"/>
      <c r="K136" s="338">
        <f t="shared" ref="K136:K139" si="14">30/1000</f>
        <v>0.03</v>
      </c>
      <c r="L136" s="338"/>
      <c r="M136" s="338"/>
      <c r="N136" s="338"/>
      <c r="O136" s="337"/>
      <c r="P136" s="337"/>
      <c r="Q136" s="337"/>
      <c r="R136" s="337"/>
      <c r="S136" s="337"/>
      <c r="T136" s="408">
        <f t="shared" si="13"/>
        <v>45</v>
      </c>
      <c r="U136" s="337"/>
      <c r="V136" s="337"/>
      <c r="W136" s="337"/>
      <c r="X136" s="337"/>
      <c r="Y136" s="337"/>
      <c r="Z136" s="78"/>
      <c r="AA136" s="60"/>
      <c r="AB136" s="48"/>
      <c r="AC136" s="48"/>
      <c r="AD136" s="48"/>
    </row>
    <row r="137" spans="1:30" outlineLevel="3" x14ac:dyDescent="0.25">
      <c r="A137" s="48"/>
      <c r="B137" s="57"/>
      <c r="C137" s="92">
        <f t="shared" si="0"/>
        <v>4</v>
      </c>
      <c r="D137" s="78"/>
      <c r="E137" s="73"/>
      <c r="F137" s="73" t="s">
        <v>2277</v>
      </c>
      <c r="G137" s="78"/>
      <c r="H137" s="337" t="s">
        <v>2418</v>
      </c>
      <c r="I137" s="337" t="s">
        <v>2297</v>
      </c>
      <c r="J137" s="337"/>
      <c r="K137" s="338">
        <f t="shared" si="14"/>
        <v>0.03</v>
      </c>
      <c r="L137" s="338"/>
      <c r="M137" s="338"/>
      <c r="N137" s="338"/>
      <c r="O137" s="337"/>
      <c r="P137" s="337"/>
      <c r="Q137" s="337"/>
      <c r="R137" s="337"/>
      <c r="S137" s="337"/>
      <c r="T137" s="408">
        <f t="shared" si="13"/>
        <v>45</v>
      </c>
      <c r="U137" s="337"/>
      <c r="V137" s="337"/>
      <c r="W137" s="337"/>
      <c r="X137" s="337"/>
      <c r="Y137" s="337"/>
      <c r="Z137" s="78"/>
      <c r="AA137" s="60"/>
      <c r="AB137" s="48"/>
      <c r="AC137" s="48"/>
      <c r="AD137" s="48"/>
    </row>
    <row r="138" spans="1:30" outlineLevel="3" x14ac:dyDescent="0.25">
      <c r="A138" s="48"/>
      <c r="B138" s="57"/>
      <c r="C138" s="92">
        <f t="shared" si="0"/>
        <v>4</v>
      </c>
      <c r="D138" s="78"/>
      <c r="E138" s="73"/>
      <c r="F138" s="73" t="s">
        <v>2268</v>
      </c>
      <c r="G138" s="78"/>
      <c r="H138" s="337" t="s">
        <v>2464</v>
      </c>
      <c r="I138" s="337" t="s">
        <v>2297</v>
      </c>
      <c r="J138" s="337"/>
      <c r="K138" s="338">
        <f t="shared" si="14"/>
        <v>0.03</v>
      </c>
      <c r="L138" s="338"/>
      <c r="M138" s="338"/>
      <c r="N138" s="338"/>
      <c r="O138" s="337"/>
      <c r="P138" s="337"/>
      <c r="Q138" s="337"/>
      <c r="R138" s="337"/>
      <c r="S138" s="337"/>
      <c r="T138" s="408">
        <f t="shared" si="13"/>
        <v>45</v>
      </c>
      <c r="U138" s="337"/>
      <c r="V138" s="337"/>
      <c r="W138" s="337"/>
      <c r="X138" s="337"/>
      <c r="Y138" s="337"/>
      <c r="Z138" s="78"/>
      <c r="AA138" s="60"/>
      <c r="AB138" s="48"/>
      <c r="AC138" s="48"/>
      <c r="AD138" s="48"/>
    </row>
    <row r="139" spans="1:30" outlineLevel="3" x14ac:dyDescent="0.25">
      <c r="A139" s="48"/>
      <c r="B139" s="57"/>
      <c r="C139" s="92">
        <f t="shared" si="0"/>
        <v>4</v>
      </c>
      <c r="D139" s="78"/>
      <c r="E139" s="73"/>
      <c r="F139" s="73" t="s">
        <v>2269</v>
      </c>
      <c r="G139" s="78"/>
      <c r="H139" s="236" t="s">
        <v>2419</v>
      </c>
      <c r="I139" s="236" t="s">
        <v>2297</v>
      </c>
      <c r="J139" s="236"/>
      <c r="K139" s="339">
        <f t="shared" si="14"/>
        <v>0.03</v>
      </c>
      <c r="L139" s="339"/>
      <c r="M139" s="339"/>
      <c r="N139" s="339"/>
      <c r="O139" s="236"/>
      <c r="P139" s="236"/>
      <c r="Q139" s="236"/>
      <c r="R139" s="236"/>
      <c r="S139" s="236"/>
      <c r="T139" s="409">
        <f t="shared" si="13"/>
        <v>45</v>
      </c>
      <c r="U139" s="236"/>
      <c r="V139" s="236"/>
      <c r="W139" s="236"/>
      <c r="X139" s="236"/>
      <c r="Y139" s="236"/>
      <c r="Z139" s="78"/>
      <c r="AA139" s="60"/>
      <c r="AB139" s="48"/>
      <c r="AC139" s="48"/>
      <c r="AD139" s="48"/>
    </row>
    <row r="140" spans="1:30" outlineLevel="3" x14ac:dyDescent="0.25">
      <c r="A140" s="48"/>
      <c r="B140" s="57"/>
      <c r="C140" s="92">
        <f t="shared" si="0"/>
        <v>4</v>
      </c>
      <c r="D140" s="78"/>
      <c r="E140" s="73"/>
      <c r="F140" s="73" t="s">
        <v>2303</v>
      </c>
      <c r="G140" s="78"/>
      <c r="H140" s="335" t="s">
        <v>2549</v>
      </c>
      <c r="I140" s="335" t="s">
        <v>2304</v>
      </c>
      <c r="J140" s="335"/>
      <c r="K140" s="336">
        <v>0</v>
      </c>
      <c r="L140" s="336"/>
      <c r="M140" s="336"/>
      <c r="N140" s="336"/>
      <c r="O140" s="335"/>
      <c r="P140" s="335"/>
      <c r="Q140" s="335"/>
      <c r="R140" s="335"/>
      <c r="S140" s="335"/>
      <c r="T140" s="407">
        <f t="shared" ref="T140:T143" si="15">(K140)</f>
        <v>0</v>
      </c>
      <c r="U140" s="335"/>
      <c r="V140" s="335"/>
      <c r="W140" s="335"/>
      <c r="X140" s="335"/>
      <c r="Y140" s="335"/>
      <c r="Z140" s="78"/>
      <c r="AA140" s="60"/>
      <c r="AB140" s="48"/>
      <c r="AC140" s="48"/>
      <c r="AD140" s="48"/>
    </row>
    <row r="141" spans="1:30" outlineLevel="3" x14ac:dyDescent="0.25">
      <c r="A141" s="48"/>
      <c r="B141" s="57"/>
      <c r="C141" s="92">
        <f t="shared" si="0"/>
        <v>4</v>
      </c>
      <c r="D141" s="78"/>
      <c r="E141" s="73"/>
      <c r="F141" s="73" t="s">
        <v>2305</v>
      </c>
      <c r="G141" s="78"/>
      <c r="H141" s="337" t="s">
        <v>2416</v>
      </c>
      <c r="I141" s="337" t="s">
        <v>2304</v>
      </c>
      <c r="J141" s="337"/>
      <c r="K141" s="338">
        <v>0</v>
      </c>
      <c r="L141" s="338"/>
      <c r="M141" s="338"/>
      <c r="N141" s="338"/>
      <c r="O141" s="337"/>
      <c r="P141" s="337"/>
      <c r="Q141" s="337"/>
      <c r="R141" s="337"/>
      <c r="S141" s="337"/>
      <c r="T141" s="408">
        <f t="shared" si="15"/>
        <v>0</v>
      </c>
      <c r="U141" s="337"/>
      <c r="V141" s="337"/>
      <c r="W141" s="337"/>
      <c r="X141" s="337"/>
      <c r="Y141" s="337"/>
      <c r="Z141" s="78"/>
      <c r="AA141" s="60"/>
      <c r="AB141" s="48"/>
      <c r="AC141" s="48"/>
      <c r="AD141" s="48"/>
    </row>
    <row r="142" spans="1:30" outlineLevel="3" x14ac:dyDescent="0.25">
      <c r="A142" s="48"/>
      <c r="B142" s="57"/>
      <c r="C142" s="92">
        <f t="shared" si="0"/>
        <v>4</v>
      </c>
      <c r="D142" s="78"/>
      <c r="E142" s="73"/>
      <c r="F142" s="73" t="s">
        <v>2306</v>
      </c>
      <c r="G142" s="78"/>
      <c r="H142" s="337" t="s">
        <v>2253</v>
      </c>
      <c r="I142" s="337" t="s">
        <v>2304</v>
      </c>
      <c r="J142" s="337"/>
      <c r="K142" s="338">
        <v>-25.44</v>
      </c>
      <c r="L142" s="338"/>
      <c r="M142" s="338"/>
      <c r="N142" s="338"/>
      <c r="O142" s="337"/>
      <c r="P142" s="337"/>
      <c r="Q142" s="337"/>
      <c r="R142" s="337"/>
      <c r="S142" s="337"/>
      <c r="T142" s="408">
        <f t="shared" si="15"/>
        <v>-25.44</v>
      </c>
      <c r="U142" s="337"/>
      <c r="V142" s="337"/>
      <c r="W142" s="337"/>
      <c r="X142" s="337"/>
      <c r="Y142" s="337"/>
      <c r="Z142" s="78"/>
      <c r="AA142" s="60"/>
      <c r="AB142" s="48"/>
      <c r="AC142" s="48"/>
      <c r="AD142" s="48"/>
    </row>
    <row r="143" spans="1:30" outlineLevel="3" x14ac:dyDescent="0.25">
      <c r="A143" s="48"/>
      <c r="B143" s="57"/>
      <c r="C143" s="92">
        <f t="shared" si="0"/>
        <v>4</v>
      </c>
      <c r="D143" s="78"/>
      <c r="E143" s="73"/>
      <c r="F143" s="73" t="s">
        <v>2307</v>
      </c>
      <c r="G143" s="78"/>
      <c r="H143" s="337" t="s">
        <v>2417</v>
      </c>
      <c r="I143" s="337" t="s">
        <v>2304</v>
      </c>
      <c r="J143" s="337"/>
      <c r="K143" s="338">
        <v>-19.876000000000001</v>
      </c>
      <c r="L143" s="338"/>
      <c r="M143" s="338"/>
      <c r="N143" s="338"/>
      <c r="O143" s="337"/>
      <c r="P143" s="337"/>
      <c r="Q143" s="337"/>
      <c r="R143" s="337"/>
      <c r="S143" s="337"/>
      <c r="T143" s="408">
        <f t="shared" si="15"/>
        <v>-19.876000000000001</v>
      </c>
      <c r="U143" s="337"/>
      <c r="V143" s="337"/>
      <c r="W143" s="337"/>
      <c r="X143" s="337"/>
      <c r="Y143" s="337"/>
      <c r="Z143" s="78"/>
      <c r="AA143" s="60"/>
      <c r="AB143" s="48"/>
      <c r="AC143" s="48"/>
      <c r="AD143" s="48"/>
    </row>
    <row r="144" spans="1:30" outlineLevel="3" x14ac:dyDescent="0.25">
      <c r="A144" s="48"/>
      <c r="B144" s="57"/>
      <c r="C144" s="92">
        <f>INT($C$40)+3</f>
        <v>4</v>
      </c>
      <c r="D144" s="78"/>
      <c r="E144" s="73"/>
      <c r="F144" s="73" t="s">
        <v>2308</v>
      </c>
      <c r="G144" s="78"/>
      <c r="H144" s="337" t="s">
        <v>2256</v>
      </c>
      <c r="I144" s="337" t="s">
        <v>2304</v>
      </c>
      <c r="J144" s="337"/>
      <c r="K144" s="338">
        <v>0</v>
      </c>
      <c r="L144" s="338"/>
      <c r="M144" s="338"/>
      <c r="N144" s="338"/>
      <c r="O144" s="337"/>
      <c r="P144" s="337"/>
      <c r="Q144" s="337"/>
      <c r="R144" s="337"/>
      <c r="S144" s="337"/>
      <c r="T144" s="408">
        <f>(K144)</f>
        <v>0</v>
      </c>
      <c r="U144" s="337"/>
      <c r="V144" s="337"/>
      <c r="W144" s="337"/>
      <c r="X144" s="337"/>
      <c r="Y144" s="337"/>
      <c r="Z144" s="78"/>
      <c r="AA144" s="60"/>
      <c r="AB144" s="48"/>
      <c r="AC144" s="48"/>
      <c r="AD144" s="48"/>
    </row>
    <row r="145" spans="1:30" outlineLevel="3" x14ac:dyDescent="0.25">
      <c r="A145" s="48"/>
      <c r="B145" s="57"/>
      <c r="C145" s="92">
        <f>INT($C$40)+3</f>
        <v>4</v>
      </c>
      <c r="D145" s="78"/>
      <c r="E145" s="73"/>
      <c r="F145" s="73" t="s">
        <v>2309</v>
      </c>
      <c r="G145" s="78"/>
      <c r="H145" s="337" t="s">
        <v>2418</v>
      </c>
      <c r="I145" s="337" t="s">
        <v>2304</v>
      </c>
      <c r="J145" s="337"/>
      <c r="K145" s="338">
        <v>0</v>
      </c>
      <c r="L145" s="338"/>
      <c r="M145" s="338"/>
      <c r="N145" s="338"/>
      <c r="O145" s="337"/>
      <c r="P145" s="337"/>
      <c r="Q145" s="337"/>
      <c r="R145" s="337"/>
      <c r="S145" s="337"/>
      <c r="T145" s="408">
        <f>(K145)</f>
        <v>0</v>
      </c>
      <c r="U145" s="337"/>
      <c r="V145" s="337"/>
      <c r="W145" s="337"/>
      <c r="X145" s="337"/>
      <c r="Y145" s="337"/>
      <c r="Z145" s="78"/>
      <c r="AA145" s="60"/>
      <c r="AB145" s="48"/>
      <c r="AC145" s="48"/>
      <c r="AD145" s="48"/>
    </row>
    <row r="146" spans="1:30" outlineLevel="3" x14ac:dyDescent="0.25">
      <c r="A146" s="48"/>
      <c r="B146" s="57"/>
      <c r="C146" s="92">
        <f>INT($C$40)+3</f>
        <v>4</v>
      </c>
      <c r="D146" s="78"/>
      <c r="E146" s="73"/>
      <c r="F146" s="73" t="s">
        <v>2308</v>
      </c>
      <c r="G146" s="78"/>
      <c r="H146" s="337" t="s">
        <v>2461</v>
      </c>
      <c r="I146" s="337" t="s">
        <v>2304</v>
      </c>
      <c r="J146" s="337"/>
      <c r="K146" s="338">
        <f t="shared" ref="K146:K148" si="16">K136*K85</f>
        <v>-6</v>
      </c>
      <c r="L146" s="338"/>
      <c r="M146" s="338"/>
      <c r="N146" s="338"/>
      <c r="O146" s="337"/>
      <c r="P146" s="337"/>
      <c r="Q146" s="337"/>
      <c r="R146" s="337"/>
      <c r="S146" s="337"/>
      <c r="T146" s="408">
        <f t="shared" ref="T146:T149" si="17">(K146)</f>
        <v>-6</v>
      </c>
      <c r="U146" s="337"/>
      <c r="V146" s="337"/>
      <c r="W146" s="337"/>
      <c r="X146" s="337"/>
      <c r="Y146" s="337"/>
      <c r="Z146" s="78"/>
      <c r="AA146" s="60"/>
      <c r="AB146" s="48"/>
      <c r="AC146" s="48"/>
      <c r="AD146" s="48"/>
    </row>
    <row r="147" spans="1:30" outlineLevel="3" x14ac:dyDescent="0.25">
      <c r="A147" s="48"/>
      <c r="B147" s="57"/>
      <c r="C147" s="92">
        <f t="shared" ref="C147:C148" si="18">INT($C$40)+3</f>
        <v>4</v>
      </c>
      <c r="D147" s="78"/>
      <c r="E147" s="73"/>
      <c r="F147" s="73" t="s">
        <v>2277</v>
      </c>
      <c r="G147" s="78"/>
      <c r="H147" s="337" t="s">
        <v>2418</v>
      </c>
      <c r="I147" s="337" t="s">
        <v>2304</v>
      </c>
      <c r="J147" s="337"/>
      <c r="K147" s="338">
        <f t="shared" si="16"/>
        <v>-6</v>
      </c>
      <c r="L147" s="338"/>
      <c r="M147" s="338"/>
      <c r="N147" s="338"/>
      <c r="O147" s="337"/>
      <c r="P147" s="337"/>
      <c r="Q147" s="337"/>
      <c r="R147" s="337"/>
      <c r="S147" s="337"/>
      <c r="T147" s="408">
        <f t="shared" si="17"/>
        <v>-6</v>
      </c>
      <c r="U147" s="337"/>
      <c r="V147" s="337"/>
      <c r="W147" s="337"/>
      <c r="X147" s="337"/>
      <c r="Y147" s="337"/>
      <c r="Z147" s="78"/>
      <c r="AA147" s="60"/>
      <c r="AB147" s="48"/>
      <c r="AC147" s="48"/>
      <c r="AD147" s="48"/>
    </row>
    <row r="148" spans="1:30" outlineLevel="3" x14ac:dyDescent="0.25">
      <c r="A148" s="48"/>
      <c r="B148" s="57"/>
      <c r="C148" s="92">
        <f t="shared" si="18"/>
        <v>4</v>
      </c>
      <c r="D148" s="78"/>
      <c r="E148" s="73"/>
      <c r="F148" s="73" t="s">
        <v>2268</v>
      </c>
      <c r="G148" s="78"/>
      <c r="H148" s="337" t="s">
        <v>2464</v>
      </c>
      <c r="I148" s="337" t="s">
        <v>2304</v>
      </c>
      <c r="J148" s="337"/>
      <c r="K148" s="338">
        <f t="shared" si="16"/>
        <v>-3</v>
      </c>
      <c r="L148" s="338"/>
      <c r="M148" s="338"/>
      <c r="N148" s="338"/>
      <c r="O148" s="337"/>
      <c r="P148" s="337"/>
      <c r="Q148" s="337"/>
      <c r="R148" s="337"/>
      <c r="S148" s="337"/>
      <c r="T148" s="408">
        <f t="shared" si="17"/>
        <v>-3</v>
      </c>
      <c r="U148" s="337"/>
      <c r="V148" s="337"/>
      <c r="W148" s="337"/>
      <c r="X148" s="337"/>
      <c r="Y148" s="337"/>
      <c r="Z148" s="78"/>
      <c r="AA148" s="60"/>
      <c r="AB148" s="48"/>
      <c r="AC148" s="48"/>
      <c r="AD148" s="48"/>
    </row>
    <row r="149" spans="1:30" outlineLevel="3" x14ac:dyDescent="0.25">
      <c r="A149" s="48"/>
      <c r="B149" s="57"/>
      <c r="C149" s="92">
        <f>INT($C$40)+3</f>
        <v>4</v>
      </c>
      <c r="D149" s="78"/>
      <c r="E149" s="73"/>
      <c r="F149" s="73" t="s">
        <v>2309</v>
      </c>
      <c r="G149" s="78"/>
      <c r="H149" s="236" t="s">
        <v>2419</v>
      </c>
      <c r="I149" s="236" t="s">
        <v>2304</v>
      </c>
      <c r="J149" s="236"/>
      <c r="K149" s="339">
        <f>K139*K88</f>
        <v>-3</v>
      </c>
      <c r="L149" s="339"/>
      <c r="M149" s="339"/>
      <c r="N149" s="339"/>
      <c r="O149" s="236"/>
      <c r="P149" s="236"/>
      <c r="Q149" s="236"/>
      <c r="R149" s="236"/>
      <c r="S149" s="236"/>
      <c r="T149" s="409">
        <f t="shared" si="17"/>
        <v>-3</v>
      </c>
      <c r="U149" s="236"/>
      <c r="V149" s="236"/>
      <c r="W149" s="236"/>
      <c r="X149" s="236"/>
      <c r="Y149" s="23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51" t="s">
        <v>490</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5" t="str">
        <f>Idx!A4</f>
        <v>b</v>
      </c>
      <c r="B7" s="4">
        <v>4</v>
      </c>
    </row>
    <row r="8" spans="1:2" x14ac:dyDescent="0.25">
      <c r="A8" s="385" t="str">
        <f>Idx!A5</f>
        <v>bd</v>
      </c>
      <c r="B8" s="4">
        <v>4</v>
      </c>
    </row>
    <row r="9" spans="1:2" x14ac:dyDescent="0.25">
      <c r="A9" s="385" t="str">
        <f>Idx!A6</f>
        <v>f</v>
      </c>
      <c r="B9" s="4">
        <v>2</v>
      </c>
    </row>
    <row r="10" spans="1:2" x14ac:dyDescent="0.25">
      <c r="A10" s="385" t="str">
        <f>Idx!A7</f>
        <v>h</v>
      </c>
      <c r="B10" s="4">
        <v>4</v>
      </c>
    </row>
    <row r="11" spans="1:2" x14ac:dyDescent="0.25">
      <c r="A11" s="385" t="str">
        <f>Idx!A8</f>
        <v>i</v>
      </c>
      <c r="B11" s="386">
        <v>2</v>
      </c>
    </row>
    <row r="12" spans="1:2" x14ac:dyDescent="0.25">
      <c r="A12" s="385" t="str">
        <f>Idx!A9</f>
        <v>k</v>
      </c>
      <c r="B12" s="386">
        <v>2</v>
      </c>
    </row>
    <row r="13" spans="1:2" x14ac:dyDescent="0.25">
      <c r="A13" s="385" t="str">
        <f>Idx!A10</f>
        <v>l</v>
      </c>
      <c r="B13" s="4">
        <v>2</v>
      </c>
    </row>
    <row r="14" spans="1:2" x14ac:dyDescent="0.25">
      <c r="A14" s="385" t="str">
        <f>Idx!A11</f>
        <v>o</v>
      </c>
      <c r="B14" s="4">
        <v>4</v>
      </c>
    </row>
    <row r="15" spans="1:2" x14ac:dyDescent="0.25">
      <c r="A15" s="385" t="str">
        <f>Idx!A12</f>
        <v>od</v>
      </c>
      <c r="B15" s="4">
        <v>4</v>
      </c>
    </row>
    <row r="16" spans="1:2" x14ac:dyDescent="0.25">
      <c r="A16" s="385" t="str">
        <f>Idx!A13</f>
        <v>of</v>
      </c>
      <c r="B16" s="4">
        <v>4</v>
      </c>
    </row>
    <row r="17" spans="1:2" x14ac:dyDescent="0.25">
      <c r="A17" s="385" t="str">
        <f>Idx!A14</f>
        <v>r</v>
      </c>
      <c r="B17" s="4">
        <v>1.8</v>
      </c>
    </row>
    <row r="18" spans="1:2" x14ac:dyDescent="0.25">
      <c r="A18" s="385" t="str">
        <f>Idx!A15</f>
        <v>rd</v>
      </c>
      <c r="B18" s="4">
        <v>1.8</v>
      </c>
    </row>
    <row r="19" spans="1:2" x14ac:dyDescent="0.25">
      <c r="A19" s="385" t="str">
        <f>Idx!A16</f>
        <v>v</v>
      </c>
      <c r="B19" s="4">
        <v>2</v>
      </c>
    </row>
    <row r="20" spans="1:2" x14ac:dyDescent="0.25">
      <c r="A20" s="385" t="str">
        <f>Idx!A17</f>
        <v>w</v>
      </c>
      <c r="B20" s="4">
        <v>4</v>
      </c>
    </row>
    <row r="21" spans="1:2" x14ac:dyDescent="0.25">
      <c r="A21" s="385" t="str">
        <f>Idx!A18</f>
        <v>wd</v>
      </c>
      <c r="B21" s="4">
        <v>4</v>
      </c>
    </row>
    <row r="22" spans="1:2" x14ac:dyDescent="0.25">
      <c r="A22" s="385" t="str">
        <f>Idx!A19</f>
        <v>z</v>
      </c>
      <c r="B22" s="4">
        <v>1.8</v>
      </c>
    </row>
    <row r="23" spans="1:2" x14ac:dyDescent="0.25">
      <c r="A23" s="385"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5" t="str">
        <f>Idx!A4</f>
        <v>b</v>
      </c>
      <c r="B31" s="4">
        <v>7</v>
      </c>
    </row>
    <row r="32" spans="1:2" x14ac:dyDescent="0.25">
      <c r="A32" s="385" t="str">
        <f>Idx!A5</f>
        <v>bd</v>
      </c>
      <c r="B32" s="4">
        <v>7</v>
      </c>
    </row>
    <row r="33" spans="1:2" x14ac:dyDescent="0.25">
      <c r="A33" s="385" t="str">
        <f>Idx!A6</f>
        <v>f</v>
      </c>
      <c r="B33" s="4">
        <v>4.5</v>
      </c>
    </row>
    <row r="34" spans="1:2" x14ac:dyDescent="0.25">
      <c r="A34" s="385" t="str">
        <f>Idx!A7</f>
        <v>h</v>
      </c>
      <c r="B34" s="4">
        <v>7</v>
      </c>
    </row>
    <row r="35" spans="1:2" x14ac:dyDescent="0.25">
      <c r="A35" s="385" t="str">
        <f>Idx!A8</f>
        <v>i</v>
      </c>
      <c r="B35" s="4">
        <v>4.5</v>
      </c>
    </row>
    <row r="36" spans="1:2" x14ac:dyDescent="0.25">
      <c r="A36" s="385" t="str">
        <f>Idx!A9</f>
        <v>k</v>
      </c>
      <c r="B36" s="4">
        <v>4.5</v>
      </c>
    </row>
    <row r="37" spans="1:2" x14ac:dyDescent="0.25">
      <c r="A37" s="385" t="str">
        <f>Idx!A10</f>
        <v>l</v>
      </c>
      <c r="B37" s="4">
        <v>4.5</v>
      </c>
    </row>
    <row r="38" spans="1:2" x14ac:dyDescent="0.25">
      <c r="A38" s="385" t="str">
        <f>Idx!A11</f>
        <v>o</v>
      </c>
      <c r="B38" s="4">
        <v>7</v>
      </c>
    </row>
    <row r="39" spans="1:2" x14ac:dyDescent="0.25">
      <c r="A39" s="385" t="str">
        <f>Idx!A12</f>
        <v>od</v>
      </c>
      <c r="B39" s="4">
        <v>7</v>
      </c>
    </row>
    <row r="40" spans="1:2" x14ac:dyDescent="0.25">
      <c r="A40" s="385" t="str">
        <f>Idx!A13</f>
        <v>of</v>
      </c>
      <c r="B40" s="4">
        <v>7</v>
      </c>
    </row>
    <row r="41" spans="1:2" x14ac:dyDescent="0.25">
      <c r="A41" s="385" t="str">
        <f>Idx!A14</f>
        <v>r</v>
      </c>
      <c r="B41" s="4">
        <v>5</v>
      </c>
    </row>
    <row r="42" spans="1:2" x14ac:dyDescent="0.25">
      <c r="A42" s="385" t="str">
        <f>Idx!A15</f>
        <v>rd</v>
      </c>
      <c r="B42" s="4">
        <v>5</v>
      </c>
    </row>
    <row r="43" spans="1:2" x14ac:dyDescent="0.25">
      <c r="A43" s="385" t="str">
        <f>Idx!A16</f>
        <v>v</v>
      </c>
      <c r="B43" s="4">
        <v>4.5</v>
      </c>
    </row>
    <row r="44" spans="1:2" x14ac:dyDescent="0.25">
      <c r="A44" s="385" t="str">
        <f>Idx!A17</f>
        <v>w</v>
      </c>
      <c r="B44" s="4">
        <v>7</v>
      </c>
    </row>
    <row r="45" spans="1:2" x14ac:dyDescent="0.25">
      <c r="A45" s="385" t="str">
        <f>Idx!A18</f>
        <v>wd</v>
      </c>
      <c r="B45" s="4">
        <v>7</v>
      </c>
    </row>
    <row r="46" spans="1:2" x14ac:dyDescent="0.25">
      <c r="A46" s="385" t="str">
        <f>Idx!A19</f>
        <v>z</v>
      </c>
      <c r="B46" s="4">
        <v>5</v>
      </c>
    </row>
    <row r="47" spans="1:2" x14ac:dyDescent="0.25">
      <c r="A47" s="385" t="str">
        <f>Idx!A20</f>
        <v>zd</v>
      </c>
      <c r="B47" s="4">
        <v>5</v>
      </c>
    </row>
    <row r="49" spans="1:3" x14ac:dyDescent="0.25">
      <c r="A49" s="4" t="s">
        <v>111</v>
      </c>
      <c r="B49" s="438">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20">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33</v>
      </c>
    </row>
    <row r="117" spans="1:2" x14ac:dyDescent="0.25">
      <c r="A117" s="385" t="str">
        <f>Idx!A5</f>
        <v>bd</v>
      </c>
      <c r="B117">
        <v>33</v>
      </c>
    </row>
    <row r="118" spans="1:2" x14ac:dyDescent="0.25">
      <c r="A118" s="385" t="str">
        <f>Idx!A6</f>
        <v>f</v>
      </c>
      <c r="B118">
        <v>38</v>
      </c>
    </row>
    <row r="119" spans="1:2" x14ac:dyDescent="0.25">
      <c r="A119" s="385" t="str">
        <f>Idx!A7</f>
        <v>h</v>
      </c>
      <c r="B119">
        <v>33</v>
      </c>
    </row>
    <row r="120" spans="1:2" x14ac:dyDescent="0.25">
      <c r="A120" s="385" t="str">
        <f>Idx!A8</f>
        <v>i</v>
      </c>
      <c r="B120">
        <v>38</v>
      </c>
    </row>
    <row r="121" spans="1:2" x14ac:dyDescent="0.25">
      <c r="A121" s="385" t="str">
        <f>Idx!A9</f>
        <v>k</v>
      </c>
      <c r="B121">
        <v>38</v>
      </c>
    </row>
    <row r="122" spans="1:2" x14ac:dyDescent="0.25">
      <c r="A122" s="385" t="str">
        <f>Idx!A10</f>
        <v>l</v>
      </c>
      <c r="B122">
        <v>33</v>
      </c>
    </row>
    <row r="123" spans="1:2" x14ac:dyDescent="0.25">
      <c r="A123" s="385" t="str">
        <f>Idx!A11</f>
        <v>o</v>
      </c>
      <c r="B123">
        <v>33</v>
      </c>
    </row>
    <row r="124" spans="1:2" x14ac:dyDescent="0.25">
      <c r="A124" s="385" t="str">
        <f>Idx!A12</f>
        <v>od</v>
      </c>
      <c r="B124">
        <v>33</v>
      </c>
    </row>
    <row r="125" spans="1:2" x14ac:dyDescent="0.25">
      <c r="A125" s="385" t="str">
        <f>Idx!A13</f>
        <v>of</v>
      </c>
      <c r="B125">
        <v>33</v>
      </c>
    </row>
    <row r="126" spans="1:2" x14ac:dyDescent="0.25">
      <c r="A126" s="385" t="str">
        <f>Idx!A14</f>
        <v>r</v>
      </c>
      <c r="B126">
        <v>38</v>
      </c>
    </row>
    <row r="127" spans="1:2" x14ac:dyDescent="0.25">
      <c r="A127" s="385" t="str">
        <f>Idx!A15</f>
        <v>rd</v>
      </c>
      <c r="B127">
        <v>38</v>
      </c>
    </row>
    <row r="128" spans="1:2" x14ac:dyDescent="0.25">
      <c r="A128" s="385" t="str">
        <f>Idx!A16</f>
        <v>v</v>
      </c>
      <c r="B128">
        <v>38</v>
      </c>
    </row>
    <row r="129" spans="1:3" x14ac:dyDescent="0.25">
      <c r="A129" s="385" t="str">
        <f>Idx!A17</f>
        <v>w</v>
      </c>
      <c r="B129">
        <v>33</v>
      </c>
    </row>
    <row r="130" spans="1:3" x14ac:dyDescent="0.25">
      <c r="A130" s="385" t="str">
        <f>Idx!A18</f>
        <v>wd</v>
      </c>
      <c r="B130">
        <v>33</v>
      </c>
    </row>
    <row r="131" spans="1:3" x14ac:dyDescent="0.25">
      <c r="A131" s="385" t="str">
        <f>Idx!A19</f>
        <v>z</v>
      </c>
      <c r="B131">
        <v>38</v>
      </c>
    </row>
    <row r="132" spans="1:3" x14ac:dyDescent="0.25">
      <c r="A132" s="385"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2760</v>
      </c>
      <c r="B152">
        <v>15</v>
      </c>
    </row>
    <row r="153" spans="1:3" x14ac:dyDescent="0.25">
      <c r="A153" t="s">
        <v>2761</v>
      </c>
      <c r="B153">
        <v>15</v>
      </c>
    </row>
    <row r="154" spans="1:3" x14ac:dyDescent="0.25">
      <c r="A154" t="s">
        <v>2762</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s="419">
        <v>62666.666666666664</v>
      </c>
      <c r="C16" s="47">
        <v>1</v>
      </c>
      <c r="D16" s="47">
        <v>0</v>
      </c>
      <c r="E16" s="47">
        <f>1-C16-D16</f>
        <v>0</v>
      </c>
    </row>
    <row r="17" spans="1:5" x14ac:dyDescent="0.25">
      <c r="A17" t="s">
        <v>25</v>
      </c>
      <c r="B17" s="419">
        <v>29000</v>
      </c>
      <c r="C17" s="47">
        <v>1</v>
      </c>
      <c r="D17" s="47">
        <v>0</v>
      </c>
      <c r="E17" s="47">
        <f t="shared" ref="E17:E30" si="0">1-C17-D17</f>
        <v>0</v>
      </c>
    </row>
    <row r="18" spans="1:5" x14ac:dyDescent="0.25">
      <c r="A18" t="s">
        <v>26</v>
      </c>
      <c r="B18" s="419">
        <v>99000</v>
      </c>
      <c r="C18" s="47">
        <v>0</v>
      </c>
      <c r="D18" s="47">
        <v>1</v>
      </c>
      <c r="E18" s="47">
        <f t="shared" si="0"/>
        <v>0</v>
      </c>
    </row>
    <row r="19" spans="1:5" x14ac:dyDescent="0.25">
      <c r="A19" t="s">
        <v>164</v>
      </c>
      <c r="B19" s="419">
        <v>10000</v>
      </c>
      <c r="C19" s="47">
        <v>0</v>
      </c>
      <c r="D19" s="47">
        <v>1</v>
      </c>
      <c r="E19" s="47">
        <f t="shared" si="0"/>
        <v>0</v>
      </c>
    </row>
    <row r="20" spans="1:5" x14ac:dyDescent="0.25">
      <c r="A20" t="s">
        <v>169</v>
      </c>
      <c r="B20" s="419">
        <v>62666.666666666664</v>
      </c>
      <c r="C20" s="47">
        <v>0.3</v>
      </c>
      <c r="D20" s="47">
        <v>0.3</v>
      </c>
      <c r="E20" s="47">
        <f t="shared" si="0"/>
        <v>0.39999999999999997</v>
      </c>
    </row>
    <row r="21" spans="1:5" x14ac:dyDescent="0.25">
      <c r="A21" t="s">
        <v>27</v>
      </c>
      <c r="B21" s="419">
        <v>30000</v>
      </c>
      <c r="C21" s="47">
        <v>0.85</v>
      </c>
      <c r="D21" s="47">
        <v>0</v>
      </c>
      <c r="E21" s="47">
        <f t="shared" si="0"/>
        <v>0.15000000000000002</v>
      </c>
    </row>
    <row r="22" spans="1:5" x14ac:dyDescent="0.25">
      <c r="A22" t="s">
        <v>28</v>
      </c>
      <c r="B22" s="419">
        <v>11666.666666666666</v>
      </c>
      <c r="C22" s="47">
        <v>0.85</v>
      </c>
      <c r="D22" s="47">
        <v>0</v>
      </c>
      <c r="E22" s="47">
        <f t="shared" si="0"/>
        <v>0.15000000000000002</v>
      </c>
    </row>
    <row r="23" spans="1:5" x14ac:dyDescent="0.25">
      <c r="A23" t="s">
        <v>29</v>
      </c>
      <c r="B23" s="419">
        <v>5000</v>
      </c>
      <c r="C23" s="47">
        <v>0</v>
      </c>
      <c r="D23" s="47">
        <v>0</v>
      </c>
      <c r="E23" s="47">
        <f t="shared" si="0"/>
        <v>1</v>
      </c>
    </row>
    <row r="24" spans="1:5" x14ac:dyDescent="0.25">
      <c r="A24" t="s">
        <v>30</v>
      </c>
      <c r="B24" s="419">
        <v>3333.3333333333335</v>
      </c>
      <c r="C24" s="47">
        <v>0</v>
      </c>
      <c r="D24" s="47">
        <v>0</v>
      </c>
      <c r="E24" s="47">
        <f t="shared" si="0"/>
        <v>1</v>
      </c>
    </row>
    <row r="25" spans="1:5" x14ac:dyDescent="0.25">
      <c r="A25" t="s">
        <v>31</v>
      </c>
      <c r="B25" s="419">
        <v>25000</v>
      </c>
      <c r="C25" s="47">
        <v>0</v>
      </c>
      <c r="D25" s="47">
        <v>0</v>
      </c>
      <c r="E25" s="47">
        <f t="shared" si="0"/>
        <v>1</v>
      </c>
    </row>
    <row r="26" spans="1:5" x14ac:dyDescent="0.25">
      <c r="A26" t="s">
        <v>32</v>
      </c>
      <c r="B26" s="419">
        <v>12000</v>
      </c>
      <c r="C26" s="47">
        <v>0.3</v>
      </c>
      <c r="D26" s="47">
        <v>0.3</v>
      </c>
      <c r="E26" s="47">
        <f t="shared" si="0"/>
        <v>0.39999999999999997</v>
      </c>
    </row>
    <row r="27" spans="1:5" x14ac:dyDescent="0.25">
      <c r="A27" t="s">
        <v>33</v>
      </c>
      <c r="B27" s="419">
        <v>26000</v>
      </c>
      <c r="C27" s="47">
        <v>0</v>
      </c>
      <c r="D27" s="47">
        <v>0</v>
      </c>
      <c r="E27" s="47">
        <f t="shared" si="0"/>
        <v>1</v>
      </c>
    </row>
    <row r="28" spans="1:5" x14ac:dyDescent="0.25">
      <c r="A28" t="s">
        <v>34</v>
      </c>
      <c r="B28" s="419">
        <v>7333.333333333333</v>
      </c>
      <c r="C28" s="47">
        <v>0</v>
      </c>
      <c r="D28" s="47">
        <v>0</v>
      </c>
      <c r="E28" s="47">
        <f t="shared" si="0"/>
        <v>1</v>
      </c>
    </row>
    <row r="29" spans="1:5" x14ac:dyDescent="0.25">
      <c r="A29" t="s">
        <v>35</v>
      </c>
      <c r="B29" s="419">
        <v>0</v>
      </c>
      <c r="C29" s="47">
        <v>0</v>
      </c>
      <c r="D29" s="47">
        <v>0</v>
      </c>
      <c r="E29" s="47">
        <f t="shared" si="0"/>
        <v>1</v>
      </c>
    </row>
    <row r="30" spans="1:5" x14ac:dyDescent="0.25">
      <c r="A30" t="s">
        <v>36</v>
      </c>
      <c r="B30" s="419">
        <v>12000</v>
      </c>
      <c r="C30" s="47">
        <v>0</v>
      </c>
      <c r="D30" s="47">
        <v>0</v>
      </c>
      <c r="E30" s="47">
        <f t="shared" si="0"/>
        <v>1</v>
      </c>
    </row>
    <row r="31" spans="1:5" x14ac:dyDescent="0.25">
      <c r="B31" s="420">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17.5</v>
      </c>
    </row>
    <row r="117" spans="1:2" x14ac:dyDescent="0.25">
      <c r="A117" s="385" t="str">
        <f>Idx!A5</f>
        <v>bd</v>
      </c>
      <c r="B117">
        <v>17.5</v>
      </c>
    </row>
    <row r="118" spans="1:2" x14ac:dyDescent="0.25">
      <c r="A118" s="385" t="str">
        <f>Idx!A6</f>
        <v>f</v>
      </c>
      <c r="B118">
        <v>22.5</v>
      </c>
    </row>
    <row r="119" spans="1:2" x14ac:dyDescent="0.25">
      <c r="A119" s="385" t="str">
        <f>Idx!A7</f>
        <v>h</v>
      </c>
      <c r="B119">
        <v>17.5</v>
      </c>
    </row>
    <row r="120" spans="1:2" x14ac:dyDescent="0.25">
      <c r="A120" s="385" t="str">
        <f>Idx!A8</f>
        <v>i</v>
      </c>
      <c r="B120">
        <v>22.5</v>
      </c>
    </row>
    <row r="121" spans="1:2" x14ac:dyDescent="0.25">
      <c r="A121" s="385" t="str">
        <f>Idx!A9</f>
        <v>k</v>
      </c>
      <c r="B121">
        <v>22.5</v>
      </c>
    </row>
    <row r="122" spans="1:2" x14ac:dyDescent="0.25">
      <c r="A122" s="385" t="str">
        <f>Idx!A10</f>
        <v>l</v>
      </c>
      <c r="B122">
        <v>22.5</v>
      </c>
    </row>
    <row r="123" spans="1:2" x14ac:dyDescent="0.25">
      <c r="A123" s="385" t="str">
        <f>Idx!A11</f>
        <v>o</v>
      </c>
      <c r="B123">
        <v>17.5</v>
      </c>
    </row>
    <row r="124" spans="1:2" x14ac:dyDescent="0.25">
      <c r="A124" s="385" t="str">
        <f>Idx!A12</f>
        <v>od</v>
      </c>
      <c r="B124">
        <v>17.5</v>
      </c>
    </row>
    <row r="125" spans="1:2" x14ac:dyDescent="0.25">
      <c r="A125" s="385" t="str">
        <f>Idx!A13</f>
        <v>of</v>
      </c>
      <c r="B125">
        <v>17.5</v>
      </c>
    </row>
    <row r="126" spans="1:2" x14ac:dyDescent="0.25">
      <c r="A126" s="385" t="str">
        <f>Idx!A14</f>
        <v>r</v>
      </c>
      <c r="B126">
        <v>22.5</v>
      </c>
    </row>
    <row r="127" spans="1:2" x14ac:dyDescent="0.25">
      <c r="A127" s="385" t="str">
        <f>Idx!A15</f>
        <v>rd</v>
      </c>
      <c r="B127">
        <v>22.5</v>
      </c>
    </row>
    <row r="128" spans="1:2" x14ac:dyDescent="0.25">
      <c r="A128" s="385" t="str">
        <f>Idx!A16</f>
        <v>v</v>
      </c>
      <c r="B128">
        <v>22.5</v>
      </c>
    </row>
    <row r="129" spans="1:3" x14ac:dyDescent="0.25">
      <c r="A129" s="385" t="str">
        <f>Idx!A17</f>
        <v>w</v>
      </c>
      <c r="B129">
        <v>17.5</v>
      </c>
    </row>
    <row r="130" spans="1:3" x14ac:dyDescent="0.25">
      <c r="A130" s="385" t="str">
        <f>Idx!A18</f>
        <v>wd</v>
      </c>
      <c r="B130">
        <v>17.5</v>
      </c>
    </row>
    <row r="131" spans="1:3" x14ac:dyDescent="0.25">
      <c r="A131" s="385" t="str">
        <f>Idx!A19</f>
        <v>z</v>
      </c>
      <c r="B131">
        <v>22.5</v>
      </c>
    </row>
    <row r="132" spans="1:3" x14ac:dyDescent="0.25">
      <c r="A132" s="385"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31" t="s">
        <v>2760</v>
      </c>
      <c r="B152">
        <v>15</v>
      </c>
    </row>
    <row r="153" spans="1:3" x14ac:dyDescent="0.25">
      <c r="A153" s="431" t="s">
        <v>2761</v>
      </c>
      <c r="B153">
        <v>15</v>
      </c>
    </row>
    <row r="154" spans="1:3" x14ac:dyDescent="0.25">
      <c r="A154" s="431" t="s">
        <v>2762</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384</vt:i4>
      </vt:variant>
    </vt:vector>
  </HeadingPairs>
  <TitlesOfParts>
    <vt:vector size="396"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2022-07-16T03:09:04Z</dcterms:modified>
</cp:coreProperties>
</file>