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94164CF8-8BDE-4688-8F9B-3B09647505E6}" xr6:coauthVersionLast="45" xr6:coauthVersionMax="47" xr10:uidLastSave="{00000000-0000-0000-0000-000000000000}"/>
  <bookViews>
    <workbookView xWindow="-12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Sheep!$Q$166:$Q$173</definedName>
    <definedName name="i_cvscore_s7">Sheep!$R$166:$R$173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Sheep!$AH$166:$AH$173</definedName>
    <definedName name="i_sale_cost_pc_s7">Sheep!$AI$166:$AI$173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Sheep!$S$166:$S$173</definedName>
    <definedName name="i_salep_months_priceadj_s7s9p4">Sheep!$J$251:$U$266</definedName>
    <definedName name="i_salep_percentile">Sheep!$I$163</definedName>
    <definedName name="i_salep_percentile_range_s4">Sheep!$V$165:$Z$165</definedName>
    <definedName name="i_salep_percentile_scalar_s7s4">Sheep!$V$166:$Z$173</definedName>
    <definedName name="i_salep_price_max_s7">Sheep!$U$166:$U$173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13" i="13" l="1"/>
  <c r="Z214" i="13"/>
  <c r="Z215" i="13"/>
  <c r="Z216" i="13"/>
  <c r="Z217" i="13"/>
  <c r="Z218" i="13"/>
  <c r="Z219" i="13"/>
  <c r="U182" i="13" l="1"/>
  <c r="T182" i="13"/>
  <c r="S182" i="13"/>
  <c r="R182" i="13"/>
  <c r="Q182" i="13"/>
  <c r="AQ207" i="13" l="1" a="1"/>
  <c r="AQ207" i="13" s="1"/>
  <c r="AR207" i="13" a="1"/>
  <c r="AR207" i="13" s="1"/>
  <c r="AS207" i="13" a="1"/>
  <c r="AS207" i="13" s="1"/>
  <c r="AU207" i="13" a="1"/>
  <c r="AU207" i="13" s="1"/>
  <c r="AW207" i="13" a="1"/>
  <c r="AW207" i="13" s="1"/>
  <c r="AQ208" i="13" a="1"/>
  <c r="AQ208" i="13" s="1"/>
  <c r="AR208" i="13" a="1"/>
  <c r="AR208" i="13" s="1"/>
  <c r="AS208" i="13" a="1"/>
  <c r="AS208" i="13" s="1"/>
  <c r="AU208" i="13" a="1"/>
  <c r="AU208" i="13" s="1"/>
  <c r="AW208" i="13" a="1"/>
  <c r="AW208" i="13" s="1"/>
  <c r="AQ209" i="13" a="1"/>
  <c r="AQ209" i="13" s="1"/>
  <c r="AR209" i="13" a="1"/>
  <c r="AR209" i="13" s="1"/>
  <c r="AS209" i="13" a="1"/>
  <c r="AS209" i="13" s="1"/>
  <c r="AU209" i="13" a="1"/>
  <c r="AU209" i="13" s="1"/>
  <c r="AW209" i="13" a="1"/>
  <c r="AW209" i="13" s="1"/>
  <c r="AQ210" i="13" a="1"/>
  <c r="AQ210" i="13" s="1"/>
  <c r="AR210" i="13" a="1"/>
  <c r="AR210" i="13" s="1"/>
  <c r="AS210" i="13" a="1"/>
  <c r="AS210" i="13" s="1"/>
  <c r="AU210" i="13" a="1"/>
  <c r="AU210" i="13" s="1"/>
  <c r="AW210" i="13" a="1"/>
  <c r="AW210" i="13" s="1"/>
  <c r="AQ211" i="13" a="1"/>
  <c r="AQ211" i="13" s="1"/>
  <c r="AR211" i="13" a="1"/>
  <c r="AR211" i="13" s="1"/>
  <c r="AS211" i="13" a="1"/>
  <c r="AS211" i="13" s="1"/>
  <c r="AU211" i="13" a="1"/>
  <c r="AU211" i="13" s="1"/>
  <c r="AW211" i="13" a="1"/>
  <c r="AW211" i="13" s="1"/>
  <c r="AQ212" i="13" a="1"/>
  <c r="AQ212" i="13" s="1"/>
  <c r="AR212" i="13" a="1"/>
  <c r="AR212" i="13" s="1"/>
  <c r="AS212" i="13" a="1"/>
  <c r="AS212" i="13" s="1"/>
  <c r="AU212" i="13" a="1"/>
  <c r="AU212" i="13" s="1"/>
  <c r="AW212" i="13" a="1"/>
  <c r="AW212" i="13" s="1"/>
  <c r="AR213" i="13" a="1"/>
  <c r="AR213" i="13" s="1"/>
  <c r="AS213" i="13" a="1"/>
  <c r="AS213" i="13" s="1"/>
  <c r="AU213" i="13" a="1"/>
  <c r="AU213" i="13" s="1"/>
  <c r="AW213" i="13" a="1"/>
  <c r="AW213" i="13" s="1"/>
  <c r="AU214" i="13" a="1"/>
  <c r="AU214" i="13" s="1"/>
  <c r="AW214" i="13" a="1"/>
  <c r="AW214" i="13" s="1"/>
  <c r="AR206" i="13" a="1"/>
  <c r="AR206" i="13" s="1"/>
  <c r="AS206" i="13" a="1"/>
  <c r="AS206" i="13" s="1"/>
  <c r="AU206" i="13" a="1"/>
  <c r="AU206" i="13" s="1"/>
  <c r="AW206" i="13" a="1"/>
  <c r="AW206" i="13" s="1"/>
  <c r="AQ206" i="13" a="1"/>
  <c r="AQ206" i="13" s="1"/>
  <c r="AQ195" i="13" a="1"/>
  <c r="AQ195" i="13" s="1"/>
  <c r="AR195" i="13" a="1"/>
  <c r="AR195" i="13" s="1"/>
  <c r="AS195" i="13" a="1"/>
  <c r="AS195" i="13" s="1"/>
  <c r="AU195" i="13" a="1"/>
  <c r="AU195" i="13" s="1"/>
  <c r="AW195" i="13" a="1"/>
  <c r="AW195" i="13" s="1"/>
  <c r="AQ196" i="13" a="1"/>
  <c r="AQ196" i="13" s="1"/>
  <c r="AR196" i="13" a="1"/>
  <c r="AR196" i="13" s="1"/>
  <c r="AS196" i="13" a="1"/>
  <c r="AS196" i="13" s="1"/>
  <c r="AU196" i="13" a="1"/>
  <c r="AU196" i="13" s="1"/>
  <c r="AW196" i="13" a="1"/>
  <c r="AW196" i="13" s="1"/>
  <c r="AQ197" i="13" a="1"/>
  <c r="AQ197" i="13" s="1"/>
  <c r="AR197" i="13" a="1"/>
  <c r="AR197" i="13" s="1"/>
  <c r="AS197" i="13" a="1"/>
  <c r="AS197" i="13" s="1"/>
  <c r="AU197" i="13" a="1"/>
  <c r="AU197" i="13" s="1"/>
  <c r="AW197" i="13" a="1"/>
  <c r="AW197" i="13" s="1"/>
  <c r="AQ198" i="13" a="1"/>
  <c r="AQ198" i="13" s="1"/>
  <c r="AR198" i="13" a="1"/>
  <c r="AR198" i="13" s="1"/>
  <c r="AS198" i="13" a="1"/>
  <c r="AS198" i="13" s="1"/>
  <c r="AU198" i="13" a="1"/>
  <c r="AU198" i="13" s="1"/>
  <c r="AW198" i="13" a="1"/>
  <c r="AW198" i="13" s="1"/>
  <c r="AQ199" i="13" a="1"/>
  <c r="AQ199" i="13" s="1"/>
  <c r="AR199" i="13" a="1"/>
  <c r="AR199" i="13" s="1"/>
  <c r="AS199" i="13" a="1"/>
  <c r="AS199" i="13" s="1"/>
  <c r="AU199" i="13" a="1"/>
  <c r="AU199" i="13" s="1"/>
  <c r="AW199" i="13" a="1"/>
  <c r="AW199" i="13" s="1"/>
  <c r="AR200" i="13" a="1"/>
  <c r="AR200" i="13" s="1"/>
  <c r="AS200" i="13" a="1"/>
  <c r="AS200" i="13" s="1"/>
  <c r="AU200" i="13" a="1"/>
  <c r="AU200" i="13" s="1"/>
  <c r="AW200" i="13" a="1"/>
  <c r="AW200" i="13" s="1"/>
  <c r="AU201" i="13" a="1"/>
  <c r="AU201" i="13" s="1"/>
  <c r="AW201" i="13" a="1"/>
  <c r="AW201" i="13" s="1"/>
  <c r="AQ194" i="13" a="1"/>
  <c r="AQ194" i="13" s="1"/>
  <c r="AR194" i="13" a="1"/>
  <c r="AR194" i="13" s="1"/>
  <c r="AS194" i="13" a="1"/>
  <c r="AS194" i="13" s="1"/>
  <c r="AU194" i="13" a="1"/>
  <c r="AU194" i="13" s="1"/>
  <c r="AW194" i="13" a="1"/>
  <c r="AW194" i="13" s="1"/>
  <c r="AR193" i="13" a="1"/>
  <c r="AR193" i="13" s="1"/>
  <c r="AS193" i="13" a="1"/>
  <c r="AS193" i="13" s="1"/>
  <c r="AU193" i="13" a="1"/>
  <c r="AU193" i="13" s="1"/>
  <c r="AW193" i="13" a="1"/>
  <c r="AW193" i="13" s="1"/>
  <c r="AQ193" i="13" a="1"/>
  <c r="AQ193" i="13" s="1"/>
  <c r="Q186" i="13"/>
  <c r="U166" i="13" l="1"/>
  <c r="U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R94" i="13"/>
  <c r="AF109" i="13" l="1"/>
  <c r="AE109" i="13"/>
  <c r="AD109" i="13"/>
  <c r="AF96" i="13"/>
  <c r="AE96" i="13"/>
  <c r="AD96" i="13"/>
  <c r="AW109" i="13"/>
  <c r="AX109" i="13" s="1"/>
  <c r="G27" i="6"/>
  <c r="AT109" i="13" l="1"/>
  <c r="AS109" i="13"/>
  <c r="AR109" i="13"/>
  <c r="Z172" i="13"/>
  <c r="Y172" i="13"/>
  <c r="W172" i="13"/>
  <c r="V172" i="13"/>
  <c r="V170" i="13"/>
  <c r="Z166" i="13"/>
  <c r="Y166" i="13"/>
  <c r="W166" i="13"/>
  <c r="V166" i="13"/>
  <c r="U173" i="13"/>
  <c r="U172" i="13"/>
  <c r="U171" i="13" s="1"/>
  <c r="U169" i="13"/>
  <c r="U168" i="13"/>
  <c r="U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R214" i="13" a="1"/>
  <c r="AR214" i="13" s="1"/>
  <c r="AR201" i="13" a="1"/>
  <c r="AR201" i="13" s="1"/>
  <c r="I203" i="13"/>
  <c r="AS214" i="13" a="1"/>
  <c r="AS214" i="13" s="1"/>
  <c r="AS201" i="13" a="1"/>
  <c r="AS201" i="13" s="1"/>
  <c r="Z169" i="13"/>
  <c r="Y169" i="13"/>
  <c r="AB186" i="13"/>
  <c r="AB187" i="13" s="1"/>
  <c r="AA186" i="13"/>
  <c r="AA187" i="13" s="1"/>
  <c r="Z186" i="13"/>
  <c r="Z187" i="13" s="1"/>
  <c r="Y186" i="13"/>
  <c r="Y187" i="13" s="1"/>
  <c r="X186" i="13"/>
  <c r="X187" i="13" s="1"/>
  <c r="U186" i="13"/>
  <c r="U187" i="13" s="1"/>
  <c r="T186" i="13"/>
  <c r="T187" i="13" s="1"/>
  <c r="S186" i="13"/>
  <c r="S187" i="13" s="1"/>
  <c r="R186" i="13"/>
  <c r="R187" i="13" s="1"/>
  <c r="Q187" i="13"/>
  <c r="Z173" i="13"/>
  <c r="W169" i="13"/>
  <c r="A73" i="18"/>
  <c r="A73" i="16"/>
  <c r="Z170" i="13" l="1"/>
  <c r="V173" i="13"/>
  <c r="W173" i="13"/>
  <c r="Y173" i="13"/>
  <c r="Z171" i="13"/>
  <c r="V171" i="13"/>
  <c r="W170" i="13"/>
  <c r="W171" i="13"/>
  <c r="Y170" i="13"/>
  <c r="Y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T166" i="13"/>
  <c r="AU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R173" i="13"/>
  <c r="AR172" i="13"/>
  <c r="AR171" i="13"/>
  <c r="AR170" i="13"/>
  <c r="AR169" i="13"/>
  <c r="AR168" i="13"/>
  <c r="AR167" i="13"/>
  <c r="AR166" i="13"/>
  <c r="AZ95" i="13"/>
  <c r="AW108" i="13"/>
  <c r="AX108" i="13" s="1"/>
  <c r="AW107" i="13"/>
  <c r="AX107" i="13" s="1"/>
  <c r="AW106" i="13"/>
  <c r="AX106" i="13" s="1"/>
  <c r="AW105" i="13"/>
  <c r="AX105" i="13" s="1"/>
  <c r="AW104" i="13"/>
  <c r="AX104" i="13" s="1"/>
  <c r="AW103" i="13"/>
  <c r="AX103" i="13" s="1"/>
  <c r="AW102" i="13"/>
  <c r="AW101" i="13"/>
  <c r="AX101" i="13" s="1"/>
  <c r="AW100" i="13"/>
  <c r="AX100" i="13" s="1"/>
  <c r="AW99" i="13"/>
  <c r="AX99" i="13" s="1"/>
  <c r="AW98" i="13"/>
  <c r="AX98" i="13" s="1"/>
  <c r="AW97" i="13"/>
  <c r="AX97" i="13" s="1"/>
  <c r="L340" i="14"/>
  <c r="K340" i="14"/>
  <c r="O120" i="13"/>
  <c r="AQ204" i="13" l="1" a="1"/>
  <c r="AQ204" i="13" s="1"/>
  <c r="AQ177" i="13" a="1"/>
  <c r="AQ177" i="13" s="1"/>
  <c r="AQ191" i="13" a="1"/>
  <c r="AQ191" i="13" s="1"/>
  <c r="U86" i="9"/>
  <c r="O126" i="13"/>
  <c r="N121" i="13"/>
  <c r="L121" i="13"/>
  <c r="K121" i="13"/>
  <c r="N126" i="13"/>
  <c r="M121" i="13"/>
  <c r="M126" i="13"/>
  <c r="L126" i="13"/>
  <c r="O121" i="13"/>
  <c r="K126" i="13"/>
  <c r="J121" i="13"/>
  <c r="P126" i="13"/>
  <c r="J126" i="13"/>
  <c r="P121" i="13"/>
  <c r="AX102" i="13"/>
  <c r="AU173" i="13"/>
  <c r="AU171" i="13"/>
  <c r="AU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D173" i="13"/>
  <c r="AD172" i="13"/>
  <c r="AD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I173" i="13"/>
  <c r="AH173" i="13"/>
  <c r="C173" i="13"/>
  <c r="AI172" i="13"/>
  <c r="AH172" i="13"/>
  <c r="V169" i="13"/>
  <c r="C172" i="13"/>
  <c r="AI171" i="13"/>
  <c r="AH171" i="13"/>
  <c r="C171" i="13"/>
  <c r="AI170" i="13"/>
  <c r="AH170" i="13"/>
  <c r="C170" i="13"/>
  <c r="AI169" i="13"/>
  <c r="AH169" i="13"/>
  <c r="C169" i="13"/>
  <c r="AI168" i="13"/>
  <c r="AH168" i="13"/>
  <c r="AU168" i="13"/>
  <c r="AV168" i="13" s="1"/>
  <c r="C168" i="13"/>
  <c r="AI167" i="13"/>
  <c r="AH167" i="13"/>
  <c r="AU167" i="13"/>
  <c r="AV167" i="13" s="1"/>
  <c r="C167" i="13"/>
  <c r="AI166" i="13"/>
  <c r="AH166" i="13"/>
  <c r="AV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T108" i="13"/>
  <c r="AS108" i="13"/>
  <c r="AR108" i="13"/>
  <c r="C108" i="13"/>
  <c r="AT107" i="13"/>
  <c r="AS107" i="13"/>
  <c r="AR107" i="13"/>
  <c r="AA107" i="13"/>
  <c r="AA109" i="13" s="1"/>
  <c r="Z107" i="13"/>
  <c r="Z109" i="13" s="1"/>
  <c r="Y107" i="13"/>
  <c r="Y109" i="13" s="1"/>
  <c r="X107" i="13"/>
  <c r="X109" i="13" s="1"/>
  <c r="W107" i="13"/>
  <c r="W109" i="13" s="1"/>
  <c r="C107" i="13"/>
  <c r="AT106" i="13"/>
  <c r="AS106" i="13"/>
  <c r="AR106" i="13"/>
  <c r="AA106" i="13"/>
  <c r="AA108" i="13" s="1"/>
  <c r="Z106" i="13"/>
  <c r="Z108" i="13" s="1"/>
  <c r="Y106" i="13"/>
  <c r="Y108" i="13" s="1"/>
  <c r="X106" i="13"/>
  <c r="X108" i="13" s="1"/>
  <c r="W106" i="13"/>
  <c r="W108" i="13" s="1"/>
  <c r="F106" i="13"/>
  <c r="C106" i="13"/>
  <c r="AT105" i="13"/>
  <c r="AS105" i="13"/>
  <c r="AR105" i="13"/>
  <c r="F105" i="13"/>
  <c r="C105" i="13"/>
  <c r="AT104" i="13"/>
  <c r="AS104" i="13"/>
  <c r="AR104" i="13"/>
  <c r="C104" i="13"/>
  <c r="AT103" i="13"/>
  <c r="AS103" i="13"/>
  <c r="AR103" i="13"/>
  <c r="K104" i="13"/>
  <c r="I104" i="13"/>
  <c r="C103" i="13"/>
  <c r="C102" i="13"/>
  <c r="AT101" i="13"/>
  <c r="AS101" i="13"/>
  <c r="AR101" i="13"/>
  <c r="F101" i="13"/>
  <c r="C101" i="13"/>
  <c r="AT100" i="13"/>
  <c r="AS100" i="13"/>
  <c r="AR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C97" i="13"/>
  <c r="C96" i="13"/>
  <c r="AF95" i="13"/>
  <c r="AT95" i="13" s="1"/>
  <c r="AE95" i="13"/>
  <c r="AS95" i="13" s="1"/>
  <c r="AD95" i="13"/>
  <c r="AR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Q213" i="13" a="1"/>
  <c r="AQ213" i="13" s="1"/>
  <c r="AQ214" i="13" a="1"/>
  <c r="AQ214" i="13" s="1"/>
  <c r="AQ200" i="13" a="1"/>
  <c r="AQ200" i="13" s="1"/>
  <c r="AQ201" i="13" a="1"/>
  <c r="AQ201" i="13" s="1"/>
  <c r="AV193" i="13" a="1"/>
  <c r="AV193" i="13" s="1"/>
  <c r="AV194" i="13" a="1"/>
  <c r="AV194" i="13" s="1"/>
  <c r="AV206" i="13" a="1"/>
  <c r="AV206" i="13" s="1"/>
  <c r="AV207" i="13" a="1"/>
  <c r="AV207" i="13" s="1"/>
  <c r="AT206" i="13" a="1"/>
  <c r="AT206" i="13" s="1"/>
  <c r="AT207" i="13" a="1"/>
  <c r="AT207" i="13" s="1"/>
  <c r="AT208" i="13" a="1"/>
  <c r="AT208" i="13" s="1"/>
  <c r="AT209" i="13" a="1"/>
  <c r="AT209" i="13" s="1"/>
  <c r="AT210" i="13" a="1"/>
  <c r="AT210" i="13" s="1"/>
  <c r="AT211" i="13" a="1"/>
  <c r="AT211" i="13" s="1"/>
  <c r="AT212" i="13" a="1"/>
  <c r="AT212" i="13" s="1"/>
  <c r="AT213" i="13" a="1"/>
  <c r="AT213" i="13" s="1"/>
  <c r="AT214" i="13" a="1"/>
  <c r="AT214" i="13" s="1"/>
  <c r="AT195" i="13" a="1"/>
  <c r="AT195" i="13" s="1"/>
  <c r="AT196" i="13" a="1"/>
  <c r="AT196" i="13" s="1"/>
  <c r="AT197" i="13" a="1"/>
  <c r="AT197" i="13" s="1"/>
  <c r="AT198" i="13" a="1"/>
  <c r="AT198" i="13" s="1"/>
  <c r="AT199" i="13" a="1"/>
  <c r="AT199" i="13" s="1"/>
  <c r="AT200" i="13" a="1"/>
  <c r="AT200" i="13" s="1"/>
  <c r="AT201" i="13" a="1"/>
  <c r="AT201" i="13" s="1"/>
  <c r="AT194" i="13" a="1"/>
  <c r="AT194" i="13" s="1"/>
  <c r="AT193" i="13" a="1"/>
  <c r="AT193" i="13" s="1"/>
  <c r="I241" i="13"/>
  <c r="I242" i="13" s="1"/>
  <c r="I243" i="13" s="1"/>
  <c r="AX193" i="13" a="1"/>
  <c r="AX193" i="13" s="1"/>
  <c r="AX206" i="13" a="1"/>
  <c r="AX206" i="13" s="1"/>
  <c r="AX207" i="13" a="1"/>
  <c r="AX207" i="13" s="1"/>
  <c r="AX208" i="13" a="1"/>
  <c r="AX208" i="13" s="1"/>
  <c r="AX209" i="13" a="1"/>
  <c r="AX209" i="13" s="1"/>
  <c r="AX210" i="13" a="1"/>
  <c r="AX210" i="13" s="1"/>
  <c r="AX211" i="13" a="1"/>
  <c r="AX211" i="13" s="1"/>
  <c r="AX212" i="13" a="1"/>
  <c r="AX212" i="13" s="1"/>
  <c r="AX213" i="13" a="1"/>
  <c r="AX213" i="13" s="1"/>
  <c r="AX214" i="13" a="1"/>
  <c r="AX214" i="13" s="1"/>
  <c r="AX195" i="13" a="1"/>
  <c r="AX195" i="13" s="1"/>
  <c r="AX196" i="13" a="1"/>
  <c r="AX196" i="13" s="1"/>
  <c r="AX197" i="13" a="1"/>
  <c r="AX197" i="13" s="1"/>
  <c r="AX198" i="13" a="1"/>
  <c r="AX198" i="13" s="1"/>
  <c r="AX199" i="13" a="1"/>
  <c r="AX199" i="13" s="1"/>
  <c r="AX200" i="13" a="1"/>
  <c r="AX200" i="13" s="1"/>
  <c r="AX201" i="13" a="1"/>
  <c r="AX201" i="13" s="1"/>
  <c r="AX194" i="13" a="1"/>
  <c r="AX194" i="13" s="1"/>
  <c r="AA610" i="14"/>
  <c r="AB610" i="14" s="1"/>
  <c r="X610" i="14"/>
  <c r="Z1094" i="14"/>
  <c r="AA1094" i="14" s="1"/>
  <c r="X1094" i="14"/>
  <c r="X1093" i="14" s="1"/>
  <c r="Z1095" i="14"/>
  <c r="AA1095" i="14" s="1"/>
  <c r="AB1095" i="14" s="1"/>
  <c r="X1095" i="14"/>
  <c r="V729" i="14"/>
  <c r="AU172" i="13"/>
  <c r="AU169" i="13"/>
  <c r="I225" i="13"/>
  <c r="AA728" i="14"/>
  <c r="W605" i="14"/>
  <c r="V744" i="14"/>
  <c r="V745" i="14" s="1"/>
  <c r="V746" i="14" s="1"/>
  <c r="BC95" i="13"/>
  <c r="AY109" i="13" s="1"/>
  <c r="AZ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P100" i="13" l="1"/>
  <c r="AY108" i="13"/>
  <c r="AY107" i="13"/>
  <c r="AY106" i="13"/>
  <c r="AY102" i="13"/>
  <c r="AZ102" i="13" s="1"/>
  <c r="AY100" i="13"/>
  <c r="AZ100" i="13" s="1"/>
  <c r="AY99" i="13"/>
  <c r="AZ99" i="13" s="1"/>
  <c r="AY98" i="13"/>
  <c r="AZ98" i="13" s="1"/>
  <c r="AY97" i="13"/>
  <c r="AZ97" i="13" s="1"/>
  <c r="AY105" i="13"/>
  <c r="AZ105" i="13" s="1"/>
  <c r="AY104" i="13"/>
  <c r="AZ104" i="13" s="1"/>
  <c r="AY103" i="13"/>
  <c r="AZ103" i="13" s="1"/>
  <c r="AY101" i="13"/>
  <c r="AZ101" i="13" s="1"/>
  <c r="AP108" i="13"/>
  <c r="AP109" i="13" s="1"/>
  <c r="BA109" i="13" s="1"/>
  <c r="AP107" i="13"/>
  <c r="AP106" i="13"/>
  <c r="AP98" i="13"/>
  <c r="AP97" i="13"/>
  <c r="AP105" i="13"/>
  <c r="AP104" i="13"/>
  <c r="AP103" i="13"/>
  <c r="AP102" i="13"/>
  <c r="AP101" i="13"/>
  <c r="AP99" i="13"/>
  <c r="Z1093" i="14"/>
  <c r="I226" i="13"/>
  <c r="W744" i="14"/>
  <c r="W745" i="14" s="1"/>
  <c r="W746" i="14" s="1"/>
  <c r="AB733" i="14"/>
  <c r="AB731" i="14"/>
  <c r="AW167" i="13"/>
  <c r="F97" i="13"/>
  <c r="AV172" i="13"/>
  <c r="AA731" i="14"/>
  <c r="AW168" i="13"/>
  <c r="K42" i="10"/>
  <c r="P106" i="13"/>
  <c r="P108" i="13" s="1"/>
  <c r="AV169" i="13"/>
  <c r="AZ169" i="13" s="1"/>
  <c r="AA734" i="14"/>
  <c r="AA733" i="14"/>
  <c r="AB813" i="14"/>
  <c r="AB729" i="14" s="1"/>
  <c r="AA729" i="14"/>
  <c r="J96" i="13"/>
  <c r="F96" i="13" s="1"/>
  <c r="AA781" i="14"/>
  <c r="Z681" i="14"/>
  <c r="X730" i="14"/>
  <c r="X732" i="14"/>
  <c r="AB1094" i="14"/>
  <c r="AB1093" i="14" s="1"/>
  <c r="AA1093" i="14"/>
  <c r="L243" i="13"/>
  <c r="N243" i="13"/>
  <c r="AW166" i="13"/>
  <c r="AQ179" i="13" s="1" a="1"/>
  <c r="AQ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V197" i="13" l="1" a="1"/>
  <c r="AV197" i="13" s="1"/>
  <c r="AV209" i="13" a="1"/>
  <c r="AV209" i="13" s="1"/>
  <c r="AV195" i="13" a="1"/>
  <c r="AV195" i="13" s="1"/>
  <c r="AV208" i="13" a="1"/>
  <c r="AV208" i="13" s="1"/>
  <c r="AR179" i="13" a="1"/>
  <c r="AR179" i="13" s="1"/>
  <c r="AR185" i="13" a="1"/>
  <c r="AR185" i="13" s="1"/>
  <c r="AR184" i="13" a="1"/>
  <c r="AR184" i="13" s="1"/>
  <c r="AR183" i="13" a="1"/>
  <c r="AR183" i="13" s="1"/>
  <c r="AR182" i="13" a="1"/>
  <c r="AR182" i="13" s="1"/>
  <c r="AR181" i="13" a="1"/>
  <c r="AR181" i="13" s="1"/>
  <c r="AR180" i="13" a="1"/>
  <c r="AR180" i="13" s="1"/>
  <c r="AR186" i="13" a="1"/>
  <c r="AR186" i="13" s="1"/>
  <c r="AR187" i="13" a="1"/>
  <c r="AR187" i="13" s="1"/>
  <c r="AQ183" i="13" a="1"/>
  <c r="AQ183" i="13" s="1"/>
  <c r="AQ182" i="13" a="1"/>
  <c r="AQ182" i="13" s="1"/>
  <c r="AQ187" i="13" a="1"/>
  <c r="AQ187" i="13" s="1"/>
  <c r="AQ181" i="13" a="1"/>
  <c r="AQ181" i="13" s="1"/>
  <c r="AQ186" i="13" a="1"/>
  <c r="AQ186" i="13" s="1"/>
  <c r="AQ180" i="13" a="1"/>
  <c r="AQ180" i="13" s="1"/>
  <c r="AQ185" i="13" a="1"/>
  <c r="AQ185" i="13" s="1"/>
  <c r="AQ184" i="13" a="1"/>
  <c r="AQ184" i="13" s="1"/>
  <c r="AS179" i="13" a="1"/>
  <c r="AS179" i="13" s="1"/>
  <c r="AS186" i="13" a="1"/>
  <c r="AS186" i="13" s="1"/>
  <c r="AS180" i="13" a="1"/>
  <c r="AS180" i="13" s="1"/>
  <c r="AS181" i="13" a="1"/>
  <c r="AS181" i="13" s="1"/>
  <c r="AS185" i="13" a="1"/>
  <c r="AS185" i="13" s="1"/>
  <c r="AS184" i="13" a="1"/>
  <c r="AS184" i="13" s="1"/>
  <c r="AS183" i="13" a="1"/>
  <c r="AS183" i="13" s="1"/>
  <c r="AS182" i="13" a="1"/>
  <c r="AS182" i="13" s="1"/>
  <c r="AS187" i="13" a="1"/>
  <c r="AS187" i="13" s="1"/>
  <c r="BA102" i="13"/>
  <c r="BA98" i="13"/>
  <c r="BA99" i="13"/>
  <c r="BA103" i="13"/>
  <c r="BA105" i="13"/>
  <c r="BA101" i="13"/>
  <c r="BA100" i="13"/>
  <c r="BA104" i="13"/>
  <c r="BA106" i="13"/>
  <c r="AZ106" i="13"/>
  <c r="BA107" i="13"/>
  <c r="AZ107" i="13"/>
  <c r="AZ108" i="13"/>
  <c r="BA108" i="13"/>
  <c r="AP96" i="13"/>
  <c r="BA97" i="13"/>
  <c r="AW172" i="13"/>
  <c r="AW169" i="13"/>
  <c r="I227" i="13"/>
  <c r="AV200" i="13" s="1" a="1"/>
  <c r="AV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AV210" i="13" l="1" a="1"/>
  <c r="AV210" i="13" s="1"/>
  <c r="AV196" i="13" a="1"/>
  <c r="AV196" i="13" s="1"/>
  <c r="AV211" i="13" a="1"/>
  <c r="AV211" i="13" s="1"/>
  <c r="AV214" i="13" a="1"/>
  <c r="AV214" i="13" s="1"/>
  <c r="AV198" i="13" a="1"/>
  <c r="AV198" i="13" s="1"/>
  <c r="AV213" i="13" a="1"/>
  <c r="AV213" i="13" s="1"/>
  <c r="AV199" i="13" a="1"/>
  <c r="AV199" i="13" s="1"/>
  <c r="AV212" i="13" a="1"/>
  <c r="AV212" i="13" s="1"/>
  <c r="AV201" i="13" a="1"/>
  <c r="AV201" i="13" s="1"/>
  <c r="AT179" i="13" a="1"/>
  <c r="AT179" i="13" s="1"/>
  <c r="AT186" i="13" a="1"/>
  <c r="AT186" i="13" s="1"/>
  <c r="AT185" i="13" a="1"/>
  <c r="AT185" i="13" s="1"/>
  <c r="AT184" i="13" a="1"/>
  <c r="AT184" i="13" s="1"/>
  <c r="AT183" i="13" a="1"/>
  <c r="AT183" i="13" s="1"/>
  <c r="AT182" i="13" a="1"/>
  <c r="AT182" i="13" s="1"/>
  <c r="AT181" i="13" a="1"/>
  <c r="AT181" i="13" s="1"/>
  <c r="AT180" i="13" a="1"/>
  <c r="AT180" i="13" s="1"/>
  <c r="AT187" i="13" a="1"/>
  <c r="AT187" i="13" s="1"/>
  <c r="AW179" i="13" a="1"/>
  <c r="AW179" i="13" s="1"/>
  <c r="AW180" i="13" a="1"/>
  <c r="AW180" i="13" s="1"/>
  <c r="AW186" i="13" a="1"/>
  <c r="AW186" i="13" s="1"/>
  <c r="AW187" i="13" a="1"/>
  <c r="AW187" i="13" s="1"/>
  <c r="AW185" i="13" a="1"/>
  <c r="AW185" i="13" s="1"/>
  <c r="AW184" i="13" a="1"/>
  <c r="AW184" i="13" s="1"/>
  <c r="AW182" i="13" a="1"/>
  <c r="AW182" i="13" s="1"/>
  <c r="AW181" i="13" a="1"/>
  <c r="AW181" i="13" s="1"/>
  <c r="AW183" i="13" a="1"/>
  <c r="AW183" i="13" s="1"/>
  <c r="AZ172" i="13"/>
  <c r="Y744" i="14"/>
  <c r="Z744" i="14" s="1"/>
  <c r="AA1062" i="14"/>
  <c r="Z1061" i="14"/>
  <c r="AA684" i="14"/>
  <c r="AB782" i="14"/>
  <c r="AA682" i="14"/>
  <c r="AV173" i="13"/>
  <c r="AW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AX179" i="13" l="1" a="1"/>
  <c r="AX179" i="13" s="1"/>
  <c r="AX183" i="13" a="1"/>
  <c r="AX183" i="13" s="1"/>
  <c r="AX186" i="13" a="1"/>
  <c r="AX186" i="13" s="1"/>
  <c r="AX182" i="13" a="1"/>
  <c r="AX182" i="13" s="1"/>
  <c r="AX180" i="13" a="1"/>
  <c r="AX180" i="13" s="1"/>
  <c r="AX187" i="13" a="1"/>
  <c r="AX187" i="13" s="1"/>
  <c r="AX181" i="13" a="1"/>
  <c r="AX181" i="13" s="1"/>
  <c r="AX184" i="13" a="1"/>
  <c r="AX184" i="13" s="1"/>
  <c r="AX185" i="13" a="1"/>
  <c r="AX185" i="13" s="1"/>
  <c r="Y745" i="14"/>
  <c r="Y746" i="14" s="1"/>
  <c r="AB1062" i="14"/>
  <c r="AB1061" i="14" s="1"/>
  <c r="AA1061" i="14"/>
  <c r="AB682" i="14"/>
  <c r="AB684" i="14"/>
  <c r="AA686" i="14"/>
  <c r="AA683" i="14"/>
  <c r="AA685" i="14"/>
  <c r="Y743" i="14"/>
  <c r="Z742" i="14"/>
  <c r="Z745" i="14"/>
  <c r="Z746" i="14" s="1"/>
  <c r="AA744" i="14"/>
  <c r="AV170" i="13" l="1"/>
  <c r="AW170" i="13" s="1"/>
  <c r="AV171" i="13"/>
  <c r="AZ171" i="13" s="1"/>
  <c r="AB686" i="14"/>
  <c r="AB685" i="14"/>
  <c r="AB683" i="14"/>
  <c r="AA745" i="14"/>
  <c r="AA746" i="14" s="1"/>
  <c r="AB744" i="14"/>
  <c r="AB745" i="14" s="1"/>
  <c r="AB746" i="14" s="1"/>
  <c r="Z743" i="14"/>
  <c r="AA742" i="14"/>
  <c r="AU179" i="13" l="1" a="1"/>
  <c r="AU179" i="13" s="1"/>
  <c r="AU184" i="13" a="1"/>
  <c r="AU184" i="13" s="1"/>
  <c r="AU183" i="13" a="1"/>
  <c r="AU183" i="13" s="1"/>
  <c r="AU182" i="13" a="1"/>
  <c r="AU182" i="13" s="1"/>
  <c r="AU180" i="13" a="1"/>
  <c r="AU180" i="13" s="1"/>
  <c r="AU186" i="13" a="1"/>
  <c r="AU186" i="13" s="1"/>
  <c r="AU185" i="13" a="1"/>
  <c r="AU185" i="13" s="1"/>
  <c r="AU187" i="13" a="1"/>
  <c r="AU187" i="13" s="1"/>
  <c r="AU181" i="13" a="1"/>
  <c r="AU181" i="13" s="1"/>
  <c r="AW171" i="13"/>
  <c r="AA743" i="14"/>
  <c r="AB742" i="14"/>
  <c r="AB743" i="14" s="1"/>
  <c r="AV179" i="13" l="1" a="1"/>
  <c r="AV179" i="13" s="1"/>
  <c r="AV185" i="13" a="1"/>
  <c r="AV185" i="13" s="1"/>
  <c r="AV183" i="13" a="1"/>
  <c r="AV183" i="13" s="1"/>
  <c r="AV181" i="13" a="1"/>
  <c r="AV181" i="13" s="1"/>
  <c r="AV184" i="13" a="1"/>
  <c r="AV184" i="13" s="1"/>
  <c r="AV186" i="13" a="1"/>
  <c r="AV186" i="13" s="1"/>
  <c r="AV180" i="13" a="1"/>
  <c r="AV180" i="13" s="1"/>
  <c r="AV187" i="13" a="1"/>
  <c r="AV187" i="13" s="1"/>
  <c r="AV182" i="13" a="1"/>
  <c r="AV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P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Z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C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A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D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S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T165" authorId="0" shapeId="0" xr:uid="{60FDACBD-94C2-4C3A-97D5-69688681E0CE}">
      <text>
        <r>
          <rPr>
            <b/>
            <sz val="9"/>
            <color indexed="81"/>
            <rFont val="Tahoma"/>
            <family val="2"/>
          </rPr>
          <t>John:</t>
        </r>
        <r>
          <rPr>
            <sz val="9"/>
            <color indexed="81"/>
            <rFont val="Tahoma"/>
            <family val="2"/>
          </rPr>
          <t xml:space="preserve">
Average price for the year</t>
        </r>
      </text>
    </comment>
    <comment ref="U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V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V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T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V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V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V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V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U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V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V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V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N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Q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N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Q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N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Q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<sst xmlns="http://schemas.openxmlformats.org/spreadsheetml/2006/main" count="4892" uniqueCount="2916">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</sst>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0" fontId="0" fillId="0" borderId="0" xfId="0"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Sheep!$AQ$177:$AQ$178</c:f>
              <c:strCache>
                <c:ptCount val="2"/>
                <c:pt idx="0">
                  <c:v>Lamb grid (0)</c:v>
                </c:pt>
                <c:pt idx="1">
                  <c:v>44%</c:v>
                </c:pt>
              </c:strCache>
            </c:strRef>
          </c:tx>
          <c:spPr>
            <a:ln w="28575" cap="rnd">
              <a:solidFill>
                <a:schemeClr val="accent1"/>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Sheep!$AQ$179:$AQ$187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Sheep!$AU$177:$AU$178</c:f>
              <c:strCache>
                <c:ptCount val="2"/>
                <c:pt idx="0">
                  <c:v>Export wether grid (4)</c:v>
                </c:pt>
                <c:pt idx="1">
                  <c:v>100%</c:v>
                </c:pt>
              </c:strCache>
            </c:strRef>
          </c:tx>
          <c:spPr>
            <a:ln w="28575" cap="rnd">
              <a:solidFill>
                <a:schemeClr val="accent5"/>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Sheep!$AU$179:$AU$187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Sheep!$AW$177:$AW$178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Sheep!$AP$179:$AP$187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Sheep!$AR$177:$AR$178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Sheep!$AR$179:$AR$187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Sheep!$AS$177:$AS$178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Sheep!$AS$179:$AS$187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Sheep!$AT$177:$AT$178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Sheep!$AT$179:$AT$187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Sheep!$AV$177:$AV$178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Sheep!$AV$179:$AV$187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Sheep!$AX$177:$AX$178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Sheep!$AP$179:$AP$187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Sheep!$AX$179:$AX$187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50</xdr:col>
      <xdr:colOff>302559</xdr:colOff>
      <xdr:row>173</xdr:row>
      <xdr:rowOff>67235</xdr:rowOff>
    </xdr:from>
    <xdr:to>
      <xdr:col>59</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0" t="s">
        <v>2412</v>
      </c>
      <c r="K47" s="490"/>
      <c r="L47" s="490"/>
      <c r="M47" s="490" t="s">
        <v>2416</v>
      </c>
      <c r="N47" s="490"/>
      <c r="O47" s="490"/>
      <c r="P47" s="490" t="s">
        <v>2417</v>
      </c>
      <c r="Q47" s="490"/>
      <c r="R47" s="490"/>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228.75</v>
      </c>
      <c r="K56" s="357">
        <v>305</v>
      </c>
      <c r="L56" s="357">
        <f t="shared" si="7"/>
        <v>381.25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1" t="s">
        <v>2285</v>
      </c>
      <c r="K11" s="491"/>
      <c r="L11" s="491"/>
      <c r="M11" s="491"/>
      <c r="N11" s="491"/>
      <c r="O11" s="491"/>
      <c r="P11" s="491"/>
      <c r="Q11" s="491"/>
      <c r="R11" s="491"/>
      <c r="S11" s="491"/>
      <c r="T11" s="491"/>
      <c r="U11" s="491"/>
      <c r="V11" s="491"/>
      <c r="W11" s="491"/>
      <c r="X11" s="49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2" t="s">
        <v>2284</v>
      </c>
      <c r="K12" s="493"/>
      <c r="L12" s="493"/>
      <c r="M12" s="493"/>
      <c r="N12" s="493"/>
      <c r="O12" s="493"/>
      <c r="P12" s="493"/>
      <c r="Q12" s="493"/>
      <c r="R12" s="493"/>
      <c r="S12" s="493"/>
      <c r="T12" s="493"/>
      <c r="U12" s="493"/>
      <c r="V12" s="493"/>
      <c r="W12" s="493"/>
      <c r="X12" s="49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G406"/>
  <sheetViews>
    <sheetView tabSelected="1" topLeftCell="A6" zoomScale="85" zoomScaleNormal="85" workbookViewId="0">
      <pane xSplit="10" ySplit="7" topLeftCell="K165" activePane="bottomRight" state="frozen"/>
      <selection activeCell="A6" sqref="A6"/>
      <selection pane="topRight" activeCell="K6" sqref="K6"/>
      <selection pane="bottomLeft" activeCell="A22" sqref="A22"/>
      <selection pane="bottomRight" activeCell="N166" sqref="N166"/>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4" width="1.7109375" customWidth="1"/>
    <col min="35" max="36" width="4.7109375" customWidth="1"/>
    <col min="38" max="38" width="46.140625" customWidth="1"/>
    <col min="39" max="40" width="7.5703125" style="460" customWidth="1"/>
    <col min="43" max="43" width="11.5703125" customWidth="1"/>
    <col min="44" max="44" width="15.28515625" customWidth="1"/>
    <col min="45" max="45" width="11.7109375" bestFit="1" customWidth="1"/>
    <col min="46" max="46" width="9.140625" customWidth="1"/>
    <col min="47" max="47" width="11.7109375" bestFit="1" customWidth="1"/>
    <col min="48" max="48" width="10.7109375" bestFit="1" customWidth="1"/>
    <col min="49" max="49" width="11.7109375" bestFit="1" customWidth="1"/>
    <col min="50" max="50" width="10.7109375" bestFit="1" customWidth="1"/>
    <col min="57" max="57" width="11.42578125" bestFit="1" customWidth="1"/>
    <col min="60" max="60" width="11.7109375" customWidth="1"/>
  </cols>
  <sheetData>
    <row r="1" spans="1:40"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9"/>
      <c r="AN1" s="459"/>
    </row>
    <row r="2" spans="1:40"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9"/>
      <c r="AN2" s="459"/>
    </row>
    <row r="3" spans="1:40"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c r="AM3" s="459"/>
      <c r="AN3" s="459"/>
    </row>
    <row r="4" spans="1:40"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c r="AM4" s="459"/>
      <c r="AN4" s="459"/>
    </row>
    <row r="5" spans="1:40"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c r="AM5" s="459"/>
      <c r="AN5" s="459"/>
    </row>
    <row r="6" spans="1:4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c r="AM6" s="459"/>
      <c r="AN6" s="459"/>
    </row>
    <row r="7" spans="1:4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c r="AM7" s="459"/>
      <c r="AN7" s="459"/>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c r="AM8" s="459"/>
      <c r="AN8" s="459"/>
    </row>
    <row r="9" spans="1:4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c r="AM9" s="459"/>
      <c r="AN9" s="459"/>
    </row>
    <row r="10" spans="1:4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c r="AM10" s="459"/>
      <c r="AN10" s="459"/>
    </row>
    <row r="11" spans="1:40" ht="45" customHeight="1" outlineLevel="1" x14ac:dyDescent="0.25">
      <c r="A11" s="45"/>
      <c r="B11" s="54"/>
      <c r="C11" s="47">
        <f>INT($C$6)+1.045</f>
        <v>2.0449999999999999</v>
      </c>
      <c r="D11" s="73"/>
      <c r="E11" s="70"/>
      <c r="F11" s="70"/>
      <c r="G11" s="73"/>
      <c r="H11" s="76" t="s">
        <v>178</v>
      </c>
      <c r="I11" s="286">
        <v>45050.4354342593</v>
      </c>
      <c r="J11" s="495" t="s">
        <v>2844</v>
      </c>
      <c r="K11" s="491"/>
      <c r="L11" s="491"/>
      <c r="M11" s="491"/>
      <c r="N11" s="491"/>
      <c r="O11" s="491"/>
      <c r="P11" s="491"/>
      <c r="Q11" s="491"/>
      <c r="R11" s="491"/>
      <c r="S11" s="491"/>
      <c r="T11" s="491"/>
      <c r="U11" s="491"/>
      <c r="V11" s="491"/>
      <c r="W11" s="491"/>
      <c r="X11" s="491"/>
      <c r="Y11" s="291"/>
      <c r="Z11" s="291"/>
      <c r="AA11" s="291"/>
      <c r="AB11" s="291"/>
      <c r="AC11" s="76"/>
      <c r="AD11" s="76"/>
      <c r="AE11" s="76"/>
      <c r="AF11" s="76"/>
      <c r="AG11" s="76"/>
      <c r="AH11" s="73"/>
      <c r="AI11" s="57"/>
      <c r="AJ11" s="45"/>
      <c r="AK11" s="45"/>
      <c r="AL11" s="45"/>
      <c r="AM11" s="459"/>
      <c r="AN11" s="459"/>
    </row>
    <row r="12" spans="1:40" ht="45" customHeight="1" outlineLevel="1" x14ac:dyDescent="0.25">
      <c r="A12" s="45"/>
      <c r="B12" s="54"/>
      <c r="C12" s="47">
        <f>INT($C$6)+1.045</f>
        <v>2.0449999999999999</v>
      </c>
      <c r="D12" s="73"/>
      <c r="E12" s="70"/>
      <c r="F12" s="70"/>
      <c r="G12" s="73"/>
      <c r="H12" s="76" t="s">
        <v>179</v>
      </c>
      <c r="I12" s="278">
        <v>45081.535065046301</v>
      </c>
      <c r="J12" s="492" t="s">
        <v>2906</v>
      </c>
      <c r="K12" s="493"/>
      <c r="L12" s="493"/>
      <c r="M12" s="493"/>
      <c r="N12" s="493"/>
      <c r="O12" s="493"/>
      <c r="P12" s="493"/>
      <c r="Q12" s="493"/>
      <c r="R12" s="493"/>
      <c r="S12" s="493"/>
      <c r="T12" s="493"/>
      <c r="U12" s="493"/>
      <c r="V12" s="493"/>
      <c r="W12" s="493"/>
      <c r="X12" s="494"/>
      <c r="Y12" s="77"/>
      <c r="Z12" s="77"/>
      <c r="AA12" s="77"/>
      <c r="AB12" s="77"/>
      <c r="AC12" s="76"/>
      <c r="AD12" s="76"/>
      <c r="AE12" s="76"/>
      <c r="AF12" s="76"/>
      <c r="AG12" s="76"/>
      <c r="AH12" s="73"/>
      <c r="AI12" s="57"/>
      <c r="AJ12" s="45"/>
      <c r="AK12" s="45"/>
      <c r="AL12" s="45"/>
      <c r="AM12" s="459"/>
      <c r="AN12" s="459"/>
    </row>
    <row r="13" spans="1:4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c r="AM13" s="459"/>
      <c r="AN13" s="459"/>
    </row>
    <row r="14" spans="1:4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c r="AM14" s="459"/>
      <c r="AN14" s="459"/>
    </row>
    <row r="15" spans="1:4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c r="AM15" s="459"/>
      <c r="AN15" s="459"/>
    </row>
    <row r="16" spans="1:4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c r="AM16" s="459"/>
      <c r="AN16" s="459"/>
    </row>
    <row r="17" spans="1:4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c r="AM17" s="459"/>
      <c r="AN17" s="459"/>
    </row>
    <row r="18" spans="1:4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c r="AM18" s="459"/>
      <c r="AN18" s="459"/>
    </row>
    <row r="19" spans="1:4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c r="AM19" s="459"/>
      <c r="AN19" s="459"/>
    </row>
    <row r="20" spans="1:4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c r="AM20" s="459"/>
      <c r="AN20" s="459"/>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c r="AM21" s="459"/>
      <c r="AN21" s="459"/>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c r="AM22" s="459"/>
      <c r="AN22" s="459"/>
    </row>
    <row r="23" spans="1:40"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c r="AM23" s="459"/>
      <c r="AN23" s="459"/>
    </row>
    <row r="24" spans="1:40"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9"/>
      <c r="AN24" s="459"/>
    </row>
    <row r="25" spans="1:40"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9"/>
      <c r="AN25" s="459"/>
    </row>
    <row r="26" spans="1:40"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c r="AM26" s="459"/>
      <c r="AN26" s="459"/>
    </row>
    <row r="27" spans="1:40"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c r="AM27" s="459"/>
      <c r="AN27" s="459"/>
    </row>
    <row r="28" spans="1:40"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c r="AM28" s="459"/>
      <c r="AN28" s="459"/>
    </row>
    <row r="29" spans="1:40"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c r="AM29" s="459"/>
      <c r="AN29" s="459"/>
    </row>
    <row r="30" spans="1:40"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c r="AM30" s="459"/>
      <c r="AN30" s="459"/>
    </row>
    <row r="31" spans="1:40"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c r="AM31" s="459"/>
      <c r="AN31" s="459"/>
    </row>
    <row r="32" spans="1:40"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c r="AM32" s="459"/>
      <c r="AN32" s="459"/>
    </row>
    <row r="33" spans="1:40"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c r="AM33" s="459"/>
      <c r="AN33" s="459"/>
    </row>
    <row r="34" spans="1:40"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c r="AM34" s="459"/>
      <c r="AN34" s="459"/>
    </row>
    <row r="35" spans="1:40"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c r="AM35" s="459"/>
      <c r="AN35" s="459"/>
    </row>
    <row r="36" spans="1:40"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c r="AM36" s="459"/>
      <c r="AN36" s="459"/>
    </row>
    <row r="37" spans="1:40"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c r="AM37" s="459"/>
      <c r="AN37" s="459"/>
    </row>
    <row r="38" spans="1:40"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c r="AM38" s="459"/>
      <c r="AN38" s="459"/>
    </row>
    <row r="39" spans="1:40"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c r="AM39" s="459"/>
      <c r="AN39" s="459"/>
    </row>
    <row r="40" spans="1:40"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c r="AM40" s="459"/>
      <c r="AN40" s="459"/>
    </row>
    <row r="41" spans="1:40"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c r="AM41" s="459"/>
      <c r="AN41" s="459"/>
    </row>
    <row r="42" spans="1:40"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c r="AM42" s="459"/>
      <c r="AN42" s="459"/>
    </row>
    <row r="43" spans="1:40"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c r="AM43" s="459"/>
      <c r="AN43" s="459"/>
    </row>
    <row r="44" spans="1:40"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c r="AM44" s="459"/>
      <c r="AN44" s="459"/>
    </row>
    <row r="45" spans="1:40"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c r="AM45" s="459"/>
      <c r="AN45" s="459"/>
    </row>
    <row r="46" spans="1:40"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c r="AM46" s="459"/>
      <c r="AN46" s="459"/>
    </row>
    <row r="47" spans="1:40"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c r="AM47" s="459"/>
      <c r="AN47" s="459"/>
    </row>
    <row r="48" spans="1:40"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3"/>
      <c r="AI48" s="57"/>
      <c r="AJ48" s="45"/>
      <c r="AK48" s="45"/>
      <c r="AL48" s="45"/>
      <c r="AM48" s="459"/>
      <c r="AN48" s="459"/>
    </row>
    <row r="49" spans="1:40"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c r="AM49" s="459"/>
      <c r="AN49" s="459"/>
    </row>
    <row r="50" spans="1:40"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c r="AM50" s="459"/>
      <c r="AN50" s="459"/>
    </row>
    <row r="51" spans="1:40"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c r="AM51" s="459"/>
      <c r="AN51" s="459"/>
    </row>
    <row r="52" spans="1:40"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c r="AM52" s="459"/>
      <c r="AN52" s="459"/>
    </row>
    <row r="53" spans="1:40"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c r="AM53" s="459"/>
      <c r="AN53" s="459"/>
    </row>
    <row r="54" spans="1:40"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c r="AM54" s="459"/>
      <c r="AN54" s="459"/>
    </row>
    <row r="55" spans="1:40"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c r="AM55" s="459"/>
      <c r="AN55" s="459"/>
    </row>
    <row r="56" spans="1:40"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c r="AM56" s="459"/>
      <c r="AN56" s="459"/>
    </row>
    <row r="57" spans="1:40"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c r="AM57" s="459"/>
      <c r="AN57" s="459"/>
    </row>
    <row r="58" spans="1:40"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c r="AM58" s="459"/>
      <c r="AN58" s="459"/>
    </row>
    <row r="59" spans="1:40"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c r="AM59" s="459"/>
      <c r="AN59" s="459"/>
    </row>
    <row r="60" spans="1:40"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c r="AM60" s="459"/>
      <c r="AN60" s="459"/>
    </row>
    <row r="61" spans="1:40"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c r="AM61" s="459"/>
      <c r="AN61" s="459"/>
    </row>
    <row r="62" spans="1:40"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c r="AM62" s="459"/>
      <c r="AN62" s="459"/>
    </row>
    <row r="63" spans="1:40"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c r="AM63" s="459"/>
      <c r="AN63" s="459"/>
    </row>
    <row r="64" spans="1:40"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c r="AM64" s="459"/>
      <c r="AN64" s="459"/>
    </row>
    <row r="65" spans="1:40"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c r="AM65" s="459"/>
      <c r="AN65" s="459"/>
    </row>
    <row r="66" spans="1:40"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c r="AM66" s="459"/>
      <c r="AN66" s="459"/>
    </row>
    <row r="67" spans="1:40"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c r="AM67" s="459"/>
      <c r="AN67" s="459"/>
    </row>
    <row r="68" spans="1:40"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c r="AM68" s="459"/>
      <c r="AN68" s="459"/>
    </row>
    <row r="69" spans="1:40"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c r="AM69" s="459"/>
      <c r="AN69" s="459"/>
    </row>
    <row r="70" spans="1:40"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c r="AM70" s="459"/>
      <c r="AN70" s="459"/>
    </row>
    <row r="71" spans="1:40"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c r="AM71" s="459"/>
      <c r="AN71" s="459"/>
    </row>
    <row r="72" spans="1:40"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c r="AM72" s="459"/>
      <c r="AN72" s="459"/>
    </row>
    <row r="73" spans="1:40"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c r="AM73" s="459"/>
      <c r="AN73" s="459"/>
    </row>
    <row r="74" spans="1:40"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c r="AM74" s="459"/>
      <c r="AN74" s="459"/>
    </row>
    <row r="75" spans="1:40"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c r="AM75" s="459"/>
      <c r="AN75" s="459"/>
    </row>
    <row r="76" spans="1:40"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9"/>
      <c r="AN76" s="459"/>
    </row>
    <row r="77" spans="1:40"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9"/>
      <c r="AN77" s="459"/>
    </row>
    <row r="78" spans="1:40"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c r="AM78" s="459"/>
      <c r="AN78" s="459"/>
    </row>
    <row r="79" spans="1:40"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c r="AM79" s="459"/>
      <c r="AN79" s="459"/>
    </row>
    <row r="80" spans="1:40"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c r="AM80" s="459"/>
      <c r="AN80" s="459"/>
    </row>
    <row r="81" spans="1:59"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c r="AM81" s="459"/>
      <c r="AN81" s="459"/>
    </row>
    <row r="82" spans="1:59"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c r="AM82" s="459"/>
      <c r="AN82" s="459"/>
    </row>
    <row r="83" spans="1:59"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c r="AM83" s="459"/>
      <c r="AN83" s="459"/>
    </row>
    <row r="84" spans="1:59"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c r="AM84" s="459"/>
      <c r="AN84" s="459"/>
    </row>
    <row r="85" spans="1:59"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c r="AM85" s="459"/>
      <c r="AN85" s="459"/>
    </row>
    <row r="86" spans="1:59"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c r="AM86" s="459"/>
      <c r="AN86" s="459"/>
    </row>
    <row r="87" spans="1:59"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c r="AM87" s="459"/>
      <c r="AN87" s="459"/>
    </row>
    <row r="88" spans="1:59"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c r="AM88" s="459"/>
      <c r="AN88" s="459"/>
    </row>
    <row r="89" spans="1:59"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c r="AM89" s="459"/>
      <c r="AN89" s="459"/>
    </row>
    <row r="90" spans="1:59"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c r="AM90" s="459"/>
      <c r="AN90" s="459"/>
    </row>
    <row r="91" spans="1:59"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c r="AM91" s="459"/>
      <c r="AN91" s="459"/>
    </row>
    <row r="92" spans="1:59"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c r="AM92" s="459"/>
      <c r="AN92" s="459"/>
    </row>
    <row r="93" spans="1:59"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3"/>
      <c r="AI93" s="57"/>
      <c r="AJ93" s="45"/>
      <c r="AK93" s="45"/>
      <c r="AL93" s="45"/>
      <c r="AM93" s="459"/>
      <c r="AN93" s="459"/>
      <c r="AR93" s="446" t="s">
        <v>2287</v>
      </c>
      <c r="AX93" t="s">
        <v>2342</v>
      </c>
    </row>
    <row r="94" spans="1:59"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M94" s="459"/>
      <c r="AN94" s="459"/>
      <c r="AP94" s="76" t="s">
        <v>230</v>
      </c>
      <c r="AR94" s="446" t="str">
        <f>"Calculated from "&amp;$AD$110</f>
        <v>Calculated from Inputs from Mecardo (Andrew Wood) Nov 2020</v>
      </c>
      <c r="AX94" t="s">
        <v>2343</v>
      </c>
    </row>
    <row r="95" spans="1:59"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M95" s="459"/>
      <c r="AN95" s="459"/>
      <c r="AP95" s="109"/>
      <c r="AR95">
        <f>AD95</f>
        <v>20</v>
      </c>
      <c r="AS95">
        <f>AE95</f>
        <v>50</v>
      </c>
      <c r="AT95">
        <f>AF95</f>
        <v>80</v>
      </c>
      <c r="AX95" t="s">
        <v>2344</v>
      </c>
      <c r="AY95" s="160">
        <v>70</v>
      </c>
      <c r="AZ95">
        <f>IFERROR(MIN(2,MATCH($AY95,i_woolp_mpg_range_w5,1)),1)-1</f>
        <v>1</v>
      </c>
      <c r="BA95" t="s">
        <v>2345</v>
      </c>
      <c r="BB95" s="97">
        <v>50</v>
      </c>
      <c r="BC95">
        <f>IFERROR(MIN(2,MATCH($BB95,i_woolp_fdprem_range_w5,1)),1)-1</f>
        <v>1</v>
      </c>
      <c r="BE95" s="325" t="s">
        <v>2425</v>
      </c>
      <c r="BF95" s="325"/>
      <c r="BG95" s="325"/>
    </row>
    <row r="96" spans="1:59"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3"/>
      <c r="AI96" s="57"/>
      <c r="AJ96" s="45"/>
      <c r="AK96" s="294"/>
      <c r="AL96" s="45"/>
      <c r="AM96" s="459"/>
      <c r="AN96" s="459"/>
      <c r="AP96" s="292">
        <f ca="1">AP97</f>
        <v>0.91920371999999984</v>
      </c>
      <c r="AR96" s="119"/>
      <c r="AS96" s="119"/>
      <c r="AT96" s="119"/>
      <c r="AW96" s="333" t="s">
        <v>2346</v>
      </c>
      <c r="AX96" s="333" t="s">
        <v>2347</v>
      </c>
      <c r="AY96" s="333" t="s">
        <v>2345</v>
      </c>
      <c r="AZ96" s="342" t="s">
        <v>2351</v>
      </c>
      <c r="BA96" s="435" t="s">
        <v>2796</v>
      </c>
      <c r="BE96" s="331" t="s">
        <v>2424</v>
      </c>
      <c r="BF96" s="331" t="s">
        <v>2344</v>
      </c>
      <c r="BG96" s="331" t="s">
        <v>2345</v>
      </c>
    </row>
    <row r="97" spans="1:59"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73"/>
      <c r="AI97" s="57"/>
      <c r="AJ97" s="45"/>
      <c r="AK97" s="294"/>
      <c r="AL97" s="45"/>
      <c r="AM97" s="459"/>
      <c r="AN97" s="459"/>
      <c r="AP97" s="297">
        <f t="shared" ref="AP97:AP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R97" s="119">
        <f t="shared" ref="AR97:AT101" si="10">((1+AD97)/(1+AD98))^(1/($H98-$H97))-1</f>
        <v>5.3097345132743445E-2</v>
      </c>
      <c r="AS97" s="119">
        <f t="shared" si="10"/>
        <v>0.13636363636363624</v>
      </c>
      <c r="AT97" s="119">
        <f t="shared" si="10"/>
        <v>0.13291139240506333</v>
      </c>
      <c r="AW97" s="324">
        <f>$H97</f>
        <v>16</v>
      </c>
      <c r="AX97" s="325">
        <f t="shared" ref="AX97:AX109" ca="1" si="11">IF($AW97=i_woolp_fd_std,_xlfn.FORECAST.LINEAR($AY$95,OFFSET($I97:$K97,0,$AZ$95,1,2),OFFSET(i_woolp_mpg_range_w5,0,$AZ$95,1,2)),0)</f>
        <v>0</v>
      </c>
      <c r="AY97" s="326">
        <f t="shared" ref="AY97:AY109" ca="1" si="12">_xlfn.FORECAST.LINEAR($BB$95,OFFSET($AD97:$AF97,0,$BC$95,1,2),OFFSET(i_woolp_fdprem_range_w5,0,$BC$95,1,2))</f>
        <v>0.49999999999999994</v>
      </c>
      <c r="AZ97" s="432">
        <f t="shared" ref="AZ97:AZ109" ca="1" si="13">SUM($AX$97:$AX$108)*(1+$AY97)*$W97</f>
        <v>2106.5360000000001</v>
      </c>
      <c r="BA97" s="432">
        <f t="shared" ref="BA97:BA104" ca="1" si="14">(SUM($AX$97:$AX$108)*(1+$AY97)*$AP97*(1-i_wool_cost_pc)-i_wool_cost_kg)*$K$139</f>
        <v>1290.4952291409238</v>
      </c>
      <c r="BE97" s="4">
        <v>44551</v>
      </c>
      <c r="BF97">
        <v>60</v>
      </c>
      <c r="BG97">
        <v>85</v>
      </c>
    </row>
    <row r="98" spans="1:59"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73"/>
      <c r="AI98" s="57"/>
      <c r="AJ98" s="45"/>
      <c r="AK98" s="441"/>
      <c r="AL98" s="45"/>
      <c r="AM98" s="459"/>
      <c r="AN98" s="459"/>
      <c r="AP98" s="297">
        <f t="shared" ca="1" si="9"/>
        <v>0.92125318181818183</v>
      </c>
      <c r="AR98" s="119">
        <f t="shared" si="10"/>
        <v>4.6296296296296058E-2</v>
      </c>
      <c r="AS98" s="119">
        <f t="shared" si="10"/>
        <v>0.10000000000000009</v>
      </c>
      <c r="AT98" s="119">
        <f t="shared" si="10"/>
        <v>0.14492753623188426</v>
      </c>
      <c r="AW98" s="327">
        <f t="shared" ref="AW98:AW109" si="15">$H98</f>
        <v>17</v>
      </c>
      <c r="AX98">
        <f t="shared" ca="1" si="11"/>
        <v>0</v>
      </c>
      <c r="AY98" s="328">
        <f t="shared" ca="1" si="12"/>
        <v>0.3199999999999999</v>
      </c>
      <c r="AZ98" s="329">
        <f t="shared" ca="1" si="13"/>
        <v>1853.7516799999996</v>
      </c>
      <c r="BA98" s="329">
        <f t="shared" ca="1" si="14"/>
        <v>1138.1150853481711</v>
      </c>
    </row>
    <row r="99" spans="1:59"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4"/>
      <c r="AL99" s="45"/>
      <c r="AM99" s="459"/>
      <c r="AN99" s="459"/>
      <c r="AP99" s="297">
        <f t="shared" ca="1" si="9"/>
        <v>0.91863570000000017</v>
      </c>
      <c r="AR99" s="119">
        <f t="shared" si="10"/>
        <v>3.8461538461538547E-2</v>
      </c>
      <c r="AS99" s="119">
        <f t="shared" si="10"/>
        <v>8.1081081081080919E-2</v>
      </c>
      <c r="AT99" s="119">
        <f t="shared" si="10"/>
        <v>0.13114754098360648</v>
      </c>
      <c r="AW99" s="327">
        <f t="shared" si="15"/>
        <v>18</v>
      </c>
      <c r="AX99">
        <f t="shared" ca="1" si="11"/>
        <v>0</v>
      </c>
      <c r="AY99" s="328">
        <f t="shared" ca="1" si="12"/>
        <v>0.2</v>
      </c>
      <c r="AZ99" s="329">
        <f t="shared" ca="1" si="13"/>
        <v>1685.2287999999999</v>
      </c>
      <c r="BA99" s="329">
        <f t="shared" ca="1" si="14"/>
        <v>1031.6686405635335</v>
      </c>
    </row>
    <row r="100" spans="1:59"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73"/>
      <c r="AI100" s="57"/>
      <c r="AJ100" s="45"/>
      <c r="AK100" s="294"/>
      <c r="AL100" s="45"/>
      <c r="AM100" s="459"/>
      <c r="AN100" s="459"/>
      <c r="AP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R100" s="119">
        <f t="shared" si="10"/>
        <v>2.9702970297029729E-2</v>
      </c>
      <c r="AS100" s="119">
        <f t="shared" si="10"/>
        <v>8.8235294117647189E-2</v>
      </c>
      <c r="AT100" s="119">
        <f t="shared" si="10"/>
        <v>0.16190476190476177</v>
      </c>
      <c r="AW100" s="327">
        <f t="shared" si="15"/>
        <v>19</v>
      </c>
      <c r="AX100">
        <f t="shared" ca="1" si="11"/>
        <v>0</v>
      </c>
      <c r="AY100" s="328">
        <f t="shared" ca="1" si="12"/>
        <v>0.10999999999999999</v>
      </c>
      <c r="AZ100" s="329">
        <f t="shared" ca="1" si="13"/>
        <v>1558.8366399999998</v>
      </c>
      <c r="BA100" s="329">
        <f t="shared" ca="1" si="14"/>
        <v>952.48593228393406</v>
      </c>
    </row>
    <row r="101" spans="1:59"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73"/>
      <c r="AI101" s="57"/>
      <c r="AJ101" s="45"/>
      <c r="AK101" s="294"/>
      <c r="AL101" s="45"/>
      <c r="AM101" s="459"/>
      <c r="AN101" s="459"/>
      <c r="AP101" s="297">
        <f t="shared" ca="1" si="9"/>
        <v>0.91899696078431359</v>
      </c>
      <c r="AR101" s="119">
        <f t="shared" si="10"/>
        <v>1.0000000000000009E-2</v>
      </c>
      <c r="AS101" s="119">
        <f t="shared" si="10"/>
        <v>2.0000000000000018E-2</v>
      </c>
      <c r="AT101" s="119">
        <f t="shared" si="10"/>
        <v>5.0000000000000044E-2</v>
      </c>
      <c r="AW101" s="327">
        <f t="shared" si="15"/>
        <v>20</v>
      </c>
      <c r="AX101">
        <f t="shared" ca="1" si="11"/>
        <v>0</v>
      </c>
      <c r="AY101" s="328">
        <f t="shared" ca="1" si="12"/>
        <v>2.0000000000000004E-2</v>
      </c>
      <c r="AZ101" s="329">
        <f t="shared" ca="1" si="13"/>
        <v>1432.4444799999999</v>
      </c>
      <c r="BA101" s="329">
        <f t="shared" ca="1" si="14"/>
        <v>877.19633279580501</v>
      </c>
    </row>
    <row r="102" spans="1:59"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3"/>
      <c r="AI102" s="57"/>
      <c r="AJ102" s="45"/>
      <c r="AK102" s="294"/>
      <c r="AL102" s="45"/>
      <c r="AM102" s="459"/>
      <c r="AN102" s="459"/>
      <c r="AP102" s="301">
        <f t="shared" ca="1" si="9"/>
        <v>0.91335811999999983</v>
      </c>
      <c r="AR102" s="119"/>
      <c r="AS102" s="119"/>
      <c r="AT102" s="119"/>
      <c r="AW102" s="327">
        <f t="shared" si="15"/>
        <v>21</v>
      </c>
      <c r="AX102">
        <f t="shared" ca="1" si="11"/>
        <v>1487.6666666666667</v>
      </c>
      <c r="AY102" s="328">
        <f t="shared" ca="1" si="12"/>
        <v>0</v>
      </c>
      <c r="AZ102" s="329">
        <f t="shared" ca="1" si="13"/>
        <v>1404.3573333333334</v>
      </c>
      <c r="BA102" s="329">
        <f t="shared" ca="1" si="14"/>
        <v>854.70813545992667</v>
      </c>
    </row>
    <row r="103" spans="1:59"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73"/>
      <c r="AI103" s="57"/>
      <c r="AJ103" s="45"/>
      <c r="AK103" s="294"/>
      <c r="AL103" s="45"/>
      <c r="AM103" s="459"/>
      <c r="AN103" s="459"/>
      <c r="AP103" s="301">
        <f t="shared" ca="1" si="9"/>
        <v>0.91276861224489791</v>
      </c>
      <c r="AR103" s="119">
        <f t="shared" ref="AR103:AT109" si="17">1-((1+AD103)/(1+AD102))^(1/($H102-$H103))</f>
        <v>-1.0101010101010166E-2</v>
      </c>
      <c r="AS103" s="119">
        <f t="shared" si="17"/>
        <v>-2.0408163265306145E-2</v>
      </c>
      <c r="AT103" s="119">
        <f t="shared" si="17"/>
        <v>-4.1666666666666741E-2</v>
      </c>
      <c r="AW103" s="327">
        <f t="shared" si="15"/>
        <v>22</v>
      </c>
      <c r="AX103">
        <f t="shared" ca="1" si="11"/>
        <v>0</v>
      </c>
      <c r="AY103" s="328">
        <f t="shared" ca="1" si="12"/>
        <v>-1.9999999999999997E-2</v>
      </c>
      <c r="AZ103" s="329">
        <f t="shared" ca="1" si="13"/>
        <v>1376.2701866666666</v>
      </c>
      <c r="BA103" s="329">
        <f t="shared" ca="1" si="14"/>
        <v>837.06413438198092</v>
      </c>
    </row>
    <row r="104" spans="1:59"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73"/>
      <c r="AI104" s="57"/>
      <c r="AJ104" s="45"/>
      <c r="AK104" s="294"/>
      <c r="AL104" s="45"/>
      <c r="AM104" s="459"/>
      <c r="AN104" s="459"/>
      <c r="AP104" s="301">
        <f t="shared" ca="1" si="9"/>
        <v>0.91352369662921362</v>
      </c>
      <c r="AR104" s="119">
        <f t="shared" si="17"/>
        <v>-3.1753909143191983E-2</v>
      </c>
      <c r="AS104" s="119">
        <f t="shared" si="17"/>
        <v>-4.9344364594205992E-2</v>
      </c>
      <c r="AT104" s="119">
        <f t="shared" si="17"/>
        <v>-6.9044967649697586E-2</v>
      </c>
      <c r="AW104" s="327">
        <f t="shared" si="15"/>
        <v>24</v>
      </c>
      <c r="AX104">
        <f t="shared" ca="1" si="11"/>
        <v>0</v>
      </c>
      <c r="AY104" s="328">
        <f t="shared" ca="1" si="12"/>
        <v>-0.11000000000000001</v>
      </c>
      <c r="AZ104" s="329">
        <f t="shared" ca="1" si="13"/>
        <v>1249.8780266666665</v>
      </c>
      <c r="BA104" s="329">
        <f t="shared" ca="1" si="14"/>
        <v>760.77906796457989</v>
      </c>
    </row>
    <row r="105" spans="1:59"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4"/>
      <c r="AL105" s="45"/>
      <c r="AM105" s="459"/>
      <c r="AN105" s="459"/>
      <c r="AP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R105" s="119">
        <f t="shared" si="17"/>
        <v>-0.11355287256600421</v>
      </c>
      <c r="AS105" s="119">
        <f t="shared" si="17"/>
        <v>-0.14403825522216041</v>
      </c>
      <c r="AT105" s="119">
        <f t="shared" si="17"/>
        <v>-0.15470053837925168</v>
      </c>
      <c r="AW105" s="327">
        <f t="shared" si="15"/>
        <v>26</v>
      </c>
      <c r="AX105">
        <f t="shared" ca="1" si="11"/>
        <v>0</v>
      </c>
      <c r="AY105" s="328">
        <f t="shared" ca="1" si="12"/>
        <v>-0.32</v>
      </c>
      <c r="AZ105" s="329">
        <f t="shared" ca="1" si="13"/>
        <v>870.99908000000005</v>
      </c>
      <c r="BA105" s="433">
        <f ca="1">(SUM($AX$97:$AX$108)*(1+$AY105)*$AP105*(1-i_wool_cost_pc)-i_wool_cost_kg)*$N$139</f>
        <v>534.76446991648197</v>
      </c>
    </row>
    <row r="106" spans="1:59"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73"/>
      <c r="AI106" s="57"/>
      <c r="AJ106" s="45"/>
      <c r="AK106" s="294"/>
      <c r="AL106" s="45"/>
      <c r="AM106" s="459"/>
      <c r="AN106" s="459"/>
      <c r="AP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R106" s="119">
        <f t="shared" si="17"/>
        <v>-0.1180339887498949</v>
      </c>
      <c r="AS106" s="119">
        <f t="shared" si="17"/>
        <v>-0.15470053837925146</v>
      </c>
      <c r="AT106" s="119">
        <f t="shared" si="17"/>
        <v>-0.14564392373896018</v>
      </c>
      <c r="AW106" s="327">
        <f t="shared" si="15"/>
        <v>28</v>
      </c>
      <c r="AX106">
        <f t="shared" ca="1" si="11"/>
        <v>0</v>
      </c>
      <c r="AY106" s="328">
        <f t="shared" ca="1" si="12"/>
        <v>-0.49</v>
      </c>
      <c r="AZ106" s="329">
        <f t="shared" ca="1" si="13"/>
        <v>653.24931000000004</v>
      </c>
      <c r="BA106" s="433">
        <f ca="1">(SUM($AX$97:$AX$108)*(1+$AY106)*$AP106*(1-i_wool_cost_pc)-i_wool_cost_kg)*$N$139</f>
        <v>401.61527740851596</v>
      </c>
    </row>
    <row r="107" spans="1:59"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3"/>
      <c r="AI107" s="57"/>
      <c r="AJ107" s="45"/>
      <c r="AK107" s="294"/>
      <c r="AL107" s="45"/>
      <c r="AM107" s="459"/>
      <c r="AN107" s="459"/>
      <c r="AP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R107" s="119">
        <f t="shared" si="17"/>
        <v>-3.6422843755939738E-2</v>
      </c>
      <c r="AS107" s="119">
        <f t="shared" si="17"/>
        <v>-9.098032586468241E-2</v>
      </c>
      <c r="AT107" s="119">
        <f t="shared" si="17"/>
        <v>-0.13425528070419568</v>
      </c>
      <c r="AW107" s="327">
        <f t="shared" si="15"/>
        <v>32</v>
      </c>
      <c r="AX107">
        <f t="shared" ca="1" si="11"/>
        <v>0</v>
      </c>
      <c r="AY107" s="328">
        <f t="shared" ca="1" si="12"/>
        <v>-0.64</v>
      </c>
      <c r="AZ107" s="329">
        <f t="shared" ca="1" si="13"/>
        <v>461.11716000000007</v>
      </c>
      <c r="BA107" s="433">
        <f ca="1">(SUM($AX$97:$AX$108)*(1+$AY107)*$AP107*(1-i_wool_cost_pc)-i_wool_cost_kg)*$N$139</f>
        <v>281.00408801134591</v>
      </c>
    </row>
    <row r="108" spans="1:59"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3"/>
      <c r="AI108" s="57"/>
      <c r="AJ108" s="45"/>
      <c r="AK108" s="294"/>
      <c r="AL108" s="45"/>
      <c r="AM108" s="459"/>
      <c r="AN108" s="459"/>
      <c r="AP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R108" s="119">
        <f t="shared" si="17"/>
        <v>-7.4967699773140106E-2</v>
      </c>
      <c r="AS108" s="119">
        <f t="shared" si="17"/>
        <v>-4.4465935734187001E-2</v>
      </c>
      <c r="AT108" s="119">
        <f t="shared" si="17"/>
        <v>-0.30609431242203033</v>
      </c>
      <c r="AW108" s="327">
        <f t="shared" si="15"/>
        <v>34</v>
      </c>
      <c r="AX108">
        <f t="shared" ca="1" si="11"/>
        <v>0</v>
      </c>
      <c r="AY108" s="328">
        <f t="shared" ca="1" si="12"/>
        <v>-0.67</v>
      </c>
      <c r="AZ108" s="329">
        <f t="shared" ca="1" si="13"/>
        <v>422.69072999999997</v>
      </c>
      <c r="BA108" s="433">
        <f ca="1">(SUM($AX$97:$AX$108)*(1+$AY108)*$AP108*(1-i_wool_cost_pc)-i_wool_cost_kg)*$N$139</f>
        <v>255.52031256004747</v>
      </c>
    </row>
    <row r="109" spans="1:59"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3"/>
      <c r="AI109" s="57"/>
      <c r="AJ109" s="45"/>
      <c r="AK109" s="294"/>
      <c r="AL109" s="45"/>
      <c r="AM109" s="459"/>
      <c r="AN109" s="459"/>
      <c r="AP109" s="444">
        <f ca="1">AP108</f>
        <v>0.821353</v>
      </c>
      <c r="AR109" s="119">
        <f t="shared" si="17"/>
        <v>-9.764702584835927E-2</v>
      </c>
      <c r="AS109" s="119">
        <f t="shared" si="17"/>
        <v>-5.1447381843301443E-2</v>
      </c>
      <c r="AT109" s="119">
        <f t="shared" si="17"/>
        <v>-0.35790606871704389</v>
      </c>
      <c r="AW109" s="330">
        <f t="shared" si="15"/>
        <v>38</v>
      </c>
      <c r="AX109" s="331">
        <f t="shared" ca="1" si="11"/>
        <v>0</v>
      </c>
      <c r="AY109" s="332">
        <f t="shared" ca="1" si="12"/>
        <v>-0.7300000000000002</v>
      </c>
      <c r="AZ109" s="442">
        <f t="shared" ca="1" si="13"/>
        <v>345.83786999999978</v>
      </c>
      <c r="BA109" s="434">
        <f ca="1">(SUM($AX$97:$AX$108)*(1+$AY109)*$AP109*(1-i_wool_cost_pc)-i_wool_cost_kg)*$N$139</f>
        <v>208.9801390764502</v>
      </c>
    </row>
    <row r="110" spans="1:59"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3"/>
      <c r="AI110" s="57"/>
      <c r="AJ110" s="45"/>
      <c r="AK110" s="45"/>
      <c r="AL110" s="45"/>
      <c r="AM110" s="459"/>
      <c r="AN110" s="459"/>
    </row>
    <row r="111" spans="1:59"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M111" s="459"/>
      <c r="AN111" s="459"/>
      <c r="AP111" t="s">
        <v>2812</v>
      </c>
    </row>
    <row r="112" spans="1:59"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M112" s="459"/>
      <c r="AN112" s="459"/>
      <c r="AP112" t="s">
        <v>2814</v>
      </c>
    </row>
    <row r="113" spans="1:42"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M113" s="459"/>
      <c r="AN113" s="459"/>
      <c r="AP113" t="s">
        <v>2813</v>
      </c>
    </row>
    <row r="114" spans="1:42"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c r="AM114" s="459"/>
      <c r="AN114" s="459"/>
    </row>
    <row r="115" spans="1:42"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c r="AM115" s="459"/>
      <c r="AN115" s="459"/>
    </row>
    <row r="116" spans="1:42"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c r="AM116" s="459"/>
      <c r="AN116" s="459"/>
    </row>
    <row r="117" spans="1:42"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c r="AM117" s="459"/>
      <c r="AN117" s="459"/>
    </row>
    <row r="118" spans="1:42"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c r="AM118" s="459"/>
      <c r="AN118" s="459"/>
    </row>
    <row r="119" spans="1:42"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c r="AM119" s="459"/>
      <c r="AN119" s="459"/>
    </row>
    <row r="120" spans="1:42"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3"/>
      <c r="AI120" s="57"/>
      <c r="AJ120" s="45"/>
      <c r="AK120" s="45"/>
      <c r="AL120" s="45"/>
      <c r="AM120" s="459"/>
      <c r="AN120" s="459"/>
    </row>
    <row r="121" spans="1:42"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c r="AM121" s="459"/>
      <c r="AN121" s="459"/>
    </row>
    <row r="122" spans="1:42"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3"/>
      <c r="AI122" s="57"/>
      <c r="AJ122" s="45"/>
      <c r="AK122" s="45"/>
      <c r="AL122" s="45"/>
      <c r="AM122" s="459"/>
      <c r="AN122" s="459"/>
    </row>
    <row r="123" spans="1:42"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3"/>
      <c r="AI123" s="57"/>
      <c r="AJ123" s="45"/>
      <c r="AK123" s="45"/>
      <c r="AL123" s="45"/>
      <c r="AM123" s="459"/>
      <c r="AN123" s="459"/>
    </row>
    <row r="124" spans="1:42"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c r="AM124" s="459"/>
      <c r="AN124" s="459"/>
    </row>
    <row r="125" spans="1:42"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c r="AM125" s="459"/>
      <c r="AN125" s="459"/>
    </row>
    <row r="126" spans="1:42"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c r="AM126" s="459"/>
      <c r="AN126" s="459"/>
    </row>
    <row r="127" spans="1:42"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3"/>
      <c r="AI127" s="57"/>
      <c r="AJ127" s="45"/>
      <c r="AK127" s="45"/>
      <c r="AL127" s="45"/>
      <c r="AM127" s="459"/>
      <c r="AN127" s="459"/>
    </row>
    <row r="128" spans="1:42"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3"/>
      <c r="AI128" s="57"/>
      <c r="AJ128" s="45"/>
      <c r="AK128" s="45"/>
      <c r="AL128" s="45"/>
      <c r="AM128" s="459"/>
      <c r="AN128" s="459"/>
    </row>
    <row r="129" spans="1:40"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c r="AM129" s="459"/>
      <c r="AN129" s="459"/>
    </row>
    <row r="130" spans="1:40"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c r="AM130" s="459"/>
      <c r="AN130" s="459"/>
    </row>
    <row r="131" spans="1:40"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c r="AM131" s="459"/>
      <c r="AN131" s="459"/>
    </row>
    <row r="132" spans="1:40"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c r="AM132" s="459"/>
      <c r="AN132" s="459"/>
    </row>
    <row r="133" spans="1:40"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c r="AM133" s="459"/>
      <c r="AN133" s="459"/>
    </row>
    <row r="134" spans="1:40"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c r="AM134" s="459"/>
      <c r="AN134" s="459"/>
    </row>
    <row r="135" spans="1:40"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c r="AM135" s="459"/>
      <c r="AN135" s="459"/>
    </row>
    <row r="136" spans="1:40"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c r="AM136" s="459"/>
      <c r="AN136" s="459"/>
    </row>
    <row r="137" spans="1:40"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c r="AM137" s="459"/>
      <c r="AN137" s="459"/>
    </row>
    <row r="138" spans="1:40"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c r="AM138" s="459"/>
      <c r="AN138" s="459"/>
    </row>
    <row r="139" spans="1:40"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c r="AM139" s="459"/>
      <c r="AN139" s="459"/>
    </row>
    <row r="140" spans="1:40"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c r="AM140" s="459"/>
      <c r="AN140" s="459"/>
    </row>
    <row r="141" spans="1:40"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c r="AM141" s="459"/>
      <c r="AN141" s="459"/>
    </row>
    <row r="142" spans="1:40"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c r="AM142" s="459"/>
      <c r="AN142" s="459"/>
    </row>
    <row r="143" spans="1:40"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c r="AM143" s="459"/>
      <c r="AN143" s="459"/>
    </row>
    <row r="144" spans="1:40"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c r="AM144" s="459"/>
      <c r="AN144" s="459"/>
    </row>
    <row r="145" spans="1:40"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9"/>
      <c r="AN145" s="459"/>
    </row>
    <row r="146" spans="1:40"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9"/>
      <c r="AN146" s="459"/>
    </row>
    <row r="147" spans="1:40"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c r="AM147" s="459"/>
      <c r="AN147" s="459"/>
    </row>
    <row r="148" spans="1:40"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c r="AM148" s="459"/>
      <c r="AN148" s="459"/>
    </row>
    <row r="149" spans="1:40"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c r="AM149" s="459"/>
      <c r="AN149" s="459"/>
    </row>
    <row r="150" spans="1:40"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c r="AM150" s="459"/>
      <c r="AN150" s="459"/>
    </row>
    <row r="151" spans="1:40"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c r="AM151" s="459"/>
      <c r="AN151" s="459"/>
    </row>
    <row r="152" spans="1:40"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c r="AM152" s="459"/>
      <c r="AN152" s="459"/>
    </row>
    <row r="153" spans="1:40"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c r="AM153" s="459"/>
      <c r="AN153" s="459"/>
    </row>
    <row r="154" spans="1:40"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c r="AM154" s="459"/>
      <c r="AN154" s="459"/>
    </row>
    <row r="155" spans="1:40"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c r="AM155" s="459"/>
      <c r="AN155" s="459"/>
    </row>
    <row r="156" spans="1:40"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c r="AM156" s="459"/>
      <c r="AN156" s="459"/>
    </row>
    <row r="157" spans="1:40"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c r="AM157" s="459"/>
      <c r="AN157" s="459"/>
    </row>
    <row r="158" spans="1:40"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c r="AM158" s="459"/>
      <c r="AN158" s="459"/>
    </row>
    <row r="159" spans="1:40"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c r="AM159" s="459"/>
      <c r="AN159" s="459"/>
    </row>
    <row r="160" spans="1:40"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c r="AM160" s="459"/>
      <c r="AN160" s="459"/>
    </row>
    <row r="161" spans="1:54"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3"/>
      <c r="AB161" s="93"/>
      <c r="AC161" s="93"/>
      <c r="AD161" s="93"/>
      <c r="AE161" s="93"/>
      <c r="AF161" s="93"/>
      <c r="AG161" s="93"/>
      <c r="AH161" s="93"/>
      <c r="AI161" s="93"/>
      <c r="AJ161" s="73"/>
      <c r="AK161" s="57"/>
      <c r="AL161" s="45"/>
      <c r="AM161" s="45"/>
      <c r="AN161" s="45"/>
      <c r="AO161" s="459"/>
      <c r="AP161" s="459"/>
    </row>
    <row r="162" spans="1:54"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73"/>
      <c r="AK162" s="57"/>
      <c r="AL162" s="45"/>
      <c r="AM162" s="45"/>
      <c r="AN162" s="45"/>
      <c r="AO162" s="459"/>
      <c r="AP162" s="459"/>
    </row>
    <row r="163" spans="1:54"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3"/>
      <c r="AK163" s="57"/>
      <c r="AL163" s="45"/>
      <c r="AM163" s="45"/>
      <c r="AN163" s="45"/>
      <c r="AO163" s="459"/>
      <c r="AP163" s="459"/>
      <c r="AR163" t="s">
        <v>2348</v>
      </c>
    </row>
    <row r="164" spans="1:54" outlineLevel="2" x14ac:dyDescent="0.25">
      <c r="A164" s="45"/>
      <c r="B164" s="54"/>
      <c r="C164" s="87">
        <f>INT($C$150)+2</f>
        <v>3</v>
      </c>
      <c r="D164" s="73"/>
      <c r="E164" s="70"/>
      <c r="F164" s="70"/>
      <c r="G164" s="73"/>
      <c r="H164" s="137"/>
      <c r="I164" s="95" t="s">
        <v>266</v>
      </c>
      <c r="J164" s="107"/>
      <c r="K164" s="107"/>
      <c r="L164" s="76"/>
      <c r="M164" s="76"/>
      <c r="N164" s="76" t="s">
        <v>267</v>
      </c>
      <c r="O164" s="76" t="s">
        <v>2913</v>
      </c>
      <c r="P164" s="76"/>
      <c r="Q164" s="95" t="s">
        <v>268</v>
      </c>
      <c r="R164" s="95"/>
      <c r="S164" s="96"/>
      <c r="T164" s="107" t="s">
        <v>282</v>
      </c>
      <c r="U164" s="107"/>
      <c r="V164" s="138" t="s">
        <v>269</v>
      </c>
      <c r="W164" s="138"/>
      <c r="X164" s="138"/>
      <c r="Y164" s="138"/>
      <c r="Z164" s="138"/>
      <c r="AA164" s="78" t="s">
        <v>270</v>
      </c>
      <c r="AB164" s="96" t="s">
        <v>256</v>
      </c>
      <c r="AC164" s="96" t="s">
        <v>271</v>
      </c>
      <c r="AD164" s="96" t="s">
        <v>272</v>
      </c>
      <c r="AE164" s="95" t="s">
        <v>257</v>
      </c>
      <c r="AF164" s="95"/>
      <c r="AG164" s="96" t="s">
        <v>114</v>
      </c>
      <c r="AH164" s="95" t="s">
        <v>2666</v>
      </c>
      <c r="AI164" s="95"/>
      <c r="AJ164" s="73"/>
      <c r="AK164" s="57"/>
      <c r="AL164" s="45"/>
      <c r="AM164" s="45"/>
      <c r="AN164" s="45"/>
      <c r="AO164" s="459"/>
      <c r="AP164" s="459"/>
      <c r="AR164" t="s">
        <v>2801</v>
      </c>
    </row>
    <row r="165" spans="1:54"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2914</v>
      </c>
      <c r="P165" s="141" t="s">
        <v>2915</v>
      </c>
      <c r="Q165" s="139" t="s">
        <v>279</v>
      </c>
      <c r="R165" s="139" t="s">
        <v>280</v>
      </c>
      <c r="S165" s="140" t="s">
        <v>281</v>
      </c>
      <c r="T165" s="140" t="s">
        <v>2798</v>
      </c>
      <c r="U165" s="140" t="s">
        <v>2799</v>
      </c>
      <c r="V165" s="110">
        <v>10</v>
      </c>
      <c r="W165" s="110">
        <v>30</v>
      </c>
      <c r="X165" s="110">
        <v>50</v>
      </c>
      <c r="Y165" s="110">
        <v>70</v>
      </c>
      <c r="Z165" s="110">
        <v>90</v>
      </c>
      <c r="AA165" s="109"/>
      <c r="AB165" s="139" t="s">
        <v>283</v>
      </c>
      <c r="AC165" s="139" t="s">
        <v>284</v>
      </c>
      <c r="AD165" s="139" t="s">
        <v>283</v>
      </c>
      <c r="AE165" s="139" t="s">
        <v>283</v>
      </c>
      <c r="AF165" s="139" t="s">
        <v>284</v>
      </c>
      <c r="AG165" s="139" t="s">
        <v>284</v>
      </c>
      <c r="AH165" s="139" t="s">
        <v>283</v>
      </c>
      <c r="AI165" s="139" t="s">
        <v>284</v>
      </c>
      <c r="AJ165" s="73"/>
      <c r="AK165" s="57"/>
      <c r="AL165" s="45"/>
      <c r="AM165" s="45"/>
      <c r="AN165" s="45"/>
      <c r="AO165" s="459"/>
      <c r="AP165" s="459"/>
      <c r="AR165" t="s">
        <v>298</v>
      </c>
      <c r="AS165" t="s">
        <v>2349</v>
      </c>
      <c r="AT165" t="s">
        <v>2350</v>
      </c>
      <c r="AU165" t="s">
        <v>1252</v>
      </c>
      <c r="AV165" s="5" t="s">
        <v>2800</v>
      </c>
      <c r="AW165" s="439" t="s">
        <v>319</v>
      </c>
      <c r="AZ165" t="s">
        <v>2394</v>
      </c>
    </row>
    <row r="166" spans="1:54" outlineLevel="3" x14ac:dyDescent="0.25">
      <c r="A166" s="45"/>
      <c r="B166" s="54"/>
      <c r="C166" s="87">
        <f>INT($C$150+3)</f>
        <v>4</v>
      </c>
      <c r="D166" s="73"/>
      <c r="E166" s="70">
        <v>0</v>
      </c>
      <c r="F166" s="70"/>
      <c r="G166" s="73"/>
      <c r="H166" s="142" t="s">
        <v>2909</v>
      </c>
      <c r="I166" s="143" t="b">
        <v>1</v>
      </c>
      <c r="J166" s="143" t="b">
        <v>1</v>
      </c>
      <c r="K166" s="143" t="b">
        <v>1</v>
      </c>
      <c r="L166" s="144">
        <v>0</v>
      </c>
      <c r="M166" s="144">
        <v>0</v>
      </c>
      <c r="N166" s="144">
        <v>12</v>
      </c>
      <c r="O166" s="144">
        <v>0</v>
      </c>
      <c r="P166" s="144">
        <v>999</v>
      </c>
      <c r="Q166" s="145">
        <v>0.12</v>
      </c>
      <c r="R166" s="145">
        <v>0.12</v>
      </c>
      <c r="S166" s="145">
        <v>0</v>
      </c>
      <c r="T166" s="405">
        <v>4.76</v>
      </c>
      <c r="U166" s="436">
        <f>T166/(1+AVERAGEIF(INDEX(i_salep_months_priceadj_s7s9p4,1+$E166*2,0),"&lt;&gt;-1"))</f>
        <v>4.386806570249119</v>
      </c>
      <c r="V166" s="321">
        <f>290/($T166*100)</f>
        <v>0.60924369747899154</v>
      </c>
      <c r="W166" s="321">
        <f>363/($T166*100)</f>
        <v>0.76260504201680668</v>
      </c>
      <c r="X166" s="146">
        <v>1</v>
      </c>
      <c r="Y166" s="321">
        <f>585/($T166*100)</f>
        <v>1.2289915966386555</v>
      </c>
      <c r="Z166" s="321">
        <f>712/($T166*100)</f>
        <v>1.4957983193277311</v>
      </c>
      <c r="AA166" s="148" t="s">
        <v>285</v>
      </c>
      <c r="AB166" s="144">
        <v>3</v>
      </c>
      <c r="AC166" s="149">
        <v>0.05</v>
      </c>
      <c r="AD166" s="144">
        <v>0.17</v>
      </c>
      <c r="AE166" s="144"/>
      <c r="AF166" s="149">
        <v>0.02</v>
      </c>
      <c r="AG166" s="150">
        <v>4.4999999999999997E-3</v>
      </c>
      <c r="AH166" s="146">
        <f t="shared" ref="AH166:AI173" si="26">SUMIFS($AB166:$AG166,$AB$165:$AG$165,AH$165)</f>
        <v>3.17</v>
      </c>
      <c r="AI166" s="151">
        <f t="shared" si="26"/>
        <v>7.4500000000000011E-2</v>
      </c>
      <c r="AJ166" s="73"/>
      <c r="AK166" s="57"/>
      <c r="AL166" s="45"/>
      <c r="AM166" s="45"/>
      <c r="AN166" s="45"/>
      <c r="AO166" s="459"/>
      <c r="AP166" s="459"/>
      <c r="AR166" s="334" t="str">
        <f>$H166</f>
        <v>Lamb grid (0)</v>
      </c>
      <c r="AS166" s="335">
        <v>80</v>
      </c>
      <c r="AT166" s="325">
        <f>IFERROR(MIN(COUNT(i_salep_percentile_range_s4)-1,MATCH($AS166,i_salep_percentile_range_s4,1)),1)-1</f>
        <v>3</v>
      </c>
      <c r="AU166" s="326">
        <f t="shared" ref="AU166:AU173" ca="1" si="27">_xlfn.FORECAST.LINEAR($AS$166,OFFSET($V166:$Z166,0,$AT$166,1,2),OFFSET(i_salep_percentile_range_s4,0,$AT$166,1,2))</f>
        <v>1.3623949579831933</v>
      </c>
      <c r="AV166" s="336">
        <f t="shared" ref="AV166:AV173" ca="1" si="28">$U166*$AU166</f>
        <v>5.9765631529549452</v>
      </c>
      <c r="AW166" s="336">
        <f t="shared" ref="AW166:AW173" ca="1" si="29">AV166*(1+INDEX(i_salep_months_priceadj_s7s9p4,1+$E166*2,MATCH(AW$165,$J$250:$U$250,0)))</f>
        <v>5.9765631529549452</v>
      </c>
    </row>
    <row r="167" spans="1:54" outlineLevel="3" x14ac:dyDescent="0.25">
      <c r="A167" s="45"/>
      <c r="B167" s="54"/>
      <c r="C167" s="87">
        <f t="shared" ref="C167:C174" si="30">INT($C$150)+3</f>
        <v>4</v>
      </c>
      <c r="D167" s="73"/>
      <c r="E167" s="70">
        <v>1</v>
      </c>
      <c r="F167" s="70"/>
      <c r="G167" s="73"/>
      <c r="H167" s="76" t="s">
        <v>2910</v>
      </c>
      <c r="I167" s="97" t="b">
        <v>1</v>
      </c>
      <c r="J167" s="97" t="b">
        <v>1</v>
      </c>
      <c r="K167" s="97" t="b">
        <v>1</v>
      </c>
      <c r="L167" s="99">
        <v>0</v>
      </c>
      <c r="M167" s="99">
        <v>0</v>
      </c>
      <c r="N167" s="152">
        <v>12</v>
      </c>
      <c r="O167" s="152">
        <v>0</v>
      </c>
      <c r="P167" s="152">
        <v>999</v>
      </c>
      <c r="Q167" s="153">
        <v>0.12</v>
      </c>
      <c r="R167" s="153">
        <v>0.12</v>
      </c>
      <c r="S167" s="153">
        <v>0</v>
      </c>
      <c r="T167" s="408">
        <v>0</v>
      </c>
      <c r="U167" s="129">
        <f>T167/(1+AVERAGEIF(INDEX(i_salep_months_priceadj_s7s9p4,1+$E167*2,0),"&lt;&gt;-1"))</f>
        <v>0</v>
      </c>
      <c r="V167" s="199">
        <v>0.59757236227824462</v>
      </c>
      <c r="W167" s="199">
        <v>0.78197945845004668</v>
      </c>
      <c r="X167" s="96">
        <v>1</v>
      </c>
      <c r="Y167" s="199">
        <v>1.3025210084033614</v>
      </c>
      <c r="Z167" s="199">
        <v>1.6339869281045754</v>
      </c>
      <c r="AA167" s="154" t="s">
        <v>285</v>
      </c>
      <c r="AB167" s="155">
        <v>3</v>
      </c>
      <c r="AC167" s="156">
        <v>0.05</v>
      </c>
      <c r="AD167" s="155">
        <v>0.17</v>
      </c>
      <c r="AE167" s="155"/>
      <c r="AF167" s="156">
        <v>0.02</v>
      </c>
      <c r="AG167" s="157">
        <v>4.4999999999999997E-3</v>
      </c>
      <c r="AH167" s="158">
        <f t="shared" si="26"/>
        <v>3.17</v>
      </c>
      <c r="AI167" s="159">
        <f t="shared" si="26"/>
        <v>7.4500000000000011E-2</v>
      </c>
      <c r="AJ167" s="73"/>
      <c r="AK167" s="57"/>
      <c r="AL167" s="45"/>
      <c r="AM167" s="45"/>
      <c r="AN167" s="45"/>
      <c r="AO167" s="459"/>
      <c r="AP167" s="459"/>
      <c r="AR167" s="337" t="str">
        <f t="shared" ref="AR167:AR173" si="31">$H167</f>
        <v>empty grid (1)</v>
      </c>
      <c r="AU167" s="328">
        <f t="shared" ca="1" si="27"/>
        <v>1.4682539682539684</v>
      </c>
      <c r="AV167" s="338">
        <f t="shared" ca="1" si="28"/>
        <v>0</v>
      </c>
      <c r="AW167" s="338">
        <f t="shared" ca="1" si="29"/>
        <v>0</v>
      </c>
    </row>
    <row r="168" spans="1:54" outlineLevel="3" x14ac:dyDescent="0.25">
      <c r="A168" s="45"/>
      <c r="B168" s="54"/>
      <c r="C168" s="87">
        <f t="shared" si="30"/>
        <v>4</v>
      </c>
      <c r="D168" s="73"/>
      <c r="E168" s="70">
        <v>2</v>
      </c>
      <c r="F168" s="70"/>
      <c r="G168" s="73"/>
      <c r="H168" s="76" t="s">
        <v>2911</v>
      </c>
      <c r="I168" s="97" t="b">
        <v>1</v>
      </c>
      <c r="J168" s="97" t="b">
        <v>1</v>
      </c>
      <c r="K168" s="97" t="b">
        <v>1</v>
      </c>
      <c r="L168" s="99">
        <v>0</v>
      </c>
      <c r="M168" s="99">
        <v>0</v>
      </c>
      <c r="N168" s="99">
        <v>12</v>
      </c>
      <c r="O168" s="99">
        <v>0</v>
      </c>
      <c r="P168" s="99">
        <v>999</v>
      </c>
      <c r="Q168" s="153">
        <v>0.12</v>
      </c>
      <c r="R168" s="153">
        <v>0.12</v>
      </c>
      <c r="S168" s="153">
        <v>0</v>
      </c>
      <c r="T168" s="408">
        <v>0</v>
      </c>
      <c r="U168" s="129">
        <f>T168/(1+AVERAGEIF(INDEX(i_salep_months_priceadj_s7s9p4,1+$E168*2,0),"&lt;&gt;-1"))</f>
        <v>0</v>
      </c>
      <c r="V168" s="199">
        <v>0.55504587155963292</v>
      </c>
      <c r="W168" s="199">
        <v>0.72706422018348615</v>
      </c>
      <c r="X168" s="96">
        <v>1</v>
      </c>
      <c r="Y168" s="199">
        <v>1.1972477064220182</v>
      </c>
      <c r="Z168" s="199">
        <v>1.4587155963302751</v>
      </c>
      <c r="AA168" s="154" t="s">
        <v>285</v>
      </c>
      <c r="AB168" s="155">
        <v>3</v>
      </c>
      <c r="AC168" s="156">
        <v>0.05</v>
      </c>
      <c r="AD168" s="155">
        <v>0.17</v>
      </c>
      <c r="AE168" s="155"/>
      <c r="AF168" s="156">
        <v>0.02</v>
      </c>
      <c r="AG168" s="157">
        <v>4.4999999999999997E-3</v>
      </c>
      <c r="AH168" s="158">
        <f t="shared" si="26"/>
        <v>3.17</v>
      </c>
      <c r="AI168" s="159">
        <f t="shared" si="26"/>
        <v>7.4500000000000011E-2</v>
      </c>
      <c r="AJ168" s="73"/>
      <c r="AK168" s="57"/>
      <c r="AL168" s="45"/>
      <c r="AM168" s="45"/>
      <c r="AN168" s="45"/>
      <c r="AO168" s="459"/>
      <c r="AP168" s="459"/>
      <c r="AR168" s="337" t="str">
        <f t="shared" si="31"/>
        <v>empty grid (2)</v>
      </c>
      <c r="AU168" s="328">
        <f t="shared" ca="1" si="27"/>
        <v>1.3279816513761467</v>
      </c>
      <c r="AV168" s="338">
        <f t="shared" ca="1" si="28"/>
        <v>0</v>
      </c>
      <c r="AW168" s="338">
        <f t="shared" ca="1" si="29"/>
        <v>0</v>
      </c>
    </row>
    <row r="169" spans="1:54"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153">
        <v>0.12</v>
      </c>
      <c r="R169" s="153">
        <v>0.12</v>
      </c>
      <c r="S169" s="153">
        <v>-0.01</v>
      </c>
      <c r="T169" s="408">
        <v>2.81</v>
      </c>
      <c r="U169" s="129">
        <f>T169/(1+AVERAGEIF(INDEX(i_salep_months_priceadj_s7s9p4,1+$E169*2,0),"&lt;&gt;-1"))</f>
        <v>2.4241552839683682</v>
      </c>
      <c r="V169" s="350">
        <f>V172</f>
        <v>0.41637010676156583</v>
      </c>
      <c r="W169" s="350">
        <f>W172</f>
        <v>0.63345195729537362</v>
      </c>
      <c r="X169" s="96">
        <v>1</v>
      </c>
      <c r="Y169" s="350">
        <f>Y172</f>
        <v>1.3629893238434163</v>
      </c>
      <c r="Z169" s="350">
        <f>Z172</f>
        <v>1.7971530249110321</v>
      </c>
      <c r="AA169" s="154" t="s">
        <v>285</v>
      </c>
      <c r="AB169" s="155">
        <v>3</v>
      </c>
      <c r="AC169" s="156">
        <v>0.05</v>
      </c>
      <c r="AD169" s="155">
        <v>0.17</v>
      </c>
      <c r="AE169" s="155">
        <v>0.2</v>
      </c>
      <c r="AF169" s="155"/>
      <c r="AG169" s="157">
        <v>4.4999999999999997E-3</v>
      </c>
      <c r="AH169" s="158">
        <f t="shared" si="26"/>
        <v>3.37</v>
      </c>
      <c r="AI169" s="159">
        <f t="shared" si="26"/>
        <v>5.45E-2</v>
      </c>
      <c r="AJ169" s="73"/>
      <c r="AK169" s="57"/>
      <c r="AL169" s="45"/>
      <c r="AM169" s="45"/>
      <c r="AN169" s="45"/>
      <c r="AO169" s="459"/>
      <c r="AP169" s="459"/>
      <c r="AR169" s="337" t="str">
        <f t="shared" si="31"/>
        <v>Yearling grid (3)</v>
      </c>
      <c r="AU169" s="328">
        <f t="shared" ca="1" si="27"/>
        <v>1.5800711743772242</v>
      </c>
      <c r="AV169" s="338">
        <f t="shared" ca="1" si="28"/>
        <v>3.8303378864126532</v>
      </c>
      <c r="AW169" s="338">
        <f t="shared" ca="1" si="29"/>
        <v>3.8303378864126532</v>
      </c>
      <c r="AZ169" s="338">
        <f ca="1">50*0.44*AV169</f>
        <v>84.267433501078372</v>
      </c>
      <c r="BA169" t="s">
        <v>2395</v>
      </c>
    </row>
    <row r="170" spans="1:54"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153">
        <v>0.12</v>
      </c>
      <c r="R170" s="153">
        <v>0.12</v>
      </c>
      <c r="S170" s="153">
        <v>-0.02</v>
      </c>
      <c r="T170" s="408">
        <v>90</v>
      </c>
      <c r="U170" s="129">
        <f>T170/(1+AVERAGEIF(INDEX(i_salep_months_priceadj_s7s9p4,1+$E170*2,0),"&lt;&gt;-1"))</f>
        <v>84.551412300874446</v>
      </c>
      <c r="V170" s="350">
        <f>AVERAGE(V$166:V$168,V$172)</f>
        <v>0.54455800951960875</v>
      </c>
      <c r="W170" s="350">
        <f>AVERAGE(W$166:W$168,W$172)</f>
        <v>0.72627516948642823</v>
      </c>
      <c r="X170" s="96">
        <v>1</v>
      </c>
      <c r="Y170" s="350">
        <f>AVERAGE(Y$166:Y$168,Y$172)</f>
        <v>1.2729374088268628</v>
      </c>
      <c r="Z170" s="350">
        <f>AVERAGE(Z$166:Z$168,Z$172)</f>
        <v>1.5964134671684034</v>
      </c>
      <c r="AA170" s="154" t="s">
        <v>289</v>
      </c>
      <c r="AB170" s="155">
        <v>5</v>
      </c>
      <c r="AC170" s="156">
        <v>0.05</v>
      </c>
      <c r="AD170" s="155">
        <v>0.17</v>
      </c>
      <c r="AE170" s="155">
        <v>0.2</v>
      </c>
      <c r="AF170" s="155"/>
      <c r="AG170" s="157">
        <v>4.4999999999999997E-3</v>
      </c>
      <c r="AH170" s="158">
        <f t="shared" si="26"/>
        <v>5.37</v>
      </c>
      <c r="AI170" s="159">
        <f t="shared" si="26"/>
        <v>5.45E-2</v>
      </c>
      <c r="AJ170" s="73"/>
      <c r="AK170" s="57"/>
      <c r="AL170" s="45"/>
      <c r="AM170" s="45"/>
      <c r="AN170" s="45"/>
      <c r="AO170" s="459"/>
      <c r="AP170" s="459"/>
      <c r="AR170" s="337" t="str">
        <f t="shared" si="31"/>
        <v>Export wether grid (4)</v>
      </c>
      <c r="AU170" s="328">
        <f t="shared" ca="1" si="27"/>
        <v>1.4346754379976332</v>
      </c>
      <c r="AV170" s="338">
        <f t="shared" ca="1" si="28"/>
        <v>121.30383447607552</v>
      </c>
      <c r="AW170" s="338">
        <f t="shared" ca="1" si="29"/>
        <v>121.30383447607552</v>
      </c>
    </row>
    <row r="171" spans="1:54"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153">
        <v>0.12</v>
      </c>
      <c r="R171" s="153">
        <v>0.12</v>
      </c>
      <c r="S171" s="153">
        <v>-0.02</v>
      </c>
      <c r="T171" s="408"/>
      <c r="U171" s="408">
        <f>MROUND(1.33*26.5*U$172,5)</f>
        <v>90</v>
      </c>
      <c r="V171" s="350">
        <f>AVERAGE(V$166:V$168,V$172)</f>
        <v>0.54455800951960875</v>
      </c>
      <c r="W171" s="350">
        <f>AVERAGE(W$166:W$168,W$172)</f>
        <v>0.72627516948642823</v>
      </c>
      <c r="X171" s="96">
        <v>1</v>
      </c>
      <c r="Y171" s="350">
        <f>AVERAGE(Y$166:Y$168,Y$172)</f>
        <v>1.2729374088268628</v>
      </c>
      <c r="Z171" s="350">
        <f>AVERAGE(Z$166:Z$168,Z$172)</f>
        <v>1.5964134671684034</v>
      </c>
      <c r="AA171" s="154" t="s">
        <v>291</v>
      </c>
      <c r="AB171" s="155">
        <v>3</v>
      </c>
      <c r="AC171" s="156">
        <v>0.05</v>
      </c>
      <c r="AD171" s="155">
        <f>0.17+0.79</f>
        <v>0.96000000000000008</v>
      </c>
      <c r="AE171" s="155">
        <v>0.2</v>
      </c>
      <c r="AF171" s="155"/>
      <c r="AG171" s="157">
        <v>4.4999999999999997E-3</v>
      </c>
      <c r="AH171" s="158">
        <f t="shared" si="26"/>
        <v>4.16</v>
      </c>
      <c r="AI171" s="159">
        <f t="shared" si="26"/>
        <v>5.45E-2</v>
      </c>
      <c r="AJ171" s="73"/>
      <c r="AK171" s="57"/>
      <c r="AL171" s="45"/>
      <c r="AM171" s="45"/>
      <c r="AN171" s="45"/>
      <c r="AO171" s="459"/>
      <c r="AP171" s="459"/>
      <c r="AR171" s="337" t="str">
        <f t="shared" si="31"/>
        <v>Breeder grid (5)</v>
      </c>
      <c r="AU171" s="328">
        <f t="shared" ca="1" si="27"/>
        <v>1.4346754379976332</v>
      </c>
      <c r="AV171" s="338">
        <f t="shared" ca="1" si="28"/>
        <v>129.120789419787</v>
      </c>
      <c r="AW171" s="338">
        <f t="shared" ca="1" si="29"/>
        <v>129.120789419787</v>
      </c>
      <c r="AZ171" s="338">
        <f ca="1">AV171*(1+AVERAGE($J$262:$U$262))*($M$221/$N$221)</f>
        <v>108.7113743179497</v>
      </c>
      <c r="BA171" t="s">
        <v>2396</v>
      </c>
    </row>
    <row r="172" spans="1:54"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53">
        <v>0.12</v>
      </c>
      <c r="R172" s="153">
        <v>0.12</v>
      </c>
      <c r="S172" s="153">
        <v>-0.02</v>
      </c>
      <c r="T172" s="408">
        <v>2.81</v>
      </c>
      <c r="U172" s="437">
        <f>T172/(1+AVERAGEIF(INDEX(i_salep_months_priceadj_s7s9p4,1+$E172*2,0),"&lt;&gt;-1"))</f>
        <v>2.5819053721669749</v>
      </c>
      <c r="V172" s="322">
        <f>117/($T172*100)</f>
        <v>0.41637010676156583</v>
      </c>
      <c r="W172" s="322">
        <f>178/($T172*100)</f>
        <v>0.63345195729537362</v>
      </c>
      <c r="X172" s="139">
        <v>1</v>
      </c>
      <c r="Y172" s="322">
        <f>383/($T172*100)</f>
        <v>1.3629893238434163</v>
      </c>
      <c r="Z172" s="322">
        <f>505/($T172*100)</f>
        <v>1.7971530249110321</v>
      </c>
      <c r="AA172" s="163" t="s">
        <v>291</v>
      </c>
      <c r="AB172" s="164">
        <v>3</v>
      </c>
      <c r="AC172" s="165">
        <v>0.05</v>
      </c>
      <c r="AD172" s="164">
        <f t="shared" ref="AD172:AD173" si="32">0.17+0.79</f>
        <v>0.96000000000000008</v>
      </c>
      <c r="AE172" s="164">
        <v>0.2</v>
      </c>
      <c r="AF172" s="164"/>
      <c r="AG172" s="166">
        <v>4.4999999999999997E-3</v>
      </c>
      <c r="AH172" s="167">
        <f t="shared" si="26"/>
        <v>4.16</v>
      </c>
      <c r="AI172" s="168">
        <f t="shared" si="26"/>
        <v>5.45E-2</v>
      </c>
      <c r="AJ172" s="73"/>
      <c r="AK172" s="57"/>
      <c r="AL172" s="45"/>
      <c r="AM172" s="45"/>
      <c r="AN172" s="45"/>
      <c r="AO172" s="459"/>
      <c r="AP172" s="459"/>
      <c r="AR172" s="337" t="str">
        <f t="shared" si="31"/>
        <v>Mutton grid (6)</v>
      </c>
      <c r="AU172" s="328">
        <f t="shared" ca="1" si="27"/>
        <v>1.5800711743772242</v>
      </c>
      <c r="AV172" s="338">
        <f t="shared" ca="1" si="28"/>
        <v>4.0795942535307361</v>
      </c>
      <c r="AW172" s="338">
        <f t="shared" ca="1" si="29"/>
        <v>4.0795942535307361</v>
      </c>
      <c r="AZ172" s="338">
        <f ca="1">BA172*0.42*AW172</f>
        <v>85.671479324145452</v>
      </c>
      <c r="BA172">
        <v>50</v>
      </c>
      <c r="BB172" t="s">
        <v>2907</v>
      </c>
    </row>
    <row r="173" spans="1:54"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2">
        <v>0.12</v>
      </c>
      <c r="R173" s="172">
        <v>0.12</v>
      </c>
      <c r="S173" s="172">
        <v>-0.02</v>
      </c>
      <c r="T173" s="411">
        <v>1.5</v>
      </c>
      <c r="U173" s="438">
        <f>T173/(1+AVERAGEIF(INDEX(i_salep_months_priceadj_s7s9p4,1+$E173*2,0),"&lt;&gt;-1"))</f>
        <v>1.5</v>
      </c>
      <c r="V173" s="402">
        <f>AVERAGE(V$166:V$168,V$172)</f>
        <v>0.54455800951960875</v>
      </c>
      <c r="W173" s="402">
        <f>AVERAGE(W$166:W$168,W$172)</f>
        <v>0.72627516948642823</v>
      </c>
      <c r="X173" s="173">
        <v>1</v>
      </c>
      <c r="Y173" s="402">
        <f>AVERAGE(Y$166:Y$168,Y$172)</f>
        <v>1.2729374088268628</v>
      </c>
      <c r="Z173" s="402">
        <f>AVERAGE(Z$166:Z$168,Z$172)</f>
        <v>1.5964134671684034</v>
      </c>
      <c r="AA173" s="174" t="s">
        <v>291</v>
      </c>
      <c r="AB173" s="171">
        <v>3</v>
      </c>
      <c r="AC173" s="175">
        <v>0.05</v>
      </c>
      <c r="AD173" s="171">
        <f t="shared" si="32"/>
        <v>0.96000000000000008</v>
      </c>
      <c r="AE173" s="171">
        <v>0.2</v>
      </c>
      <c r="AF173" s="171"/>
      <c r="AG173" s="176">
        <v>4.4999999999999997E-3</v>
      </c>
      <c r="AH173" s="173">
        <f t="shared" si="26"/>
        <v>4.16</v>
      </c>
      <c r="AI173" s="177">
        <f t="shared" si="26"/>
        <v>5.45E-2</v>
      </c>
      <c r="AJ173" s="73"/>
      <c r="AK173" s="57"/>
      <c r="AL173" s="45"/>
      <c r="AM173" s="45"/>
      <c r="AN173" s="45"/>
      <c r="AO173" s="459"/>
      <c r="AP173" s="459"/>
      <c r="AR173" s="339" t="str">
        <f t="shared" si="31"/>
        <v>Ram grid (7)</v>
      </c>
      <c r="AS173" s="331"/>
      <c r="AT173" s="331"/>
      <c r="AU173" s="332">
        <f t="shared" ca="1" si="27"/>
        <v>1.4346754379976332</v>
      </c>
      <c r="AV173" s="340">
        <f t="shared" ca="1" si="28"/>
        <v>2.1520131569964498</v>
      </c>
      <c r="AW173" s="340">
        <f t="shared" ca="1" si="29"/>
        <v>2.1520131569964498</v>
      </c>
    </row>
    <row r="174" spans="1:54"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76"/>
      <c r="AJ174" s="73"/>
      <c r="AK174" s="57"/>
      <c r="AL174" s="45"/>
      <c r="AM174" s="45"/>
      <c r="AN174" s="45"/>
      <c r="AO174" s="459"/>
      <c r="AP174" s="459"/>
    </row>
    <row r="175" spans="1:54"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c r="AM175" s="459"/>
      <c r="AN175" s="459"/>
      <c r="AQ175" t="s">
        <v>280</v>
      </c>
      <c r="AR175" s="456">
        <v>3</v>
      </c>
    </row>
    <row r="176" spans="1:54"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c r="AM176" s="459"/>
      <c r="AN176" s="459"/>
    </row>
    <row r="177" spans="1:50"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c r="AM177" s="459"/>
      <c r="AN177" s="459" t="s">
        <v>2912</v>
      </c>
      <c r="AQ177" s="457" t="str" cm="1">
        <f t="array" ref="AQ177:AX177">TRANSPOSE(AR166:AR173)</f>
        <v>Lamb grid (0)</v>
      </c>
      <c r="AR177" s="457" t="str">
        <v>empty grid (1)</v>
      </c>
      <c r="AS177" s="457" t="str">
        <v>empty grid (2)</v>
      </c>
      <c r="AT177" s="457" t="str">
        <v>Yearling grid (3)</v>
      </c>
      <c r="AU177" s="457" t="str">
        <v>Export wether grid (4)</v>
      </c>
      <c r="AV177" s="458" t="str">
        <v>Breeder grid (5)</v>
      </c>
      <c r="AW177" s="458" t="str">
        <v>Mutton grid (6)</v>
      </c>
      <c r="AX177" s="458" t="str">
        <v>Ram grid (7)</v>
      </c>
    </row>
    <row r="178" spans="1:50"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3"/>
      <c r="AI178" s="57"/>
      <c r="AJ178" s="45"/>
      <c r="AK178" s="45"/>
      <c r="AL178" s="45"/>
      <c r="AM178" s="459"/>
      <c r="AN178" s="459"/>
      <c r="AQ178" s="455">
        <v>0.44</v>
      </c>
      <c r="AR178" s="455">
        <v>0.42</v>
      </c>
      <c r="AS178" s="455">
        <v>0.42</v>
      </c>
      <c r="AT178" s="455">
        <v>0.42</v>
      </c>
      <c r="AU178" s="455">
        <v>1</v>
      </c>
      <c r="AV178" s="455">
        <v>1</v>
      </c>
      <c r="AW178" s="455">
        <v>0.42</v>
      </c>
      <c r="AX178" s="455">
        <v>0.42</v>
      </c>
    </row>
    <row r="179" spans="1:50"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3"/>
      <c r="AI179" s="57"/>
      <c r="AJ179" s="45"/>
      <c r="AK179" s="45"/>
      <c r="AL179" s="45"/>
      <c r="AM179" s="459"/>
      <c r="AN179" s="459"/>
      <c r="AP179" s="180">
        <v>25</v>
      </c>
      <c r="AQ179" s="462" cm="1">
        <f t="array" aca="1" ref="AQ179" ca="1">AQ193*AQ206*INDEX($AW$166:$AW$173,AQ$190,1)*$AP179*AQ$178</f>
        <v>46.551834538128126</v>
      </c>
      <c r="AR179" s="462" cm="1">
        <f t="array" aca="1" ref="AR179" ca="1">AR193*AR206*INDEX($AW$166:$AW$173,AR$190,1)*$AP179*AR$178</f>
        <v>0</v>
      </c>
      <c r="AS179" s="462" cm="1">
        <f t="array" aca="1" ref="AS179" ca="1">AS193*AS206*INDEX($AW$166:$AW$173,AS$190,1)*$AP179*AS$178</f>
        <v>0</v>
      </c>
      <c r="AT179" s="462" cm="1">
        <f t="array" aca="1" ref="AT179" ca="1">AT193*AT206*INDEX($AW$166:$AW$173,AT$190,1)*$AP179*AT$178</f>
        <v>23.203008350384337</v>
      </c>
      <c r="AU179" s="462" cm="1">
        <f t="array" aca="1" ref="AU179" ca="1">AU193*AU206*INDEX($AW$166:$AW$173,AU$190,1)</f>
        <v>26.479179420097694</v>
      </c>
      <c r="AV179" s="462" cm="1">
        <f t="array" aca="1" ref="AV179" ca="1">AV193*AV206*INDEX($AW$166:$AW$173,AV$190,1)</f>
        <v>120.790415908833</v>
      </c>
      <c r="AW179" s="462" cm="1">
        <f t="array" aca="1" ref="AW179" ca="1">AW193*AW206*INDEX($AW$166:$AW$173,AW$190,1)*$AP179*AW$178</f>
        <v>24.71292672811888</v>
      </c>
      <c r="AX179" s="462" cm="1">
        <f t="array" aca="1" ref="AX179" ca="1">AX193*AX206*INDEX($AW$166:$AW$173,AX$190,1)*$AP179*AX$178</f>
        <v>11.298069074231364</v>
      </c>
    </row>
    <row r="180" spans="1:50"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73"/>
      <c r="AI180" s="57"/>
      <c r="AJ180" s="45"/>
      <c r="AK180" s="45"/>
      <c r="AL180" s="45"/>
      <c r="AM180" s="459"/>
      <c r="AN180" s="459"/>
      <c r="AP180" s="180">
        <v>35</v>
      </c>
      <c r="AQ180" s="462" cm="1">
        <f t="array" aca="1" ref="AQ180" ca="1">AQ194*AQ207*INDEX($AW$166:$AW$173,AQ$190,1)*$AP180*AQ$178</f>
        <v>65.172568353379376</v>
      </c>
      <c r="AR180" s="462" cm="1">
        <f t="array" aca="1" ref="AR180" ca="1">AR194*AR207*INDEX($AW$166:$AW$173,AR$190,1)*$AP180*AR$178</f>
        <v>0</v>
      </c>
      <c r="AS180" s="462" cm="1">
        <f t="array" aca="1" ref="AS180" ca="1">AS194*AS207*INDEX($AW$166:$AW$173,AS$190,1)*$AP180*AS$178</f>
        <v>0</v>
      </c>
      <c r="AT180" s="462" cm="1">
        <f t="array" aca="1" ref="AT180" ca="1">AT194*AT207*INDEX($AW$166:$AW$173,AT$190,1)*$AP180*AT$178</f>
        <v>47.643510479455841</v>
      </c>
      <c r="AU180" s="462" cm="1">
        <f t="array" aca="1" ref="AU180" ca="1">AU194*AU207*INDEX($AW$166:$AW$173,AU$190,1)</f>
        <v>84.912684133252867</v>
      </c>
      <c r="AV180" s="462" cm="1">
        <f t="array" aca="1" ref="AV180" ca="1">AV194*AV207*INDEX($AW$166:$AW$173,AV$190,1)</f>
        <v>120.790415908833</v>
      </c>
      <c r="AW180" s="462" cm="1">
        <f t="array" aca="1" ref="AW180" ca="1">AW194*AW207*INDEX($AW$166:$AW$173,AW$190,1)*$AP180*AW$178</f>
        <v>50.74387621507077</v>
      </c>
      <c r="AX180" s="462" cm="1">
        <f t="array" aca="1" ref="AX180" ca="1">AX194*AX207*INDEX($AW$166:$AW$173,AX$190,1)*$AP180*AX$178</f>
        <v>15.817296703923908</v>
      </c>
    </row>
    <row r="181" spans="1:50" outlineLevel="2" x14ac:dyDescent="0.25">
      <c r="A181" s="45"/>
      <c r="B181" s="54"/>
      <c r="C181" s="87">
        <f>INT($C$150)+2</f>
        <v>3</v>
      </c>
      <c r="D181" s="73"/>
      <c r="E181" s="70">
        <v>0</v>
      </c>
      <c r="F181" s="70">
        <f>E181</f>
        <v>0</v>
      </c>
      <c r="G181" s="73"/>
      <c r="H181" s="96" t="str">
        <f>INDEX($H$166:$H$173,$E181+1,1)</f>
        <v>Lamb grid (0)</v>
      </c>
      <c r="I181" s="180">
        <v>10</v>
      </c>
      <c r="J181" s="463">
        <v>3.6</v>
      </c>
      <c r="K181" s="464">
        <v>5</v>
      </c>
      <c r="L181" s="464">
        <v>5</v>
      </c>
      <c r="M181" s="464">
        <v>5</v>
      </c>
      <c r="N181" s="465">
        <v>3.6</v>
      </c>
      <c r="O181" s="466">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1"/>
      <c r="AF181" s="461"/>
      <c r="AG181" s="76"/>
      <c r="AH181" s="73"/>
      <c r="AI181" s="57"/>
      <c r="AJ181" s="45"/>
      <c r="AK181" s="45"/>
      <c r="AL181" s="45"/>
      <c r="AM181" s="459"/>
      <c r="AN181" s="459"/>
      <c r="AP181" s="180">
        <v>40</v>
      </c>
      <c r="AQ181" s="462" cm="1">
        <f t="array" aca="1" ref="AQ181" ca="1">AQ195*AQ208*INDEX($AW$166:$AW$173,AQ$190,1)*$AP181*AQ$178</f>
        <v>94.668760342806337</v>
      </c>
      <c r="AR181" s="462" cm="1">
        <f t="array" aca="1" ref="AR181" ca="1">AR195*AR208*INDEX($AW$166:$AW$173,AR$190,1)*$AP181*AR$178</f>
        <v>0</v>
      </c>
      <c r="AS181" s="462" cm="1">
        <f t="array" aca="1" ref="AS181" ca="1">AS195*AS208*INDEX($AW$166:$AW$173,AS$190,1)*$AP181*AS$178</f>
        <v>0</v>
      </c>
      <c r="AT181" s="462" cm="1">
        <f t="array" aca="1" ref="AT181" ca="1">AT195*AT208*INDEX($AW$166:$AW$173,AT$190,1)*$AP181*AT$178</f>
        <v>54.449726262235252</v>
      </c>
      <c r="AU181" s="462" cm="1">
        <f t="array" aca="1" ref="AU181" ca="1">AU195*AU208*INDEX($AW$166:$AW$173,AU$190,1)</f>
        <v>92.999606431657895</v>
      </c>
      <c r="AV181" s="462" cm="1">
        <f t="array" aca="1" ref="AV181" ca="1">AV195*AV208*INDEX($AW$166:$AW$173,AV$190,1)</f>
        <v>120.790415908833</v>
      </c>
      <c r="AW181" s="462" cm="1">
        <f t="array" aca="1" ref="AW181" ca="1">AW195*AW208*INDEX($AW$166:$AW$173,AW$190,1)*$AP181*AW$178</f>
        <v>57.993001388652303</v>
      </c>
      <c r="AX181" s="462" cm="1">
        <f t="array" aca="1" ref="AX181" ca="1">AX195*AX208*INDEX($AW$166:$AW$173,AX$190,1)*$AP181*AX$178</f>
        <v>18.076910518770177</v>
      </c>
    </row>
    <row r="182" spans="1:50"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7">
        <v>4.4000000000000004</v>
      </c>
      <c r="K182" s="468">
        <v>5.6</v>
      </c>
      <c r="L182" s="468">
        <v>5.6</v>
      </c>
      <c r="M182" s="468">
        <v>5.6</v>
      </c>
      <c r="N182" s="469">
        <v>3.6</v>
      </c>
      <c r="O182" s="466">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1"/>
      <c r="AF182" s="461"/>
      <c r="AG182" s="76"/>
      <c r="AH182" s="73"/>
      <c r="AI182" s="57"/>
      <c r="AJ182" s="45"/>
      <c r="AK182" s="45"/>
      <c r="AL182" s="45"/>
      <c r="AM182" s="459"/>
      <c r="AN182" s="459"/>
      <c r="AP182" s="180">
        <v>45</v>
      </c>
      <c r="AQ182" s="462" cm="1">
        <f t="array" aca="1" ref="AQ182" ca="1">AQ196*AQ209*INDEX($AW$166:$AW$173,AQ$190,1)*$AP182*AQ$178</f>
        <v>118.3359504285079</v>
      </c>
      <c r="AR182" s="462" cm="1">
        <f t="array" aca="1" ref="AR182" ca="1">AR196*AR209*INDEX($AW$166:$AW$173,AR$190,1)*$AP182*AR$178</f>
        <v>0</v>
      </c>
      <c r="AS182" s="462" cm="1">
        <f t="array" aca="1" ref="AS182" ca="1">AS196*AS209*INDEX($AW$166:$AW$173,AS$190,1)*$AP182*AS$178</f>
        <v>0</v>
      </c>
      <c r="AT182" s="462" cm="1">
        <f t="array" aca="1" ref="AT182" ca="1">AT196*AT209*INDEX($AW$166:$AW$173,AT$190,1)*$AP182*AT$178</f>
        <v>72.393386053199137</v>
      </c>
      <c r="AU182" s="462" cm="1">
        <f t="array" aca="1" ref="AU182" ca="1">AU196*AU209*INDEX($AW$166:$AW$173,AU$190,1)</f>
        <v>100.07566344276233</v>
      </c>
      <c r="AV182" s="462" cm="1">
        <f t="array" aca="1" ref="AV182" ca="1">AV196*AV209*INDEX($AW$166:$AW$173,AV$190,1)</f>
        <v>120.790415908833</v>
      </c>
      <c r="AW182" s="462" cm="1">
        <f t="array" aca="1" ref="AW182" ca="1">AW196*AW209*INDEX($AW$166:$AW$173,AW$190,1)*$AP182*AW$178</f>
        <v>77.104331391730909</v>
      </c>
      <c r="AX182" s="462" cm="1">
        <f t="array" aca="1" ref="AX182" ca="1">AX196*AX209*INDEX($AW$166:$AW$173,AX$190,1)*$AP182*AX$178</f>
        <v>20.336524333616449</v>
      </c>
    </row>
    <row r="183" spans="1:50" outlineLevel="3" x14ac:dyDescent="0.25">
      <c r="A183" s="45"/>
      <c r="B183" s="54"/>
      <c r="C183" s="87">
        <f t="shared" si="33"/>
        <v>4</v>
      </c>
      <c r="D183" s="73"/>
      <c r="E183" s="70">
        <f t="shared" ref="E183:F188" si="35">E182</f>
        <v>0</v>
      </c>
      <c r="F183" s="70">
        <f t="shared" si="35"/>
        <v>0</v>
      </c>
      <c r="G183" s="73"/>
      <c r="H183" s="97" t="s">
        <v>2668</v>
      </c>
      <c r="I183" s="180">
        <v>18.100000000000001</v>
      </c>
      <c r="J183" s="467">
        <v>4.8</v>
      </c>
      <c r="K183" s="468">
        <v>6.8</v>
      </c>
      <c r="L183" s="468">
        <v>6.8</v>
      </c>
      <c r="M183" s="468">
        <v>6.8</v>
      </c>
      <c r="N183" s="469">
        <v>3.6</v>
      </c>
      <c r="O183" s="466">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1"/>
      <c r="AF183" s="461"/>
      <c r="AG183" s="76"/>
      <c r="AH183" s="73"/>
      <c r="AI183" s="57"/>
      <c r="AJ183" s="45"/>
      <c r="AK183" s="45"/>
      <c r="AL183" s="45"/>
      <c r="AM183" s="459"/>
      <c r="AN183" s="459"/>
      <c r="AP183" s="180">
        <v>50</v>
      </c>
      <c r="AQ183" s="462" cm="1">
        <f t="array" aca="1" ref="AQ183" ca="1">AQ197*AQ210*INDEX($AW$166:$AW$173,AQ$190,1)*$AP183*AQ$178</f>
        <v>131.48438936500881</v>
      </c>
      <c r="AR183" s="462" cm="1">
        <f t="array" aca="1" ref="AR183" ca="1">AR197*AR210*INDEX($AW$166:$AW$173,AR$190,1)*$AP183*AR$178</f>
        <v>0</v>
      </c>
      <c r="AS183" s="462" cm="1">
        <f t="array" aca="1" ref="AS183" ca="1">AS197*AS210*INDEX($AW$166:$AW$173,AS$190,1)*$AP183*AS$178</f>
        <v>0</v>
      </c>
      <c r="AT183" s="462" cm="1">
        <f t="array" aca="1" ref="AT183" ca="1">AT197*AT210*INDEX($AW$166:$AW$173,AT$190,1)*$AP183*AT$178</f>
        <v>80.437095614665708</v>
      </c>
      <c r="AU183" s="462" cm="1">
        <f t="array" aca="1" ref="AU183" ca="1">AU197*AU210*INDEX($AW$166:$AW$173,AU$190,1)</f>
        <v>106.14085516656608</v>
      </c>
      <c r="AV183" s="462" cm="1">
        <f t="array" aca="1" ref="AV183" ca="1">AV197*AV210*INDEX($AW$166:$AW$173,AV$190,1)</f>
        <v>120.790415908833</v>
      </c>
      <c r="AW183" s="462" cm="1">
        <f t="array" aca="1" ref="AW183" ca="1">AW197*AW210*INDEX($AW$166:$AW$173,AW$190,1)*$AP183*AW$178</f>
        <v>85.671479324145452</v>
      </c>
      <c r="AX183" s="462" cm="1">
        <f t="array" aca="1" ref="AX183" ca="1">AX197*AX210*INDEX($AW$166:$AW$173,AX$190,1)*$AP183*AX$178</f>
        <v>22.596138148462721</v>
      </c>
    </row>
    <row r="184" spans="1:50" outlineLevel="3" x14ac:dyDescent="0.25">
      <c r="A184" s="45"/>
      <c r="B184" s="54"/>
      <c r="C184" s="87">
        <f t="shared" si="33"/>
        <v>4</v>
      </c>
      <c r="D184" s="73"/>
      <c r="E184" s="70">
        <f t="shared" si="35"/>
        <v>0</v>
      </c>
      <c r="F184" s="70">
        <f t="shared" si="35"/>
        <v>0</v>
      </c>
      <c r="G184" s="73"/>
      <c r="H184" s="97" t="s">
        <v>302</v>
      </c>
      <c r="I184" s="180">
        <v>28.1</v>
      </c>
      <c r="J184" s="467">
        <v>4.3</v>
      </c>
      <c r="K184" s="468">
        <v>5.3</v>
      </c>
      <c r="L184" s="468">
        <v>5.3</v>
      </c>
      <c r="M184" s="468">
        <v>5.3</v>
      </c>
      <c r="N184" s="469">
        <v>3.6</v>
      </c>
      <c r="O184" s="466">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1"/>
      <c r="AF184" s="461"/>
      <c r="AG184" s="76"/>
      <c r="AH184" s="73"/>
      <c r="AI184" s="57"/>
      <c r="AJ184" s="45"/>
      <c r="AK184" s="45"/>
      <c r="AL184" s="45"/>
      <c r="AM184" s="459"/>
      <c r="AN184" s="459"/>
      <c r="AP184" s="180">
        <v>55</v>
      </c>
      <c r="AQ184" s="462" cm="1">
        <f t="array" aca="1" ref="AQ184" ca="1">AQ198*AQ211*INDEX($AW$166:$AW$173,AQ$190,1)*$AP184*AQ$178</f>
        <v>144.63282830150968</v>
      </c>
      <c r="AR184" s="462" cm="1">
        <f t="array" aca="1" ref="AR184" ca="1">AR198*AR211*INDEX($AW$166:$AW$173,AR$190,1)*$AP184*AR$178</f>
        <v>0</v>
      </c>
      <c r="AS184" s="462" cm="1">
        <f t="array" aca="1" ref="AS184" ca="1">AS198*AS211*INDEX($AW$166:$AW$173,AS$190,1)*$AP184*AS$178</f>
        <v>0</v>
      </c>
      <c r="AT184" s="462" cm="1">
        <f t="array" aca="1" ref="AT184" ca="1">AT198*AT211*INDEX($AW$166:$AW$173,AT$190,1)*$AP184*AT$178</f>
        <v>88.480805176132279</v>
      </c>
      <c r="AU184" s="462" cm="1">
        <f t="array" aca="1" ref="AU184" ca="1">AU198*AU211*INDEX($AW$166:$AW$173,AU$190,1)</f>
        <v>111.19518160306923</v>
      </c>
      <c r="AV184" s="462" cm="1">
        <f t="array" aca="1" ref="AV184" ca="1">AV198*AV211*INDEX($AW$166:$AW$173,AV$190,1)</f>
        <v>120.790415908833</v>
      </c>
      <c r="AW184" s="462" cm="1">
        <f t="array" aca="1" ref="AW184" ca="1">AW198*AW211*INDEX($AW$166:$AW$173,AW$190,1)*$AP184*AW$178</f>
        <v>94.238627256560008</v>
      </c>
      <c r="AX184" s="462" cm="1">
        <f t="array" aca="1" ref="AX184" ca="1">AX198*AX211*INDEX($AW$166:$AW$173,AX$190,1)*$AP184*AX$178</f>
        <v>24.855751963308997</v>
      </c>
    </row>
    <row r="185" spans="1:50" outlineLevel="3" x14ac:dyDescent="0.25">
      <c r="A185" s="45"/>
      <c r="B185" s="54"/>
      <c r="C185" s="87">
        <f t="shared" si="33"/>
        <v>4</v>
      </c>
      <c r="D185" s="73"/>
      <c r="E185" s="70">
        <f t="shared" si="35"/>
        <v>0</v>
      </c>
      <c r="F185" s="70">
        <f t="shared" si="35"/>
        <v>0</v>
      </c>
      <c r="G185" s="73"/>
      <c r="H185" s="76"/>
      <c r="I185" s="180">
        <v>31.1</v>
      </c>
      <c r="J185" s="467">
        <v>4</v>
      </c>
      <c r="K185" s="468">
        <v>5</v>
      </c>
      <c r="L185" s="468">
        <v>5</v>
      </c>
      <c r="M185" s="468">
        <v>5</v>
      </c>
      <c r="N185" s="469">
        <v>3.6</v>
      </c>
      <c r="O185" s="466">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1"/>
      <c r="AF185" s="461"/>
      <c r="AG185" s="76"/>
      <c r="AH185" s="73"/>
      <c r="AI185" s="57"/>
      <c r="AJ185" s="45"/>
      <c r="AK185" s="45"/>
      <c r="AL185" s="45"/>
      <c r="AM185" s="459"/>
      <c r="AN185" s="459"/>
      <c r="AP185" s="180">
        <v>60</v>
      </c>
      <c r="AQ185" s="462" cm="1">
        <f t="array" aca="1" ref="AQ185" ca="1">AQ199*AQ212*INDEX($AW$166:$AW$173,AQ$190,1)*$AP185*AQ$178</f>
        <v>157.78126723801054</v>
      </c>
      <c r="AR185" s="462" cm="1">
        <f t="array" aca="1" ref="AR185" ca="1">AR199*AR212*INDEX($AW$166:$AW$173,AR$190,1)*$AP185*AR$178</f>
        <v>0</v>
      </c>
      <c r="AS185" s="462" cm="1">
        <f t="array" aca="1" ref="AS185" ca="1">AS199*AS212*INDEX($AW$166:$AW$173,AS$190,1)*$AP185*AS$178</f>
        <v>0</v>
      </c>
      <c r="AT185" s="462" cm="1">
        <f t="array" aca="1" ref="AT185" ca="1">AT199*AT212*INDEX($AW$166:$AW$173,AT$190,1)*$AP185*AT$178</f>
        <v>96.524514737598864</v>
      </c>
      <c r="AU185" s="462" cm="1">
        <f t="array" aca="1" ref="AU185" ca="1">AU199*AU212*INDEX($AW$166:$AW$173,AU$190,1)</f>
        <v>121.30383447607552</v>
      </c>
      <c r="AV185" s="462" cm="1">
        <f t="array" aca="1" ref="AV185" ca="1">AV199*AV212*INDEX($AW$166:$AW$173,AV$190,1)</f>
        <v>120.790415908833</v>
      </c>
      <c r="AW185" s="462" cm="1">
        <f t="array" aca="1" ref="AW185" ca="1">AW199*AW212*INDEX($AW$166:$AW$173,AW$190,1)*$AP185*AW$178</f>
        <v>102.80577518897455</v>
      </c>
      <c r="AX185" s="462" cm="1">
        <f t="array" aca="1" ref="AX185" ca="1">AX199*AX212*INDEX($AW$166:$AW$173,AX$190,1)*$AP185*AX$178</f>
        <v>27.115365778155269</v>
      </c>
    </row>
    <row r="186" spans="1:50" outlineLevel="3" x14ac:dyDescent="0.25">
      <c r="A186" s="45"/>
      <c r="B186" s="54"/>
      <c r="C186" s="87">
        <f t="shared" si="33"/>
        <v>4</v>
      </c>
      <c r="D186" s="73"/>
      <c r="E186" s="70">
        <f t="shared" si="35"/>
        <v>0</v>
      </c>
      <c r="F186" s="70">
        <f t="shared" si="35"/>
        <v>0</v>
      </c>
      <c r="G186" s="73"/>
      <c r="H186" s="76"/>
      <c r="I186" s="180">
        <f t="shared" ref="I186:N187" si="36">I185</f>
        <v>31.1</v>
      </c>
      <c r="J186" s="467">
        <f t="shared" si="36"/>
        <v>4</v>
      </c>
      <c r="K186" s="468">
        <f t="shared" si="36"/>
        <v>5</v>
      </c>
      <c r="L186" s="468">
        <f t="shared" si="36"/>
        <v>5</v>
      </c>
      <c r="M186" s="468">
        <f t="shared" si="36"/>
        <v>5</v>
      </c>
      <c r="N186" s="469">
        <f t="shared" si="36"/>
        <v>3.6</v>
      </c>
      <c r="O186" s="466">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1"/>
      <c r="AF186" s="461"/>
      <c r="AG186" s="76"/>
      <c r="AH186" s="73"/>
      <c r="AI186" s="57"/>
      <c r="AJ186" s="45"/>
      <c r="AK186" s="45"/>
      <c r="AL186" s="45"/>
      <c r="AM186" s="459"/>
      <c r="AN186" s="459"/>
      <c r="AP186" s="180">
        <v>65</v>
      </c>
      <c r="AQ186" s="462" cm="1">
        <f t="array" aca="1" ref="AQ186" ca="1">AQ200*AQ213*INDEX($AW$166:$AW$173,AQ$190,1)*$AP186*AQ$178</f>
        <v>149.72075467382018</v>
      </c>
      <c r="AR186" s="462" cm="1">
        <f t="array" aca="1" ref="AR186" ca="1">AR200*AR213*INDEX($AW$166:$AW$173,AR$190,1)*$AP186*AR$178</f>
        <v>0</v>
      </c>
      <c r="AS186" s="462" cm="1">
        <f t="array" aca="1" ref="AS186" ca="1">AS200*AS213*INDEX($AW$166:$AW$173,AS$190,1)*$AP186*AS$178</f>
        <v>0</v>
      </c>
      <c r="AT186" s="462" cm="1">
        <f t="array" aca="1" ref="AT186" ca="1">AT200*AT213*INDEX($AW$166:$AW$173,AT$190,1)*$AP186*AT$178</f>
        <v>104.56822429906542</v>
      </c>
      <c r="AU186" s="462" cm="1">
        <f t="array" aca="1" ref="AU186" ca="1">AU200*AU213*INDEX($AW$166:$AW$173,AU$190,1)</f>
        <v>121.30383447607552</v>
      </c>
      <c r="AV186" s="462" cm="1">
        <f t="array" aca="1" ref="AV186" ca="1">AV200*AV213*INDEX($AW$166:$AW$173,AV$190,1)</f>
        <v>120.790415908833</v>
      </c>
      <c r="AW186" s="462" cm="1">
        <f t="array" aca="1" ref="AW186" ca="1">AW200*AW213*INDEX($AW$166:$AW$173,AW$190,1)*$AP186*AW$178</f>
        <v>111.37292312138909</v>
      </c>
      <c r="AX186" s="462" cm="1">
        <f t="array" aca="1" ref="AX186" ca="1">AX200*AX213*INDEX($AW$166:$AW$173,AX$190,1)*$AP186*AX$178</f>
        <v>29.374979593001537</v>
      </c>
    </row>
    <row r="187" spans="1:50" outlineLevel="3" x14ac:dyDescent="0.25">
      <c r="A187" s="45"/>
      <c r="B187" s="54"/>
      <c r="C187" s="87">
        <f t="shared" si="33"/>
        <v>4</v>
      </c>
      <c r="D187" s="73"/>
      <c r="E187" s="70">
        <f t="shared" si="35"/>
        <v>0</v>
      </c>
      <c r="F187" s="70">
        <f t="shared" si="35"/>
        <v>0</v>
      </c>
      <c r="G187" s="73"/>
      <c r="H187" s="76"/>
      <c r="I187" s="180">
        <f t="shared" si="36"/>
        <v>31.1</v>
      </c>
      <c r="J187" s="470">
        <f t="shared" si="36"/>
        <v>4</v>
      </c>
      <c r="K187" s="471">
        <f t="shared" si="36"/>
        <v>5</v>
      </c>
      <c r="L187" s="471">
        <f t="shared" si="36"/>
        <v>5</v>
      </c>
      <c r="M187" s="471">
        <f t="shared" si="36"/>
        <v>5</v>
      </c>
      <c r="N187" s="472">
        <f t="shared" si="36"/>
        <v>3.6</v>
      </c>
      <c r="O187" s="466">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1"/>
      <c r="AF187" s="461"/>
      <c r="AG187" s="76"/>
      <c r="AH187" s="73"/>
      <c r="AI187" s="57"/>
      <c r="AJ187" s="45"/>
      <c r="AK187" s="45"/>
      <c r="AL187" s="45"/>
      <c r="AM187" s="459"/>
      <c r="AN187" s="459"/>
      <c r="AP187" s="180">
        <v>70</v>
      </c>
      <c r="AQ187" s="462" cm="1">
        <f t="array" aca="1" ref="AQ187" ca="1">AQ201*AQ214*INDEX($AW$166:$AW$173,AQ$190,1)*$AP187*AQ$178</f>
        <v>161.2377358025756</v>
      </c>
      <c r="AR187" s="462" cm="1">
        <f t="array" aca="1" ref="AR187" ca="1">AR201*AR214*INDEX($AW$166:$AW$173,AR$190,1)*$AP187*AR$178</f>
        <v>0</v>
      </c>
      <c r="AS187" s="462" cm="1">
        <f t="array" aca="1" ref="AS187" ca="1">AS201*AS214*INDEX($AW$166:$AW$173,AS$190,1)*$AP187*AS$178</f>
        <v>0</v>
      </c>
      <c r="AT187" s="462" cm="1">
        <f t="array" aca="1" ref="AT187" ca="1">AT201*AT214*INDEX($AW$166:$AW$173,AT$190,1)*$AP187*AT$178</f>
        <v>112.61193386053201</v>
      </c>
      <c r="AU187" s="462" cm="1">
        <f t="array" aca="1" ref="AU187" ca="1">AU201*AU214*INDEX($AW$166:$AW$173,AU$190,1)</f>
        <v>121.30383447607552</v>
      </c>
      <c r="AV187" s="462" cm="1">
        <f t="array" aca="1" ref="AV187" ca="1">AV201*AV214*INDEX($AW$166:$AW$173,AV$190,1)</f>
        <v>120.790415908833</v>
      </c>
      <c r="AW187" s="462" cm="1">
        <f t="array" aca="1" ref="AW187" ca="1">AW201*AW214*INDEX($AW$166:$AW$173,AW$190,1)*$AP187*AW$178</f>
        <v>119.94007105380365</v>
      </c>
      <c r="AX187" s="462" cm="1">
        <f t="array" aca="1" ref="AX187" ca="1">AX201*AX214*INDEX($AW$166:$AW$173,AX$190,1)*$AP187*AX$178</f>
        <v>31.634593407847813</v>
      </c>
    </row>
    <row r="188" spans="1:50" outlineLevel="3" x14ac:dyDescent="0.25">
      <c r="A188" s="45"/>
      <c r="B188" s="54"/>
      <c r="C188" s="87">
        <f t="shared" si="33"/>
        <v>4</v>
      </c>
      <c r="D188" s="73"/>
      <c r="E188" s="70">
        <f t="shared" si="35"/>
        <v>0</v>
      </c>
      <c r="F188" s="70">
        <f t="shared" si="35"/>
        <v>0</v>
      </c>
      <c r="G188" s="73"/>
      <c r="H188" s="76"/>
      <c r="I188" s="96">
        <v>1000</v>
      </c>
      <c r="J188" s="473">
        <v>0</v>
      </c>
      <c r="K188" s="473">
        <v>0</v>
      </c>
      <c r="L188" s="473">
        <v>0</v>
      </c>
      <c r="M188" s="473">
        <v>0</v>
      </c>
      <c r="N188" s="473">
        <v>0</v>
      </c>
      <c r="O188" s="474">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3"/>
      <c r="AI188" s="57"/>
      <c r="AJ188" s="45"/>
      <c r="AK188" s="45"/>
      <c r="AL188" s="45"/>
      <c r="AM188" s="459"/>
      <c r="AN188" s="459"/>
    </row>
    <row r="189" spans="1:50" outlineLevel="2" x14ac:dyDescent="0.25">
      <c r="A189" s="45"/>
      <c r="B189" s="54"/>
      <c r="C189" s="87">
        <f>INT($C$150)+2</f>
        <v>3</v>
      </c>
      <c r="D189" s="73"/>
      <c r="E189" s="70">
        <v>1</v>
      </c>
      <c r="F189" s="70">
        <f>E189</f>
        <v>1</v>
      </c>
      <c r="G189" s="73"/>
      <c r="H189" s="96" t="str">
        <f>INDEX($H$166:$H$173,$E189+1,1)</f>
        <v>empty grid (1)</v>
      </c>
      <c r="I189" s="180">
        <v>10</v>
      </c>
      <c r="J189" s="463">
        <v>1</v>
      </c>
      <c r="K189" s="464">
        <v>2</v>
      </c>
      <c r="L189" s="464">
        <v>2</v>
      </c>
      <c r="M189" s="464">
        <v>2</v>
      </c>
      <c r="N189" s="465">
        <v>1</v>
      </c>
      <c r="O189" s="466">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3"/>
      <c r="AI189" s="57"/>
      <c r="AJ189" s="45"/>
      <c r="AK189" s="45"/>
      <c r="AL189" s="45"/>
      <c r="AM189" s="459"/>
      <c r="AN189" s="459"/>
    </row>
    <row r="190" spans="1:50"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7">
        <v>3</v>
      </c>
      <c r="K190" s="468">
        <v>5.5</v>
      </c>
      <c r="L190" s="468">
        <v>5.5</v>
      </c>
      <c r="M190" s="468">
        <v>5.5</v>
      </c>
      <c r="N190" s="469">
        <v>3</v>
      </c>
      <c r="O190" s="466">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3"/>
      <c r="AI190" s="57"/>
      <c r="AJ190" s="45"/>
      <c r="AK190" s="45"/>
      <c r="AL190" s="45"/>
      <c r="AM190" s="459"/>
      <c r="AN190" s="459"/>
      <c r="AQ190">
        <v>1</v>
      </c>
      <c r="AR190">
        <v>2</v>
      </c>
      <c r="AS190">
        <v>3</v>
      </c>
      <c r="AT190">
        <v>4</v>
      </c>
      <c r="AU190">
        <v>5</v>
      </c>
      <c r="AV190">
        <v>6</v>
      </c>
      <c r="AW190">
        <v>7</v>
      </c>
      <c r="AX190">
        <v>8</v>
      </c>
    </row>
    <row r="191" spans="1:50" outlineLevel="3" x14ac:dyDescent="0.25">
      <c r="A191" s="45"/>
      <c r="B191" s="54"/>
      <c r="C191" s="87">
        <f t="shared" si="47"/>
        <v>4</v>
      </c>
      <c r="D191" s="73"/>
      <c r="E191" s="70"/>
      <c r="F191" s="70">
        <f t="shared" si="48"/>
        <v>1</v>
      </c>
      <c r="G191" s="73"/>
      <c r="H191" s="97" t="s">
        <v>2669</v>
      </c>
      <c r="I191" s="180">
        <v>18.100000000000001</v>
      </c>
      <c r="J191" s="467">
        <v>5</v>
      </c>
      <c r="K191" s="468">
        <v>6</v>
      </c>
      <c r="L191" s="468">
        <v>6</v>
      </c>
      <c r="M191" s="468">
        <v>6</v>
      </c>
      <c r="N191" s="469">
        <v>5</v>
      </c>
      <c r="O191" s="466">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3"/>
      <c r="AI191" s="57"/>
      <c r="AJ191" s="45"/>
      <c r="AK191" s="45"/>
      <c r="AL191" s="45"/>
      <c r="AM191" s="459"/>
      <c r="AN191" s="459" t="s">
        <v>2908</v>
      </c>
      <c r="AQ191" s="457" t="str" cm="1">
        <f t="array" ref="AQ191:AX191">TRANSPOSE(AR166:AR173)</f>
        <v>Lamb grid (0)</v>
      </c>
      <c r="AR191" s="457" t="str">
        <v>empty grid (1)</v>
      </c>
      <c r="AS191" s="457" t="str">
        <v>empty grid (2)</v>
      </c>
      <c r="AT191" s="457" t="str">
        <v>Yearling grid (3)</v>
      </c>
      <c r="AU191" s="457" t="str">
        <v>Export wether grid (4)</v>
      </c>
      <c r="AV191" s="458" t="str">
        <v>Breeder grid (5)</v>
      </c>
      <c r="AW191" s="458" t="str">
        <v>Mutton grid (6)</v>
      </c>
      <c r="AX191" s="458" t="str">
        <v>Ram grid (7)</v>
      </c>
    </row>
    <row r="192" spans="1:50" outlineLevel="3" x14ac:dyDescent="0.25">
      <c r="A192" s="45"/>
      <c r="B192" s="54"/>
      <c r="C192" s="87">
        <f t="shared" si="47"/>
        <v>4</v>
      </c>
      <c r="D192" s="73"/>
      <c r="E192" s="70"/>
      <c r="F192" s="70">
        <f t="shared" si="48"/>
        <v>1</v>
      </c>
      <c r="G192" s="73"/>
      <c r="H192" s="76"/>
      <c r="I192" s="180">
        <v>28.1</v>
      </c>
      <c r="J192" s="467">
        <v>5.2</v>
      </c>
      <c r="K192" s="468">
        <v>6.8</v>
      </c>
      <c r="L192" s="468">
        <v>6.8</v>
      </c>
      <c r="M192" s="468">
        <v>6.8</v>
      </c>
      <c r="N192" s="469">
        <v>5.2</v>
      </c>
      <c r="O192" s="466">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3"/>
      <c r="AI192" s="57"/>
      <c r="AJ192" s="45"/>
      <c r="AK192" s="45"/>
      <c r="AL192" s="45"/>
      <c r="AM192" s="459"/>
      <c r="AN192" s="459"/>
      <c r="AQ192" s="455">
        <v>0.44</v>
      </c>
      <c r="AR192" s="455">
        <v>0.42</v>
      </c>
      <c r="AS192" s="455">
        <v>0.42</v>
      </c>
      <c r="AT192" s="455">
        <v>0.42</v>
      </c>
      <c r="AU192" s="455">
        <v>1</v>
      </c>
      <c r="AV192" s="455">
        <v>1</v>
      </c>
      <c r="AW192" s="455">
        <v>0.42</v>
      </c>
      <c r="AX192" s="455">
        <v>0.42</v>
      </c>
    </row>
    <row r="193" spans="1:50" outlineLevel="3" x14ac:dyDescent="0.25">
      <c r="A193" s="45"/>
      <c r="B193" s="54"/>
      <c r="C193" s="87">
        <f t="shared" si="47"/>
        <v>4</v>
      </c>
      <c r="D193" s="73"/>
      <c r="E193" s="70"/>
      <c r="F193" s="70">
        <f t="shared" si="48"/>
        <v>1</v>
      </c>
      <c r="G193" s="73"/>
      <c r="H193" s="76"/>
      <c r="I193" s="180">
        <v>31.1</v>
      </c>
      <c r="J193" s="467">
        <v>5</v>
      </c>
      <c r="K193" s="468">
        <v>6.6</v>
      </c>
      <c r="L193" s="468">
        <v>6.6</v>
      </c>
      <c r="M193" s="468">
        <v>6.6</v>
      </c>
      <c r="N193" s="469">
        <v>5</v>
      </c>
      <c r="O193" s="466">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3"/>
      <c r="AI193" s="57"/>
      <c r="AJ193" s="45"/>
      <c r="AK193" s="45"/>
      <c r="AL193" s="45"/>
      <c r="AM193" s="459"/>
      <c r="AN193" s="459"/>
      <c r="AP193" s="180">
        <v>25</v>
      </c>
      <c r="AQ193" cm="1">
        <f t="array" aca="1" ref="AQ193" ca="1">INDEX(OFFSET($Q$181:$U$187,i_s7_len*(AQ$190-1),0),MATCH($AP193*AQ$192,OFFSET($I$181:$I$187,i_s7_len*(AQ$190-1),0)),MATCH($AR$175,INDEX($J$177:$N$178,1+INDEX(ia_s8_s7,AQ$190,1),0)))</f>
        <v>0.70809675221439938</v>
      </c>
      <c r="AR193" cm="1">
        <f t="array" aca="1" ref="AR193" ca="1">INDEX(OFFSET($Q$181:$U$187,i_s7_len*(AR$190-1),0),MATCH($AP193*AR$192,OFFSET($I$181:$I$187,i_s7_len*(AR$190-1),0)),MATCH($AR$175,INDEX($J$177:$N$178,1+INDEX(ia_s8_s7,AR$190,1),0)))</f>
        <v>0.70809675221439938</v>
      </c>
      <c r="AS193" cm="1">
        <f t="array" aca="1" ref="AS193" ca="1">INDEX(OFFSET($Q$181:$U$187,i_s7_len*(AS$190-1),0),MATCH($AP193*AS$192,OFFSET($I$181:$I$187,i_s7_len*(AS$190-1),0)),MATCH($AR$175,INDEX($J$177:$N$178,1+INDEX(ia_s8_s7,AS$190,1),0)))</f>
        <v>1</v>
      </c>
      <c r="AT193" cm="1">
        <f t="array" aca="1" ref="AT193" ca="1">INDEX(OFFSET($Q$181:$U$187,i_s7_len*(AT$190-1),0),MATCH($AP193*AT$192,OFFSET($I$181:$I$187,i_s7_len*(AT$190-1),0)),MATCH($AR$175,INDEX($J$177:$N$178,1+INDEX(ia_s8_s7,AT$190,1),0)))</f>
        <v>0.57692307692307687</v>
      </c>
      <c r="AU193" cm="1">
        <f t="array" aca="1" ref="AU193" ca="1">INDEX(OFFSET($Q$181:$U$187,i_s7_len*(AU$190-1),0),MATCH($AP193*AU$192,OFFSET($I$181:$I$187,i_s7_len*(AU$190-1),0)),MATCH($AR$175,INDEX($J$177:$N$178,1+INDEX(ia_s8_s7,AU$190,1),0)))</f>
        <v>0.21828806594996897</v>
      </c>
      <c r="AV193" cm="1">
        <f t="array" aca="1" ref="AV193" ca="1">INDEX(OFFSET($Q$181:$U$187,i_s7_len*(AV$190-1),0),MATCH($AP193*AV$192,OFFSET($I$181:$I$187,i_s7_len*(AV$190-1),0)),MATCH($AR$175,INDEX($J$177:$N$178,1+INDEX(ia_s8_s7,AV$190,1),0)))</f>
        <v>1</v>
      </c>
      <c r="AW193" cm="1">
        <f t="array" aca="1" ref="AW193" ca="1">INDEX(OFFSET($Q$181:$U$187,i_s7_len*(AW$190-1),0),MATCH($AP193*AW$192,OFFSET($I$181:$I$187,i_s7_len*(AW$190-1),0)),MATCH($AR$175,INDEX($J$177:$N$178,1+INDEX(ia_s8_s7,AW$190,1),0)))</f>
        <v>0.57692307692307687</v>
      </c>
      <c r="AX193" cm="1">
        <f t="array" aca="1" ref="AX193" ca="1">INDEX(OFFSET($Q$181:$U$187,i_s7_len*(AX$190-1),0),MATCH($AP193*AX$192,OFFSET($I$181:$I$187,i_s7_len*(AX$190-1),0)),MATCH($AR$175,INDEX($J$177:$N$178,1+INDEX(ia_s8_s7,AX$190,1),0)))</f>
        <v>0.70710678118654757</v>
      </c>
    </row>
    <row r="194" spans="1:50" outlineLevel="3" x14ac:dyDescent="0.25">
      <c r="A194" s="45"/>
      <c r="B194" s="54"/>
      <c r="C194" s="87">
        <f t="shared" si="47"/>
        <v>4</v>
      </c>
      <c r="D194" s="73"/>
      <c r="E194" s="70"/>
      <c r="F194" s="70">
        <f t="shared" si="48"/>
        <v>1</v>
      </c>
      <c r="G194" s="73"/>
      <c r="H194" s="76"/>
      <c r="I194" s="180">
        <f t="shared" ref="I194" si="49">I193</f>
        <v>31.1</v>
      </c>
      <c r="J194" s="467">
        <v>5</v>
      </c>
      <c r="K194" s="468">
        <v>6</v>
      </c>
      <c r="L194" s="468">
        <v>6</v>
      </c>
      <c r="M194" s="468">
        <v>6</v>
      </c>
      <c r="N194" s="469">
        <v>5</v>
      </c>
      <c r="O194" s="466">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3"/>
      <c r="AI194" s="57"/>
      <c r="AJ194" s="45"/>
      <c r="AK194" s="45"/>
      <c r="AL194" s="45"/>
      <c r="AM194" s="459"/>
      <c r="AN194" s="459"/>
      <c r="AP194" s="180">
        <v>35</v>
      </c>
      <c r="AQ194" cm="1">
        <f t="array" aca="1" ref="AQ194" ca="1">INDEX(OFFSET($Q$181:$U$187,i_s7_len*(AQ$190-1),0),MATCH($AP194*AQ$192,OFFSET($I$181:$I$187,i_s7_len*(AQ$190-1),0)),MATCH($AR$175,INDEX($J$177:$N$178,1+INDEX(ia_s8_s7,AQ$190,1),0)))</f>
        <v>0.70809675221439938</v>
      </c>
      <c r="AR194" cm="1">
        <f t="array" aca="1" ref="AR194" ca="1">INDEX(OFFSET($Q$181:$U$187,i_s7_len*(AR$190-1),0),MATCH($AP194*AR$192,OFFSET($I$181:$I$187,i_s7_len*(AR$190-1),0)),MATCH($AR$175,INDEX($J$177:$N$178,1+INDEX(ia_s8_s7,AR$190,1),0)))</f>
        <v>0.70809675221439938</v>
      </c>
      <c r="AS194" cm="1">
        <f t="array" aca="1" ref="AS194" ca="1">INDEX(OFFSET($Q$181:$U$187,i_s7_len*(AS$190-1),0),MATCH($AP194*AS$192,OFFSET($I$181:$I$187,i_s7_len*(AS$190-1),0)),MATCH($AR$175,INDEX($J$177:$N$178,1+INDEX(ia_s8_s7,AS$190,1),0)))</f>
        <v>1</v>
      </c>
      <c r="AT194" cm="1">
        <f t="array" aca="1" ref="AT194" ca="1">INDEX(OFFSET($Q$181:$U$187,i_s7_len*(AT$190-1),0),MATCH($AP194*AT$192,OFFSET($I$181:$I$187,i_s7_len*(AT$190-1),0)),MATCH($AR$175,INDEX($J$177:$N$178,1+INDEX(ia_s8_s7,AT$190,1),0)))</f>
        <v>0.84615384615384615</v>
      </c>
      <c r="AU194" cm="1">
        <f t="array" aca="1" ref="AU194" ca="1">INDEX(OFFSET($Q$181:$U$187,i_s7_len*(AU$190-1),0),MATCH($AP194*AU$192,OFFSET($I$181:$I$187,i_s7_len*(AU$190-1),0)),MATCH($AR$175,INDEX($J$177:$N$178,1+INDEX(ia_s8_s7,AU$190,1),0)))</f>
        <v>0.7</v>
      </c>
      <c r="AV194" cm="1">
        <f t="array" aca="1" ref="AV194" ca="1">INDEX(OFFSET($Q$181:$U$187,i_s7_len*(AV$190-1),0),MATCH($AP194*AV$192,OFFSET($I$181:$I$187,i_s7_len*(AV$190-1),0)),MATCH($AR$175,INDEX($J$177:$N$178,1+INDEX(ia_s8_s7,AV$190,1),0)))</f>
        <v>1</v>
      </c>
      <c r="AW194" cm="1">
        <f t="array" aca="1" ref="AW194" ca="1">INDEX(OFFSET($Q$181:$U$187,i_s7_len*(AW$190-1),0),MATCH($AP194*AW$192,OFFSET($I$181:$I$187,i_s7_len*(AW$190-1),0)),MATCH($AR$175,INDEX($J$177:$N$178,1+INDEX(ia_s8_s7,AW$190,1),0)))</f>
        <v>0.84615384615384615</v>
      </c>
      <c r="AX194" cm="1">
        <f t="array" aca="1" ref="AX194" ca="1">INDEX(OFFSET($Q$181:$U$187,i_s7_len*(AX$190-1),0),MATCH($AP194*AX$192,OFFSET($I$181:$I$187,i_s7_len*(AX$190-1),0)),MATCH($AR$175,INDEX($J$177:$N$178,1+INDEX(ia_s8_s7,AX$190,1),0)))</f>
        <v>0.70710678118654757</v>
      </c>
    </row>
    <row r="195" spans="1:50" outlineLevel="3" x14ac:dyDescent="0.25">
      <c r="A195" s="45"/>
      <c r="B195" s="54"/>
      <c r="C195" s="87">
        <f t="shared" si="47"/>
        <v>4</v>
      </c>
      <c r="D195" s="73"/>
      <c r="E195" s="70"/>
      <c r="F195" s="70">
        <f t="shared" si="48"/>
        <v>1</v>
      </c>
      <c r="G195" s="73"/>
      <c r="H195" s="76"/>
      <c r="I195" s="180">
        <f t="shared" ref="I195" si="50">I194</f>
        <v>31.1</v>
      </c>
      <c r="J195" s="470">
        <v>4.8</v>
      </c>
      <c r="K195" s="471">
        <v>5.8</v>
      </c>
      <c r="L195" s="471">
        <v>5.8</v>
      </c>
      <c r="M195" s="471">
        <v>5.8</v>
      </c>
      <c r="N195" s="472">
        <v>4.8</v>
      </c>
      <c r="O195" s="466">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3"/>
      <c r="AI195" s="57"/>
      <c r="AJ195" s="45"/>
      <c r="AK195" s="45"/>
      <c r="AL195" s="45"/>
      <c r="AM195" s="459"/>
      <c r="AN195" s="459"/>
      <c r="AP195" s="180">
        <v>40</v>
      </c>
      <c r="AQ195" cm="1">
        <f t="array" aca="1" ref="AQ195" ca="1">INDEX(OFFSET($Q$181:$U$187,i_s7_len*(AQ$190-1),0),MATCH($AP195*AQ$192,OFFSET($I$181:$I$187,i_s7_len*(AQ$190-1),0)),MATCH($AR$175,INDEX($J$177:$N$178,1+INDEX(ia_s8_s7,AQ$190,1),0)))</f>
        <v>0.9</v>
      </c>
      <c r="AR195" cm="1">
        <f t="array" aca="1" ref="AR195" ca="1">INDEX(OFFSET($Q$181:$U$187,i_s7_len*(AR$190-1),0),MATCH($AP195*AR$192,OFFSET($I$181:$I$187,i_s7_len*(AR$190-1),0)),MATCH($AR$175,INDEX($J$177:$N$178,1+INDEX(ia_s8_s7,AR$190,1),0)))</f>
        <v>1</v>
      </c>
      <c r="AS195" cm="1">
        <f t="array" aca="1" ref="AS195" ca="1">INDEX(OFFSET($Q$181:$U$187,i_s7_len*(AS$190-1),0),MATCH($AP195*AS$192,OFFSET($I$181:$I$187,i_s7_len*(AS$190-1),0)),MATCH($AR$175,INDEX($J$177:$N$178,1+INDEX(ia_s8_s7,AS$190,1),0)))</f>
        <v>1</v>
      </c>
      <c r="AT195" cm="1">
        <f t="array" aca="1" ref="AT195" ca="1">INDEX(OFFSET($Q$181:$U$187,i_s7_len*(AT$190-1),0),MATCH($AP195*AT$192,OFFSET($I$181:$I$187,i_s7_len*(AT$190-1),0)),MATCH($AR$175,INDEX($J$177:$N$178,1+INDEX(ia_s8_s7,AT$190,1),0)))</f>
        <v>0.84615384615384615</v>
      </c>
      <c r="AU195" cm="1">
        <f t="array" aca="1" ref="AU195" ca="1">INDEX(OFFSET($Q$181:$U$187,i_s7_len*(AU$190-1),0),MATCH($AP195*AU$192,OFFSET($I$181:$I$187,i_s7_len*(AU$190-1),0)),MATCH($AR$175,INDEX($J$177:$N$178,1+INDEX(ia_s8_s7,AU$190,1),0)))</f>
        <v>0.76666666666666661</v>
      </c>
      <c r="AV195" cm="1">
        <f t="array" aca="1" ref="AV195" ca="1">INDEX(OFFSET($Q$181:$U$187,i_s7_len*(AV$190-1),0),MATCH($AP195*AV$192,OFFSET($I$181:$I$187,i_s7_len*(AV$190-1),0)),MATCH($AR$175,INDEX($J$177:$N$178,1+INDEX(ia_s8_s7,AV$190,1),0)))</f>
        <v>1</v>
      </c>
      <c r="AW195" cm="1">
        <f t="array" aca="1" ref="AW195" ca="1">INDEX(OFFSET($Q$181:$U$187,i_s7_len*(AW$190-1),0),MATCH($AP195*AW$192,OFFSET($I$181:$I$187,i_s7_len*(AW$190-1),0)),MATCH($AR$175,INDEX($J$177:$N$178,1+INDEX(ia_s8_s7,AW$190,1),0)))</f>
        <v>0.84615384615384615</v>
      </c>
      <c r="AX195" cm="1">
        <f t="array" aca="1" ref="AX195" ca="1">INDEX(OFFSET($Q$181:$U$187,i_s7_len*(AX$190-1),0),MATCH($AP195*AX$192,OFFSET($I$181:$I$187,i_s7_len*(AX$190-1),0)),MATCH($AR$175,INDEX($J$177:$N$178,1+INDEX(ia_s8_s7,AX$190,1),0)))</f>
        <v>1</v>
      </c>
    </row>
    <row r="196" spans="1:50" outlineLevel="3" x14ac:dyDescent="0.25">
      <c r="A196" s="45"/>
      <c r="B196" s="54"/>
      <c r="C196" s="87">
        <f t="shared" si="47"/>
        <v>4</v>
      </c>
      <c r="D196" s="73"/>
      <c r="E196" s="70"/>
      <c r="F196" s="70">
        <f t="shared" si="48"/>
        <v>1</v>
      </c>
      <c r="G196" s="73"/>
      <c r="H196" s="76"/>
      <c r="I196" s="96">
        <v>1000</v>
      </c>
      <c r="J196" s="473">
        <v>0</v>
      </c>
      <c r="K196" s="473">
        <v>0</v>
      </c>
      <c r="L196" s="473">
        <v>0</v>
      </c>
      <c r="M196" s="473">
        <v>0</v>
      </c>
      <c r="N196" s="473">
        <v>0</v>
      </c>
      <c r="O196" s="474">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3"/>
      <c r="AI196" s="57"/>
      <c r="AJ196" s="45"/>
      <c r="AK196" s="45"/>
      <c r="AL196" s="45"/>
      <c r="AM196" s="459"/>
      <c r="AN196" s="459"/>
      <c r="AP196" s="180">
        <v>45</v>
      </c>
      <c r="AQ196" cm="1">
        <f t="array" aca="1" ref="AQ196" ca="1">INDEX(OFFSET($Q$181:$U$187,i_s7_len*(AQ$190-1),0),MATCH($AP196*AQ$192,OFFSET($I$181:$I$187,i_s7_len*(AQ$190-1),0)),MATCH($AR$175,INDEX($J$177:$N$178,1+INDEX(ia_s8_s7,AQ$190,1),0)))</f>
        <v>1</v>
      </c>
      <c r="AR196" cm="1">
        <f t="array" aca="1" ref="AR196" ca="1">INDEX(OFFSET($Q$181:$U$187,i_s7_len*(AR$190-1),0),MATCH($AP196*AR$192,OFFSET($I$181:$I$187,i_s7_len*(AR$190-1),0)),MATCH($AR$175,INDEX($J$177:$N$178,1+INDEX(ia_s8_s7,AR$190,1),0)))</f>
        <v>0.87592003768474347</v>
      </c>
      <c r="AS196" cm="1">
        <f t="array" aca="1" ref="AS196" ca="1">INDEX(OFFSET($Q$181:$U$187,i_s7_len*(AS$190-1),0),MATCH($AP196*AS$192,OFFSET($I$181:$I$187,i_s7_len*(AS$190-1),0)),MATCH($AR$175,INDEX($J$177:$N$178,1+INDEX(ia_s8_s7,AS$190,1),0)))</f>
        <v>1</v>
      </c>
      <c r="AT196" cm="1">
        <f t="array" aca="1" ref="AT196" ca="1">INDEX(OFFSET($Q$181:$U$187,i_s7_len*(AT$190-1),0),MATCH($AP196*AT$192,OFFSET($I$181:$I$187,i_s7_len*(AT$190-1),0)),MATCH($AR$175,INDEX($J$177:$N$178,1+INDEX(ia_s8_s7,AT$190,1),0)))</f>
        <v>1</v>
      </c>
      <c r="AU196" cm="1">
        <f t="array" aca="1" ref="AU196" ca="1">INDEX(OFFSET($Q$181:$U$187,i_s7_len*(AU$190-1),0),MATCH($AP196*AU$192,OFFSET($I$181:$I$187,i_s7_len*(AU$190-1),0)),MATCH($AR$175,INDEX($J$177:$N$178,1+INDEX(ia_s8_s7,AU$190,1),0)))</f>
        <v>0.82500000000000018</v>
      </c>
      <c r="AV196" cm="1">
        <f t="array" aca="1" ref="AV196" ca="1">INDEX(OFFSET($Q$181:$U$187,i_s7_len*(AV$190-1),0),MATCH($AP196*AV$192,OFFSET($I$181:$I$187,i_s7_len*(AV$190-1),0)),MATCH($AR$175,INDEX($J$177:$N$178,1+INDEX(ia_s8_s7,AV$190,1),0)))</f>
        <v>1</v>
      </c>
      <c r="AW196" cm="1">
        <f t="array" aca="1" ref="AW196" ca="1">INDEX(OFFSET($Q$181:$U$187,i_s7_len*(AW$190-1),0),MATCH($AP196*AW$192,OFFSET($I$181:$I$187,i_s7_len*(AW$190-1),0)),MATCH($AR$175,INDEX($J$177:$N$178,1+INDEX(ia_s8_s7,AW$190,1),0)))</f>
        <v>1</v>
      </c>
      <c r="AX196" cm="1">
        <f t="array" aca="1" ref="AX196" ca="1">INDEX(OFFSET($Q$181:$U$187,i_s7_len*(AX$190-1),0),MATCH($AP196*AX$192,OFFSET($I$181:$I$187,i_s7_len*(AX$190-1),0)),MATCH($AR$175,INDEX($J$177:$N$178,1+INDEX(ia_s8_s7,AX$190,1),0)))</f>
        <v>1</v>
      </c>
    </row>
    <row r="197" spans="1:50" outlineLevel="2" x14ac:dyDescent="0.25">
      <c r="A197" s="45"/>
      <c r="B197" s="54"/>
      <c r="C197" s="87">
        <f>INT($C$150)+2</f>
        <v>3</v>
      </c>
      <c r="D197" s="73"/>
      <c r="E197" s="70">
        <v>2</v>
      </c>
      <c r="F197" s="70">
        <f>E197</f>
        <v>2</v>
      </c>
      <c r="G197" s="73"/>
      <c r="H197" s="96" t="str">
        <f>INDEX($H$166:$H$173,$E197+1,1)</f>
        <v>empty grid (2)</v>
      </c>
      <c r="I197" s="180">
        <v>10</v>
      </c>
      <c r="J197" s="463">
        <v>1</v>
      </c>
      <c r="K197" s="464">
        <v>2</v>
      </c>
      <c r="L197" s="464">
        <v>2</v>
      </c>
      <c r="M197" s="464">
        <v>2</v>
      </c>
      <c r="N197" s="465">
        <v>1</v>
      </c>
      <c r="O197" s="466">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3"/>
      <c r="AI197" s="57"/>
      <c r="AJ197" s="45"/>
      <c r="AK197" s="45"/>
      <c r="AL197" s="45"/>
      <c r="AM197" s="459"/>
      <c r="AN197" s="459"/>
      <c r="AP197" s="180">
        <v>50</v>
      </c>
      <c r="AQ197" cm="1">
        <f t="array" aca="1" ref="AQ197" ca="1">INDEX(OFFSET($Q$181:$U$187,i_s7_len*(AQ$190-1),0),MATCH($AP197*AQ$192,OFFSET($I$181:$I$187,i_s7_len*(AQ$190-1),0)),MATCH($AR$175,INDEX($J$177:$N$178,1+INDEX(ia_s8_s7,AQ$190,1),0)))</f>
        <v>1</v>
      </c>
      <c r="AR197" cm="1">
        <f t="array" aca="1" ref="AR197" ca="1">INDEX(OFFSET($Q$181:$U$187,i_s7_len*(AR$190-1),0),MATCH($AP197*AR$192,OFFSET($I$181:$I$187,i_s7_len*(AR$190-1),0)),MATCH($AR$175,INDEX($J$177:$N$178,1+INDEX(ia_s8_s7,AR$190,1),0)))</f>
        <v>0.87592003768474347</v>
      </c>
      <c r="AS197" cm="1">
        <f t="array" aca="1" ref="AS197" ca="1">INDEX(OFFSET($Q$181:$U$187,i_s7_len*(AS$190-1),0),MATCH($AP197*AS$192,OFFSET($I$181:$I$187,i_s7_len*(AS$190-1),0)),MATCH($AR$175,INDEX($J$177:$N$178,1+INDEX(ia_s8_s7,AS$190,1),0)))</f>
        <v>1</v>
      </c>
      <c r="AT197" cm="1">
        <f t="array" aca="1" ref="AT197" ca="1">INDEX(OFFSET($Q$181:$U$187,i_s7_len*(AT$190-1),0),MATCH($AP197*AT$192,OFFSET($I$181:$I$187,i_s7_len*(AT$190-1),0)),MATCH($AR$175,INDEX($J$177:$N$178,1+INDEX(ia_s8_s7,AT$190,1),0)))</f>
        <v>1</v>
      </c>
      <c r="AU197" cm="1">
        <f t="array" aca="1" ref="AU197" ca="1">INDEX(OFFSET($Q$181:$U$187,i_s7_len*(AU$190-1),0),MATCH($AP197*AU$192,OFFSET($I$181:$I$187,i_s7_len*(AU$190-1),0)),MATCH($AR$175,INDEX($J$177:$N$178,1+INDEX(ia_s8_s7,AU$190,1),0)))</f>
        <v>0.875</v>
      </c>
      <c r="AV197" cm="1">
        <f t="array" aca="1" ref="AV197" ca="1">INDEX(OFFSET($Q$181:$U$187,i_s7_len*(AV$190-1),0),MATCH($AP197*AV$192,OFFSET($I$181:$I$187,i_s7_len*(AV$190-1),0)),MATCH($AR$175,INDEX($J$177:$N$178,1+INDEX(ia_s8_s7,AV$190,1),0)))</f>
        <v>1</v>
      </c>
      <c r="AW197" cm="1">
        <f t="array" aca="1" ref="AW197" ca="1">INDEX(OFFSET($Q$181:$U$187,i_s7_len*(AW$190-1),0),MATCH($AP197*AW$192,OFFSET($I$181:$I$187,i_s7_len*(AW$190-1),0)),MATCH($AR$175,INDEX($J$177:$N$178,1+INDEX(ia_s8_s7,AW$190,1),0)))</f>
        <v>1</v>
      </c>
      <c r="AX197" cm="1">
        <f t="array" aca="1" ref="AX197" ca="1">INDEX(OFFSET($Q$181:$U$187,i_s7_len*(AX$190-1),0),MATCH($AP197*AX$192,OFFSET($I$181:$I$187,i_s7_len*(AX$190-1),0)),MATCH($AR$175,INDEX($J$177:$N$178,1+INDEX(ia_s8_s7,AX$190,1),0)))</f>
        <v>1</v>
      </c>
    </row>
    <row r="198" spans="1:50"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7">
        <v>3</v>
      </c>
      <c r="K198" s="468">
        <v>5</v>
      </c>
      <c r="L198" s="468">
        <v>5</v>
      </c>
      <c r="M198" s="468">
        <v>5</v>
      </c>
      <c r="N198" s="469">
        <v>3</v>
      </c>
      <c r="O198" s="466">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3"/>
      <c r="AI198" s="57"/>
      <c r="AJ198" s="45"/>
      <c r="AK198" s="45"/>
      <c r="AL198" s="45"/>
      <c r="AM198" s="459"/>
      <c r="AN198" s="459"/>
      <c r="AP198" s="180">
        <v>55</v>
      </c>
      <c r="AQ198" cm="1">
        <f t="array" aca="1" ref="AQ198" ca="1">INDEX(OFFSET($Q$181:$U$187,i_s7_len*(AQ$190-1),0),MATCH($AP198*AQ$192,OFFSET($I$181:$I$187,i_s7_len*(AQ$190-1),0)),MATCH($AR$175,INDEX($J$177:$N$178,1+INDEX(ia_s8_s7,AQ$190,1),0)))</f>
        <v>1</v>
      </c>
      <c r="AR198" cm="1">
        <f t="array" aca="1" ref="AR198" ca="1">INDEX(OFFSET($Q$181:$U$187,i_s7_len*(AR$190-1),0),MATCH($AP198*AR$192,OFFSET($I$181:$I$187,i_s7_len*(AR$190-1),0)),MATCH($AR$175,INDEX($J$177:$N$178,1+INDEX(ia_s8_s7,AR$190,1),0)))</f>
        <v>0.87592003768474347</v>
      </c>
      <c r="AS198" cm="1">
        <f t="array" aca="1" ref="AS198" ca="1">INDEX(OFFSET($Q$181:$U$187,i_s7_len*(AS$190-1),0),MATCH($AP198*AS$192,OFFSET($I$181:$I$187,i_s7_len*(AS$190-1),0)),MATCH($AR$175,INDEX($J$177:$N$178,1+INDEX(ia_s8_s7,AS$190,1),0)))</f>
        <v>1</v>
      </c>
      <c r="AT198" cm="1">
        <f t="array" aca="1" ref="AT198" ca="1">INDEX(OFFSET($Q$181:$U$187,i_s7_len*(AT$190-1),0),MATCH($AP198*AT$192,OFFSET($I$181:$I$187,i_s7_len*(AT$190-1),0)),MATCH($AR$175,INDEX($J$177:$N$178,1+INDEX(ia_s8_s7,AT$190,1),0)))</f>
        <v>1</v>
      </c>
      <c r="AU198" cm="1">
        <f t="array" aca="1" ref="AU198" ca="1">INDEX(OFFSET($Q$181:$U$187,i_s7_len*(AU$190-1),0),MATCH($AP198*AU$192,OFFSET($I$181:$I$187,i_s7_len*(AU$190-1),0)),MATCH($AR$175,INDEX($J$177:$N$178,1+INDEX(ia_s8_s7,AU$190,1),0)))</f>
        <v>0.91666666666666663</v>
      </c>
      <c r="AV198" cm="1">
        <f t="array" aca="1" ref="AV198" ca="1">INDEX(OFFSET($Q$181:$U$187,i_s7_len*(AV$190-1),0),MATCH($AP198*AV$192,OFFSET($I$181:$I$187,i_s7_len*(AV$190-1),0)),MATCH($AR$175,INDEX($J$177:$N$178,1+INDEX(ia_s8_s7,AV$190,1),0)))</f>
        <v>1</v>
      </c>
      <c r="AW198" cm="1">
        <f t="array" aca="1" ref="AW198" ca="1">INDEX(OFFSET($Q$181:$U$187,i_s7_len*(AW$190-1),0),MATCH($AP198*AW$192,OFFSET($I$181:$I$187,i_s7_len*(AW$190-1),0)),MATCH($AR$175,INDEX($J$177:$N$178,1+INDEX(ia_s8_s7,AW$190,1),0)))</f>
        <v>1</v>
      </c>
      <c r="AX198" cm="1">
        <f t="array" aca="1" ref="AX198" ca="1">INDEX(OFFSET($Q$181:$U$187,i_s7_len*(AX$190-1),0),MATCH($AP198*AX$192,OFFSET($I$181:$I$187,i_s7_len*(AX$190-1),0)),MATCH($AR$175,INDEX($J$177:$N$178,1+INDEX(ia_s8_s7,AX$190,1),0)))</f>
        <v>1</v>
      </c>
    </row>
    <row r="199" spans="1:50" outlineLevel="3" x14ac:dyDescent="0.25">
      <c r="A199" s="45"/>
      <c r="B199" s="54"/>
      <c r="C199" s="87">
        <f t="shared" si="51"/>
        <v>4</v>
      </c>
      <c r="D199" s="73"/>
      <c r="E199" s="70"/>
      <c r="F199" s="70">
        <f t="shared" si="48"/>
        <v>2</v>
      </c>
      <c r="G199" s="73"/>
      <c r="H199" s="97" t="s">
        <v>2669</v>
      </c>
      <c r="I199" s="180">
        <v>18.100000000000001</v>
      </c>
      <c r="J199" s="467">
        <v>4.5</v>
      </c>
      <c r="K199" s="468">
        <v>5.6</v>
      </c>
      <c r="L199" s="468">
        <v>5.6</v>
      </c>
      <c r="M199" s="468">
        <v>5.6</v>
      </c>
      <c r="N199" s="469">
        <v>4.5</v>
      </c>
      <c r="O199" s="466">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3"/>
      <c r="AI199" s="57"/>
      <c r="AJ199" s="45"/>
      <c r="AK199" s="45"/>
      <c r="AL199" s="45"/>
      <c r="AM199" s="459"/>
      <c r="AN199" s="459"/>
      <c r="AP199" s="180">
        <v>60</v>
      </c>
      <c r="AQ199" cm="1">
        <f t="array" aca="1" ref="AQ199" ca="1">INDEX(OFFSET($Q$181:$U$187,i_s7_len*(AQ$190-1),0),MATCH($AP199*AQ$192,OFFSET($I$181:$I$187,i_s7_len*(AQ$190-1),0)),MATCH($AR$175,INDEX($J$177:$N$178,1+INDEX(ia_s8_s7,AQ$190,1),0)))</f>
        <v>1</v>
      </c>
      <c r="AR199" cm="1">
        <f t="array" aca="1" ref="AR199" ca="1">INDEX(OFFSET($Q$181:$U$187,i_s7_len*(AR$190-1),0),MATCH($AP199*AR$192,OFFSET($I$181:$I$187,i_s7_len*(AR$190-1),0)),MATCH($AR$175,INDEX($J$177:$N$178,1+INDEX(ia_s8_s7,AR$190,1),0)))</f>
        <v>0.87592003768474347</v>
      </c>
      <c r="AS199" cm="1">
        <f t="array" aca="1" ref="AS199" ca="1">INDEX(OFFSET($Q$181:$U$187,i_s7_len*(AS$190-1),0),MATCH($AP199*AS$192,OFFSET($I$181:$I$187,i_s7_len*(AS$190-1),0)),MATCH($AR$175,INDEX($J$177:$N$178,1+INDEX(ia_s8_s7,AS$190,1),0)))</f>
        <v>1</v>
      </c>
      <c r="AT199" cm="1">
        <f t="array" aca="1" ref="AT199" ca="1">INDEX(OFFSET($Q$181:$U$187,i_s7_len*(AT$190-1),0),MATCH($AP199*AT$192,OFFSET($I$181:$I$187,i_s7_len*(AT$190-1),0)),MATCH($AR$175,INDEX($J$177:$N$178,1+INDEX(ia_s8_s7,AT$190,1),0)))</f>
        <v>1</v>
      </c>
      <c r="AU199" cm="1">
        <f t="array" aca="1" ref="AU199" ca="1">INDEX(OFFSET($Q$181:$U$187,i_s7_len*(AU$190-1),0),MATCH($AP199*AU$192,OFFSET($I$181:$I$187,i_s7_len*(AU$190-1),0)),MATCH($AR$175,INDEX($J$177:$N$178,1+INDEX(ia_s8_s7,AU$190,1),0)))</f>
        <v>1</v>
      </c>
      <c r="AV199" cm="1">
        <f t="array" aca="1" ref="AV199" ca="1">INDEX(OFFSET($Q$181:$U$187,i_s7_len*(AV$190-1),0),MATCH($AP199*AV$192,OFFSET($I$181:$I$187,i_s7_len*(AV$190-1),0)),MATCH($AR$175,INDEX($J$177:$N$178,1+INDEX(ia_s8_s7,AV$190,1),0)))</f>
        <v>1</v>
      </c>
      <c r="AW199" cm="1">
        <f t="array" aca="1" ref="AW199" ca="1">INDEX(OFFSET($Q$181:$U$187,i_s7_len*(AW$190-1),0),MATCH($AP199*AW$192,OFFSET($I$181:$I$187,i_s7_len*(AW$190-1),0)),MATCH($AR$175,INDEX($J$177:$N$178,1+INDEX(ia_s8_s7,AW$190,1),0)))</f>
        <v>1</v>
      </c>
      <c r="AX199" cm="1">
        <f t="array" aca="1" ref="AX199" ca="1">INDEX(OFFSET($Q$181:$U$187,i_s7_len*(AX$190-1),0),MATCH($AP199*AX$192,OFFSET($I$181:$I$187,i_s7_len*(AX$190-1),0)),MATCH($AR$175,INDEX($J$177:$N$178,1+INDEX(ia_s8_s7,AX$190,1),0)))</f>
        <v>1</v>
      </c>
    </row>
    <row r="200" spans="1:50" outlineLevel="3" x14ac:dyDescent="0.25">
      <c r="A200" s="45"/>
      <c r="B200" s="54"/>
      <c r="C200" s="87">
        <f t="shared" si="51"/>
        <v>4</v>
      </c>
      <c r="D200" s="73"/>
      <c r="E200" s="70"/>
      <c r="F200" s="70">
        <f t="shared" si="48"/>
        <v>2</v>
      </c>
      <c r="G200" s="73"/>
      <c r="H200" s="76"/>
      <c r="I200" s="180">
        <v>28.1</v>
      </c>
      <c r="J200" s="467">
        <v>5</v>
      </c>
      <c r="K200" s="468">
        <v>6.4</v>
      </c>
      <c r="L200" s="468">
        <v>6.4</v>
      </c>
      <c r="M200" s="468">
        <v>6.4</v>
      </c>
      <c r="N200" s="469">
        <v>5</v>
      </c>
      <c r="O200" s="466">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3"/>
      <c r="AI200" s="57"/>
      <c r="AJ200" s="45"/>
      <c r="AK200" s="45"/>
      <c r="AL200" s="45"/>
      <c r="AM200" s="459"/>
      <c r="AN200" s="459"/>
      <c r="AP200" s="180">
        <v>65</v>
      </c>
      <c r="AQ200" cm="1">
        <f t="array" aca="1" ref="AQ200" ca="1">INDEX(OFFSET($Q$181:$U$187,i_s7_len*(AQ$190-1),0),MATCH($AP200*AQ$192,OFFSET($I$181:$I$187,i_s7_len*(AQ$190-1),0)),MATCH($AR$175,INDEX($J$177:$N$178,1+INDEX(ia_s8_s7,AQ$190,1),0)))</f>
        <v>0.87592003768474347</v>
      </c>
      <c r="AR200" cm="1">
        <f t="array" aca="1" ref="AR200" ca="1">INDEX(OFFSET($Q$181:$U$187,i_s7_len*(AR$190-1),0),MATCH($AP200*AR$192,OFFSET($I$181:$I$187,i_s7_len*(AR$190-1),0)),MATCH($AR$175,INDEX($J$177:$N$178,1+INDEX(ia_s8_s7,AR$190,1),0)))</f>
        <v>0.87592003768474347</v>
      </c>
      <c r="AS200" cm="1">
        <f t="array" aca="1" ref="AS200" ca="1">INDEX(OFFSET($Q$181:$U$187,i_s7_len*(AS$190-1),0),MATCH($AP200*AS$192,OFFSET($I$181:$I$187,i_s7_len*(AS$190-1),0)),MATCH($AR$175,INDEX($J$177:$N$178,1+INDEX(ia_s8_s7,AS$190,1),0)))</f>
        <v>1</v>
      </c>
      <c r="AT200" cm="1">
        <f t="array" aca="1" ref="AT200" ca="1">INDEX(OFFSET($Q$181:$U$187,i_s7_len*(AT$190-1),0),MATCH($AP200*AT$192,OFFSET($I$181:$I$187,i_s7_len*(AT$190-1),0)),MATCH($AR$175,INDEX($J$177:$N$178,1+INDEX(ia_s8_s7,AT$190,1),0)))</f>
        <v>1</v>
      </c>
      <c r="AU200" cm="1">
        <f t="array" aca="1" ref="AU200" ca="1">INDEX(OFFSET($Q$181:$U$187,i_s7_len*(AU$190-1),0),MATCH($AP200*AU$192,OFFSET($I$181:$I$187,i_s7_len*(AU$190-1),0)),MATCH($AR$175,INDEX($J$177:$N$178,1+INDEX(ia_s8_s7,AU$190,1),0)))</f>
        <v>1</v>
      </c>
      <c r="AV200" cm="1">
        <f t="array" aca="1" ref="AV200" ca="1">INDEX(OFFSET($Q$181:$U$187,i_s7_len*(AV$190-1),0),MATCH($AP200*AV$192,OFFSET($I$181:$I$187,i_s7_len*(AV$190-1),0)),MATCH($AR$175,INDEX($J$177:$N$178,1+INDEX(ia_s8_s7,AV$190,1),0)))</f>
        <v>1</v>
      </c>
      <c r="AW200" cm="1">
        <f t="array" aca="1" ref="AW200" ca="1">INDEX(OFFSET($Q$181:$U$187,i_s7_len*(AW$190-1),0),MATCH($AP200*AW$192,OFFSET($I$181:$I$187,i_s7_len*(AW$190-1),0)),MATCH($AR$175,INDEX($J$177:$N$178,1+INDEX(ia_s8_s7,AW$190,1),0)))</f>
        <v>1</v>
      </c>
      <c r="AX200" cm="1">
        <f t="array" aca="1" ref="AX200" ca="1">INDEX(OFFSET($Q$181:$U$187,i_s7_len*(AX$190-1),0),MATCH($AP200*AX$192,OFFSET($I$181:$I$187,i_s7_len*(AX$190-1),0)),MATCH($AR$175,INDEX($J$177:$N$178,1+INDEX(ia_s8_s7,AX$190,1),0)))</f>
        <v>1</v>
      </c>
    </row>
    <row r="201" spans="1:50" outlineLevel="3" x14ac:dyDescent="0.25">
      <c r="A201" s="45"/>
      <c r="B201" s="54"/>
      <c r="C201" s="87">
        <f t="shared" si="51"/>
        <v>4</v>
      </c>
      <c r="D201" s="73"/>
      <c r="E201" s="70"/>
      <c r="F201" s="70">
        <f t="shared" si="48"/>
        <v>2</v>
      </c>
      <c r="G201" s="73"/>
      <c r="H201" s="76"/>
      <c r="I201" s="180">
        <v>31.1</v>
      </c>
      <c r="J201" s="467">
        <v>4.5999999999999996</v>
      </c>
      <c r="K201" s="468">
        <v>6.2</v>
      </c>
      <c r="L201" s="468">
        <v>6.2</v>
      </c>
      <c r="M201" s="468">
        <v>6.2</v>
      </c>
      <c r="N201" s="469">
        <v>4.5999999999999996</v>
      </c>
      <c r="O201" s="466">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3"/>
      <c r="AI201" s="57"/>
      <c r="AJ201" s="45"/>
      <c r="AK201" s="45"/>
      <c r="AL201" s="45"/>
      <c r="AM201" s="459"/>
      <c r="AN201" s="459"/>
      <c r="AP201" s="180">
        <v>70</v>
      </c>
      <c r="AQ201" cm="1">
        <f t="array" aca="1" ref="AQ201" ca="1">INDEX(OFFSET($Q$181:$U$187,i_s7_len*(AQ$190-1),0),MATCH($AP201*AQ$192,OFFSET($I$181:$I$187,i_s7_len*(AQ$190-1),0)),MATCH($AR$175,INDEX($J$177:$N$178,1+INDEX(ia_s8_s7,AQ$190,1),0)))</f>
        <v>0.87592003768474347</v>
      </c>
      <c r="AR201" cm="1">
        <f t="array" aca="1" ref="AR201" ca="1">INDEX(OFFSET($Q$181:$U$187,i_s7_len*(AR$190-1),0),MATCH($AP201*AR$192,OFFSET($I$181:$I$187,i_s7_len*(AR$190-1),0)),MATCH($AR$175,INDEX($J$177:$N$178,1+INDEX(ia_s8_s7,AR$190,1),0)))</f>
        <v>0.87592003768474347</v>
      </c>
      <c r="AS201" cm="1">
        <f t="array" aca="1" ref="AS201" ca="1">INDEX(OFFSET($Q$181:$U$187,i_s7_len*(AS$190-1),0),MATCH($AP201*AS$192,OFFSET($I$181:$I$187,i_s7_len*(AS$190-1),0)),MATCH($AR$175,INDEX($J$177:$N$178,1+INDEX(ia_s8_s7,AS$190,1),0)))</f>
        <v>0.87592003768474347</v>
      </c>
      <c r="AT201" cm="1">
        <f t="array" aca="1" ref="AT201" ca="1">INDEX(OFFSET($Q$181:$U$187,i_s7_len*(AT$190-1),0),MATCH($AP201*AT$192,OFFSET($I$181:$I$187,i_s7_len*(AT$190-1),0)),MATCH($AR$175,INDEX($J$177:$N$178,1+INDEX(ia_s8_s7,AT$190,1),0)))</f>
        <v>1</v>
      </c>
      <c r="AU201" cm="1">
        <f t="array" aca="1" ref="AU201" ca="1">INDEX(OFFSET($Q$181:$U$187,i_s7_len*(AU$190-1),0),MATCH($AP201*AU$192,OFFSET($I$181:$I$187,i_s7_len*(AU$190-1),0)),MATCH($AR$175,INDEX($J$177:$N$178,1+INDEX(ia_s8_s7,AU$190,1),0)))</f>
        <v>1</v>
      </c>
      <c r="AV201" cm="1">
        <f t="array" aca="1" ref="AV201" ca="1">INDEX(OFFSET($Q$181:$U$187,i_s7_len*(AV$190-1),0),MATCH($AP201*AV$192,OFFSET($I$181:$I$187,i_s7_len*(AV$190-1),0)),MATCH($AR$175,INDEX($J$177:$N$178,1+INDEX(ia_s8_s7,AV$190,1),0)))</f>
        <v>1</v>
      </c>
      <c r="AW201" cm="1">
        <f t="array" aca="1" ref="AW201" ca="1">INDEX(OFFSET($Q$181:$U$187,i_s7_len*(AW$190-1),0),MATCH($AP201*AW$192,OFFSET($I$181:$I$187,i_s7_len*(AW$190-1),0)),MATCH($AR$175,INDEX($J$177:$N$178,1+INDEX(ia_s8_s7,AW$190,1),0)))</f>
        <v>1</v>
      </c>
      <c r="AX201" cm="1">
        <f t="array" aca="1" ref="AX201" ca="1">INDEX(OFFSET($Q$181:$U$187,i_s7_len*(AX$190-1),0),MATCH($AP201*AX$192,OFFSET($I$181:$I$187,i_s7_len*(AX$190-1),0)),MATCH($AR$175,INDEX($J$177:$N$178,1+INDEX(ia_s8_s7,AX$190,1),0)))</f>
        <v>1</v>
      </c>
    </row>
    <row r="202" spans="1:50" outlineLevel="3" x14ac:dyDescent="0.25">
      <c r="A202" s="45"/>
      <c r="B202" s="54"/>
      <c r="C202" s="87">
        <f t="shared" si="51"/>
        <v>4</v>
      </c>
      <c r="D202" s="73"/>
      <c r="E202" s="70"/>
      <c r="F202" s="70">
        <f t="shared" si="48"/>
        <v>2</v>
      </c>
      <c r="G202" s="73"/>
      <c r="H202" s="76"/>
      <c r="I202" s="180">
        <f t="shared" ref="I202" si="52">I201</f>
        <v>31.1</v>
      </c>
      <c r="J202" s="467">
        <v>4</v>
      </c>
      <c r="K202" s="468">
        <v>5.8</v>
      </c>
      <c r="L202" s="468">
        <v>5.8</v>
      </c>
      <c r="M202" s="468">
        <v>5.8</v>
      </c>
      <c r="N202" s="469">
        <v>4</v>
      </c>
      <c r="O202" s="466">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3"/>
      <c r="AI202" s="57"/>
      <c r="AJ202" s="45"/>
      <c r="AK202" s="45"/>
      <c r="AL202" s="45"/>
      <c r="AM202" s="459"/>
      <c r="AN202" s="459"/>
    </row>
    <row r="203" spans="1:50" outlineLevel="3" x14ac:dyDescent="0.25">
      <c r="A203" s="45"/>
      <c r="B203" s="54"/>
      <c r="C203" s="87">
        <f t="shared" si="51"/>
        <v>4</v>
      </c>
      <c r="D203" s="73"/>
      <c r="E203" s="70"/>
      <c r="F203" s="70">
        <f t="shared" si="48"/>
        <v>2</v>
      </c>
      <c r="G203" s="73"/>
      <c r="H203" s="76"/>
      <c r="I203" s="180">
        <f t="shared" ref="I203" si="53">I202</f>
        <v>31.1</v>
      </c>
      <c r="J203" s="470">
        <v>4</v>
      </c>
      <c r="K203" s="471">
        <v>5.4</v>
      </c>
      <c r="L203" s="471">
        <v>5.4</v>
      </c>
      <c r="M203" s="471">
        <v>5.4</v>
      </c>
      <c r="N203" s="472">
        <v>4</v>
      </c>
      <c r="O203" s="466">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3"/>
      <c r="AI203" s="57"/>
      <c r="AJ203" s="45"/>
      <c r="AK203" s="45"/>
      <c r="AL203" s="45"/>
      <c r="AM203" s="459"/>
      <c r="AN203" s="459"/>
      <c r="AQ203">
        <v>1</v>
      </c>
      <c r="AR203">
        <v>2</v>
      </c>
      <c r="AS203">
        <v>3</v>
      </c>
      <c r="AT203">
        <v>4</v>
      </c>
      <c r="AU203">
        <v>5</v>
      </c>
      <c r="AV203">
        <v>6</v>
      </c>
      <c r="AW203">
        <v>7</v>
      </c>
      <c r="AX203">
        <v>8</v>
      </c>
    </row>
    <row r="204" spans="1:50" outlineLevel="3" x14ac:dyDescent="0.25">
      <c r="A204" s="45"/>
      <c r="B204" s="54"/>
      <c r="C204" s="87">
        <f t="shared" si="51"/>
        <v>4</v>
      </c>
      <c r="D204" s="73"/>
      <c r="E204" s="70"/>
      <c r="F204" s="70">
        <f t="shared" si="48"/>
        <v>2</v>
      </c>
      <c r="G204" s="73"/>
      <c r="H204" s="76"/>
      <c r="I204" s="96">
        <v>1000</v>
      </c>
      <c r="J204" s="473">
        <v>0</v>
      </c>
      <c r="K204" s="473">
        <v>0</v>
      </c>
      <c r="L204" s="473">
        <v>0</v>
      </c>
      <c r="M204" s="473">
        <v>0</v>
      </c>
      <c r="N204" s="473">
        <v>0</v>
      </c>
      <c r="O204" s="474">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3"/>
      <c r="AI204" s="57"/>
      <c r="AJ204" s="45"/>
      <c r="AK204" s="45"/>
      <c r="AL204" s="45"/>
      <c r="AM204" s="459"/>
      <c r="AN204" s="459" t="s">
        <v>301</v>
      </c>
      <c r="AQ204" s="457" t="str" cm="1">
        <f t="array" ref="AQ204:AX204">TRANSPOSE(AR166:AR173)</f>
        <v>Lamb grid (0)</v>
      </c>
      <c r="AR204" s="457" t="str">
        <v>empty grid (1)</v>
      </c>
      <c r="AS204" s="457" t="str">
        <v>empty grid (2)</v>
      </c>
      <c r="AT204" s="457" t="str">
        <v>Yearling grid (3)</v>
      </c>
      <c r="AU204" s="457" t="str">
        <v>Export wether grid (4)</v>
      </c>
      <c r="AV204" s="458" t="str">
        <v>Breeder grid (5)</v>
      </c>
      <c r="AW204" s="458" t="str">
        <v>Mutton grid (6)</v>
      </c>
      <c r="AX204" s="458" t="str">
        <v>Ram grid (7)</v>
      </c>
    </row>
    <row r="205" spans="1:50" outlineLevel="2" x14ac:dyDescent="0.25">
      <c r="A205" s="45"/>
      <c r="B205" s="54"/>
      <c r="C205" s="87">
        <f>INT($C$150)+2</f>
        <v>3</v>
      </c>
      <c r="D205" s="73"/>
      <c r="E205" s="70">
        <v>3</v>
      </c>
      <c r="F205" s="70">
        <f>E205</f>
        <v>3</v>
      </c>
      <c r="G205" s="73"/>
      <c r="H205" s="96" t="str">
        <f>INDEX($H$166:$H$173,$E205+1,1)</f>
        <v>Yearling grid (3)</v>
      </c>
      <c r="I205" s="180">
        <f t="shared" ref="I205:N211" si="54">I229</f>
        <v>10.1</v>
      </c>
      <c r="J205" s="463">
        <f t="shared" si="54"/>
        <v>3</v>
      </c>
      <c r="K205" s="464">
        <f t="shared" si="54"/>
        <v>3</v>
      </c>
      <c r="L205" s="464">
        <f t="shared" si="54"/>
        <v>3</v>
      </c>
      <c r="M205" s="464">
        <f t="shared" si="54"/>
        <v>3</v>
      </c>
      <c r="N205" s="465">
        <f t="shared" si="54"/>
        <v>2</v>
      </c>
      <c r="O205" s="466">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3"/>
      <c r="AI205" s="57"/>
      <c r="AJ205" s="45"/>
      <c r="AK205" s="45"/>
      <c r="AL205" s="45"/>
      <c r="AM205" s="459"/>
      <c r="AN205" s="459"/>
      <c r="AQ205" s="455">
        <v>0.44</v>
      </c>
      <c r="AR205" s="455">
        <v>0.42</v>
      </c>
      <c r="AS205" s="455">
        <v>0.42</v>
      </c>
      <c r="AT205" s="455">
        <v>0.42</v>
      </c>
      <c r="AU205" s="455">
        <v>1</v>
      </c>
      <c r="AV205" s="455">
        <v>1</v>
      </c>
      <c r="AW205" s="455">
        <v>0.42</v>
      </c>
      <c r="AX205" s="455">
        <v>0.42</v>
      </c>
    </row>
    <row r="206" spans="1:50"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7">
        <f t="shared" si="54"/>
        <v>4.4000000000000004</v>
      </c>
      <c r="K206" s="468">
        <f t="shared" si="54"/>
        <v>4.4000000000000004</v>
      </c>
      <c r="L206" s="468">
        <f t="shared" si="54"/>
        <v>4.4000000000000004</v>
      </c>
      <c r="M206" s="468">
        <f t="shared" si="54"/>
        <v>4.4000000000000004</v>
      </c>
      <c r="N206" s="469">
        <f t="shared" si="54"/>
        <v>2</v>
      </c>
      <c r="O206" s="466">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3"/>
      <c r="AI206" s="57"/>
      <c r="AJ206" s="45"/>
      <c r="AK206" s="45"/>
      <c r="AL206" s="45"/>
      <c r="AM206" s="459"/>
      <c r="AN206" s="459"/>
      <c r="AP206" s="180">
        <v>25</v>
      </c>
      <c r="AQ206" cm="1">
        <f t="array" aca="1" ref="AQ206" ca="1">INDEX(OFFSET($X$181:$AB$187,i_s7_len*(AQ$203-1),0),MATCH($AP206*AQ$205,OFFSET($I$181:$I$187,i_s7_len*(AQ$203-1),0)),MATCH($AR$175,INDEX($J$177:$N$178,1+INDEX(ia_s8_s7,AQ$203,1),0)))</f>
        <v>1</v>
      </c>
      <c r="AR206" cm="1">
        <f t="array" aca="1" ref="AR206" ca="1">INDEX(OFFSET($X$181:$AB$187,i_s7_len*(AR$203-1),0),MATCH($AP206*AR$205,OFFSET($I$181:$I$187,i_s7_len*(AR$203-1),0)),MATCH($AR$175,INDEX($J$177:$N$178,1+INDEX(ia_s8_s7,AR$203,1),0)))</f>
        <v>1</v>
      </c>
      <c r="AS206" cm="1">
        <f t="array" aca="1" ref="AS206" ca="1">INDEX(OFFSET($X$181:$AB$187,i_s7_len*(AS$203-1),0),MATCH($AP206*AS$205,OFFSET($I$181:$I$187,i_s7_len*(AS$203-1),0)),MATCH($AR$175,INDEX($J$177:$N$178,1+INDEX(ia_s8_s7,AS$203,1),0)))</f>
        <v>1</v>
      </c>
      <c r="AT206" cm="1">
        <f t="array" aca="1" ref="AT206" ca="1">INDEX(OFFSET($X$181:$AB$187,i_s7_len*(AT$203-1),0),MATCH($AP206*AT$205,OFFSET($I$181:$I$187,i_s7_len*(AT$203-1),0)),MATCH($AR$175,INDEX($J$177:$N$178,1+INDEX(ia_s8_s7,AT$203,1),0)))</f>
        <v>1</v>
      </c>
      <c r="AU206" cm="1">
        <f t="array" aca="1" ref="AU206" ca="1">INDEX(OFFSET($X$181:$AB$187,i_s7_len*(AU$203-1),0),MATCH($AP206*AU$205,OFFSET($I$181:$I$187,i_s7_len*(AU$203-1),0)),MATCH($AR$175,INDEX($J$177:$N$178,1+INDEX(ia_s8_s7,AU$203,1),0)))</f>
        <v>1</v>
      </c>
      <c r="AV206" cm="1">
        <f t="array" aca="1" ref="AV206" ca="1">INDEX(OFFSET($X$181:$AB$187,i_s7_len*(AV$203-1),0),MATCH($AP206*AV$205,OFFSET($I$181:$I$187,i_s7_len*(AV$203-1),0)),MATCH($AR$175,INDEX($J$177:$N$178,1+INDEX(ia_s8_s7,AV$203,1),0)))</f>
        <v>0.93548387096774188</v>
      </c>
      <c r="AW206" cm="1">
        <f t="array" aca="1" ref="AW206" ca="1">INDEX(OFFSET($X$181:$AB$187,i_s7_len*(AW$203-1),0),MATCH($AP206*AW$205,OFFSET($I$181:$I$187,i_s7_len*(AW$203-1),0)),MATCH($AR$175,INDEX($J$177:$N$178,1+INDEX(ia_s8_s7,AW$203,1),0)))</f>
        <v>1</v>
      </c>
      <c r="AX206" cm="1">
        <f t="array" aca="1" ref="AX206" ca="1">INDEX(OFFSET($X$181:$AB$187,i_s7_len*(AX$203-1),0),MATCH($AP206*AX$205,OFFSET($I$181:$I$187,i_s7_len*(AX$203-1),0)),MATCH($AR$175,INDEX($J$177:$N$178,1+INDEX(ia_s8_s7,AX$203,1),0)))</f>
        <v>0.70710678118654757</v>
      </c>
    </row>
    <row r="207" spans="1:50" outlineLevel="3" x14ac:dyDescent="0.25">
      <c r="A207" s="45"/>
      <c r="B207" s="54"/>
      <c r="C207" s="87">
        <f t="shared" si="55"/>
        <v>4</v>
      </c>
      <c r="D207" s="73"/>
      <c r="E207" s="70"/>
      <c r="F207" s="70">
        <f t="shared" si="48"/>
        <v>3</v>
      </c>
      <c r="G207" s="73"/>
      <c r="H207" s="186" t="s">
        <v>303</v>
      </c>
      <c r="I207" s="180">
        <f t="shared" si="54"/>
        <v>18.100000000000001</v>
      </c>
      <c r="J207" s="467">
        <f t="shared" si="54"/>
        <v>5</v>
      </c>
      <c r="K207" s="468">
        <f t="shared" si="54"/>
        <v>5.2</v>
      </c>
      <c r="L207" s="468">
        <f t="shared" si="54"/>
        <v>5.2</v>
      </c>
      <c r="M207" s="468">
        <f t="shared" si="54"/>
        <v>5.2</v>
      </c>
      <c r="N207" s="469">
        <f t="shared" si="54"/>
        <v>4</v>
      </c>
      <c r="O207" s="466">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3"/>
      <c r="AI207" s="57"/>
      <c r="AJ207" s="45"/>
      <c r="AK207" s="45"/>
      <c r="AL207" s="45"/>
      <c r="AM207" s="459"/>
      <c r="AN207" s="459"/>
      <c r="AP207" s="180">
        <v>35</v>
      </c>
      <c r="AQ207" cm="1">
        <f t="array" aca="1" ref="AQ207" ca="1">INDEX(OFFSET($X$181:$AB$187,i_s7_len*(AQ$203-1),0),MATCH($AP207*AQ$205,OFFSET($I$181:$I$187,i_s7_len*(AQ$203-1),0)),MATCH($AR$175,INDEX($J$177:$N$178,1+INDEX(ia_s8_s7,AQ$203,1),0)))</f>
        <v>1</v>
      </c>
      <c r="AR207" cm="1">
        <f t="array" aca="1" ref="AR207" ca="1">INDEX(OFFSET($X$181:$AB$187,i_s7_len*(AR$203-1),0),MATCH($AP207*AR$205,OFFSET($I$181:$I$187,i_s7_len*(AR$203-1),0)),MATCH($AR$175,INDEX($J$177:$N$178,1+INDEX(ia_s8_s7,AR$203,1),0)))</f>
        <v>1</v>
      </c>
      <c r="AS207" cm="1">
        <f t="array" aca="1" ref="AS207" ca="1">INDEX(OFFSET($X$181:$AB$187,i_s7_len*(AS$203-1),0),MATCH($AP207*AS$205,OFFSET($I$181:$I$187,i_s7_len*(AS$203-1),0)),MATCH($AR$175,INDEX($J$177:$N$178,1+INDEX(ia_s8_s7,AS$203,1),0)))</f>
        <v>1</v>
      </c>
      <c r="AT207" cm="1">
        <f t="array" aca="1" ref="AT207" ca="1">INDEX(OFFSET($X$181:$AB$187,i_s7_len*(AT$203-1),0),MATCH($AP207*AT$205,OFFSET($I$181:$I$187,i_s7_len*(AT$203-1),0)),MATCH($AR$175,INDEX($J$177:$N$178,1+INDEX(ia_s8_s7,AT$203,1),0)))</f>
        <v>1</v>
      </c>
      <c r="AU207" cm="1">
        <f t="array" aca="1" ref="AU207" ca="1">INDEX(OFFSET($X$181:$AB$187,i_s7_len*(AU$203-1),0),MATCH($AP207*AU$205,OFFSET($I$181:$I$187,i_s7_len*(AU$203-1),0)),MATCH($AR$175,INDEX($J$177:$N$178,1+INDEX(ia_s8_s7,AU$203,1),0)))</f>
        <v>1</v>
      </c>
      <c r="AV207" cm="1">
        <f t="array" aca="1" ref="AV207" ca="1">INDEX(OFFSET($X$181:$AB$187,i_s7_len*(AV$203-1),0),MATCH($AP207*AV$205,OFFSET($I$181:$I$187,i_s7_len*(AV$203-1),0)),MATCH($AR$175,INDEX($J$177:$N$178,1+INDEX(ia_s8_s7,AV$203,1),0)))</f>
        <v>0.93548387096774188</v>
      </c>
      <c r="AW207" cm="1">
        <f t="array" aca="1" ref="AW207" ca="1">INDEX(OFFSET($X$181:$AB$187,i_s7_len*(AW$203-1),0),MATCH($AP207*AW$205,OFFSET($I$181:$I$187,i_s7_len*(AW$203-1),0)),MATCH($AR$175,INDEX($J$177:$N$178,1+INDEX(ia_s8_s7,AW$203,1),0)))</f>
        <v>1</v>
      </c>
      <c r="AX207" cm="1">
        <f t="array" aca="1" ref="AX207" ca="1">INDEX(OFFSET($X$181:$AB$187,i_s7_len*(AX$203-1),0),MATCH($AP207*AX$205,OFFSET($I$181:$I$187,i_s7_len*(AX$203-1),0)),MATCH($AR$175,INDEX($J$177:$N$178,1+INDEX(ia_s8_s7,AX$203,1),0)))</f>
        <v>0.70710678118654757</v>
      </c>
    </row>
    <row r="208" spans="1:50" outlineLevel="3" x14ac:dyDescent="0.25">
      <c r="A208" s="45"/>
      <c r="B208" s="54"/>
      <c r="C208" s="87">
        <f t="shared" si="55"/>
        <v>4</v>
      </c>
      <c r="D208" s="73"/>
      <c r="E208" s="70"/>
      <c r="F208" s="70">
        <f t="shared" si="48"/>
        <v>3</v>
      </c>
      <c r="G208" s="73"/>
      <c r="H208" s="76"/>
      <c r="I208" s="180">
        <f t="shared" si="54"/>
        <v>35.1</v>
      </c>
      <c r="J208" s="467">
        <f t="shared" si="54"/>
        <v>4.5</v>
      </c>
      <c r="K208" s="468">
        <f t="shared" si="54"/>
        <v>4.9000000000000004</v>
      </c>
      <c r="L208" s="468">
        <f t="shared" si="54"/>
        <v>4.9000000000000004</v>
      </c>
      <c r="M208" s="468">
        <f t="shared" si="54"/>
        <v>4.9000000000000004</v>
      </c>
      <c r="N208" s="469">
        <f t="shared" si="54"/>
        <v>4</v>
      </c>
      <c r="O208" s="466">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3"/>
      <c r="AI208" s="57"/>
      <c r="AJ208" s="45"/>
      <c r="AK208" s="45"/>
      <c r="AL208" s="45"/>
      <c r="AM208" s="459"/>
      <c r="AN208" s="459"/>
      <c r="AP208" s="180">
        <v>40</v>
      </c>
      <c r="AQ208" cm="1">
        <f t="array" aca="1" ref="AQ208" ca="1">INDEX(OFFSET($X$181:$AB$187,i_s7_len*(AQ$203-1),0),MATCH($AP208*AQ$205,OFFSET($I$181:$I$187,i_s7_len*(AQ$203-1),0)),MATCH($AR$175,INDEX($J$177:$N$178,1+INDEX(ia_s8_s7,AQ$203,1),0)))</f>
        <v>1</v>
      </c>
      <c r="AR208" cm="1">
        <f t="array" aca="1" ref="AR208" ca="1">INDEX(OFFSET($X$181:$AB$187,i_s7_len*(AR$203-1),0),MATCH($AP208*AR$205,OFFSET($I$181:$I$187,i_s7_len*(AR$203-1),0)),MATCH($AR$175,INDEX($J$177:$N$178,1+INDEX(ia_s8_s7,AR$203,1),0)))</f>
        <v>1</v>
      </c>
      <c r="AS208" cm="1">
        <f t="array" aca="1" ref="AS208" ca="1">INDEX(OFFSET($X$181:$AB$187,i_s7_len*(AS$203-1),0),MATCH($AP208*AS$205,OFFSET($I$181:$I$187,i_s7_len*(AS$203-1),0)),MATCH($AR$175,INDEX($J$177:$N$178,1+INDEX(ia_s8_s7,AS$203,1),0)))</f>
        <v>1</v>
      </c>
      <c r="AT208" cm="1">
        <f t="array" aca="1" ref="AT208" ca="1">INDEX(OFFSET($X$181:$AB$187,i_s7_len*(AT$203-1),0),MATCH($AP208*AT$205,OFFSET($I$181:$I$187,i_s7_len*(AT$203-1),0)),MATCH($AR$175,INDEX($J$177:$N$178,1+INDEX(ia_s8_s7,AT$203,1),0)))</f>
        <v>1</v>
      </c>
      <c r="AU208" cm="1">
        <f t="array" aca="1" ref="AU208" ca="1">INDEX(OFFSET($X$181:$AB$187,i_s7_len*(AU$203-1),0),MATCH($AP208*AU$205,OFFSET($I$181:$I$187,i_s7_len*(AU$203-1),0)),MATCH($AR$175,INDEX($J$177:$N$178,1+INDEX(ia_s8_s7,AU$203,1),0)))</f>
        <v>1</v>
      </c>
      <c r="AV208" cm="1">
        <f t="array" aca="1" ref="AV208" ca="1">INDEX(OFFSET($X$181:$AB$187,i_s7_len*(AV$203-1),0),MATCH($AP208*AV$205,OFFSET($I$181:$I$187,i_s7_len*(AV$203-1),0)),MATCH($AR$175,INDEX($J$177:$N$178,1+INDEX(ia_s8_s7,AV$203,1),0)))</f>
        <v>0.93548387096774188</v>
      </c>
      <c r="AW208" cm="1">
        <f t="array" aca="1" ref="AW208" ca="1">INDEX(OFFSET($X$181:$AB$187,i_s7_len*(AW$203-1),0),MATCH($AP208*AW$205,OFFSET($I$181:$I$187,i_s7_len*(AW$203-1),0)),MATCH($AR$175,INDEX($J$177:$N$178,1+INDEX(ia_s8_s7,AW$203,1),0)))</f>
        <v>1</v>
      </c>
      <c r="AX208" cm="1">
        <f t="array" aca="1" ref="AX208" ca="1">INDEX(OFFSET($X$181:$AB$187,i_s7_len*(AX$203-1),0),MATCH($AP208*AX$205,OFFSET($I$181:$I$187,i_s7_len*(AX$203-1),0)),MATCH($AR$175,INDEX($J$177:$N$178,1+INDEX(ia_s8_s7,AX$203,1),0)))</f>
        <v>0.5</v>
      </c>
    </row>
    <row r="209" spans="1:50" outlineLevel="3" x14ac:dyDescent="0.25">
      <c r="A209" s="45"/>
      <c r="B209" s="54"/>
      <c r="C209" s="87">
        <f t="shared" si="55"/>
        <v>4</v>
      </c>
      <c r="D209" s="73"/>
      <c r="E209" s="70"/>
      <c r="F209" s="70">
        <f t="shared" si="48"/>
        <v>3</v>
      </c>
      <c r="G209" s="73"/>
      <c r="H209" s="76"/>
      <c r="I209" s="180">
        <f t="shared" si="54"/>
        <v>40.1</v>
      </c>
      <c r="J209" s="467">
        <f t="shared" si="54"/>
        <v>4.4000000000000004</v>
      </c>
      <c r="K209" s="468">
        <f t="shared" si="54"/>
        <v>4.5999999999999996</v>
      </c>
      <c r="L209" s="468">
        <f t="shared" si="54"/>
        <v>4.5999999999999996</v>
      </c>
      <c r="M209" s="468">
        <f t="shared" si="54"/>
        <v>4.5999999999999996</v>
      </c>
      <c r="N209" s="469">
        <f t="shared" si="54"/>
        <v>4</v>
      </c>
      <c r="O209" s="466">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3"/>
      <c r="AI209" s="57"/>
      <c r="AJ209" s="45"/>
      <c r="AK209" s="45"/>
      <c r="AL209" s="45"/>
      <c r="AM209" s="459"/>
      <c r="AN209" s="459"/>
      <c r="AP209" s="180">
        <v>45</v>
      </c>
      <c r="AQ209" cm="1">
        <f t="array" aca="1" ref="AQ209" ca="1">INDEX(OFFSET($X$181:$AB$187,i_s7_len*(AQ$203-1),0),MATCH($AP209*AQ$205,OFFSET($I$181:$I$187,i_s7_len*(AQ$203-1),0)),MATCH($AR$175,INDEX($J$177:$N$178,1+INDEX(ia_s8_s7,AQ$203,1),0)))</f>
        <v>1</v>
      </c>
      <c r="AR209" cm="1">
        <f t="array" aca="1" ref="AR209" ca="1">INDEX(OFFSET($X$181:$AB$187,i_s7_len*(AR$203-1),0),MATCH($AP209*AR$205,OFFSET($I$181:$I$187,i_s7_len*(AR$203-1),0)),MATCH($AR$175,INDEX($J$177:$N$178,1+INDEX(ia_s8_s7,AR$203,1),0)))</f>
        <v>1</v>
      </c>
      <c r="AS209" cm="1">
        <f t="array" aca="1" ref="AS209" ca="1">INDEX(OFFSET($X$181:$AB$187,i_s7_len*(AS$203-1),0),MATCH($AP209*AS$205,OFFSET($I$181:$I$187,i_s7_len*(AS$203-1),0)),MATCH($AR$175,INDEX($J$177:$N$178,1+INDEX(ia_s8_s7,AS$203,1),0)))</f>
        <v>1</v>
      </c>
      <c r="AT209" cm="1">
        <f t="array" aca="1" ref="AT209" ca="1">INDEX(OFFSET($X$181:$AB$187,i_s7_len*(AT$203-1),0),MATCH($AP209*AT$205,OFFSET($I$181:$I$187,i_s7_len*(AT$203-1),0)),MATCH($AR$175,INDEX($J$177:$N$178,1+INDEX(ia_s8_s7,AT$203,1),0)))</f>
        <v>1</v>
      </c>
      <c r="AU209" cm="1">
        <f t="array" aca="1" ref="AU209" ca="1">INDEX(OFFSET($X$181:$AB$187,i_s7_len*(AU$203-1),0),MATCH($AP209*AU$205,OFFSET($I$181:$I$187,i_s7_len*(AU$203-1),0)),MATCH($AR$175,INDEX($J$177:$N$178,1+INDEX(ia_s8_s7,AU$203,1),0)))</f>
        <v>1</v>
      </c>
      <c r="AV209" cm="1">
        <f t="array" aca="1" ref="AV209" ca="1">INDEX(OFFSET($X$181:$AB$187,i_s7_len*(AV$203-1),0),MATCH($AP209*AV$205,OFFSET($I$181:$I$187,i_s7_len*(AV$203-1),0)),MATCH($AR$175,INDEX($J$177:$N$178,1+INDEX(ia_s8_s7,AV$203,1),0)))</f>
        <v>0.93548387096774188</v>
      </c>
      <c r="AW209" cm="1">
        <f t="array" aca="1" ref="AW209" ca="1">INDEX(OFFSET($X$181:$AB$187,i_s7_len*(AW$203-1),0),MATCH($AP209*AW$205,OFFSET($I$181:$I$187,i_s7_len*(AW$203-1),0)),MATCH($AR$175,INDEX($J$177:$N$178,1+INDEX(ia_s8_s7,AW$203,1),0)))</f>
        <v>1</v>
      </c>
      <c r="AX209" cm="1">
        <f t="array" aca="1" ref="AX209" ca="1">INDEX(OFFSET($X$181:$AB$187,i_s7_len*(AX$203-1),0),MATCH($AP209*AX$205,OFFSET($I$181:$I$187,i_s7_len*(AX$203-1),0)),MATCH($AR$175,INDEX($J$177:$N$178,1+INDEX(ia_s8_s7,AX$203,1),0)))</f>
        <v>0.5</v>
      </c>
    </row>
    <row r="210" spans="1:50" outlineLevel="3" x14ac:dyDescent="0.25">
      <c r="A210" s="45"/>
      <c r="B210" s="54"/>
      <c r="C210" s="87">
        <f t="shared" si="55"/>
        <v>4</v>
      </c>
      <c r="D210" s="73"/>
      <c r="E210" s="70"/>
      <c r="F210" s="70">
        <f t="shared" si="48"/>
        <v>3</v>
      </c>
      <c r="G210" s="73"/>
      <c r="H210" s="76"/>
      <c r="I210" s="180">
        <f t="shared" si="54"/>
        <v>45.1</v>
      </c>
      <c r="J210" s="467">
        <f t="shared" si="54"/>
        <v>4</v>
      </c>
      <c r="K210" s="468">
        <f t="shared" si="54"/>
        <v>4</v>
      </c>
      <c r="L210" s="468">
        <f t="shared" si="54"/>
        <v>4</v>
      </c>
      <c r="M210" s="468">
        <f t="shared" si="54"/>
        <v>4</v>
      </c>
      <c r="N210" s="469">
        <f t="shared" si="54"/>
        <v>4</v>
      </c>
      <c r="O210" s="466">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3"/>
      <c r="AI210" s="57"/>
      <c r="AJ210" s="45"/>
      <c r="AK210" s="45"/>
      <c r="AL210" s="45"/>
      <c r="AM210" s="459"/>
      <c r="AN210" s="459"/>
      <c r="AP210" s="180">
        <v>50</v>
      </c>
      <c r="AQ210" cm="1">
        <f t="array" aca="1" ref="AQ210" ca="1">INDEX(OFFSET($X$181:$AB$187,i_s7_len*(AQ$203-1),0),MATCH($AP210*AQ$205,OFFSET($I$181:$I$187,i_s7_len*(AQ$203-1),0)),MATCH($AR$175,INDEX($J$177:$N$178,1+INDEX(ia_s8_s7,AQ$203,1),0)))</f>
        <v>1</v>
      </c>
      <c r="AR210" cm="1">
        <f t="array" aca="1" ref="AR210" ca="1">INDEX(OFFSET($X$181:$AB$187,i_s7_len*(AR$203-1),0),MATCH($AP210*AR$205,OFFSET($I$181:$I$187,i_s7_len*(AR$203-1),0)),MATCH($AR$175,INDEX($J$177:$N$178,1+INDEX(ia_s8_s7,AR$203,1),0)))</f>
        <v>1</v>
      </c>
      <c r="AS210" cm="1">
        <f t="array" aca="1" ref="AS210" ca="1">INDEX(OFFSET($X$181:$AB$187,i_s7_len*(AS$203-1),0),MATCH($AP210*AS$205,OFFSET($I$181:$I$187,i_s7_len*(AS$203-1),0)),MATCH($AR$175,INDEX($J$177:$N$178,1+INDEX(ia_s8_s7,AS$203,1),0)))</f>
        <v>1</v>
      </c>
      <c r="AT210" cm="1">
        <f t="array" aca="1" ref="AT210" ca="1">INDEX(OFFSET($X$181:$AB$187,i_s7_len*(AT$203-1),0),MATCH($AP210*AT$205,OFFSET($I$181:$I$187,i_s7_len*(AT$203-1),0)),MATCH($AR$175,INDEX($J$177:$N$178,1+INDEX(ia_s8_s7,AT$203,1),0)))</f>
        <v>1</v>
      </c>
      <c r="AU210" cm="1">
        <f t="array" aca="1" ref="AU210" ca="1">INDEX(OFFSET($X$181:$AB$187,i_s7_len*(AU$203-1),0),MATCH($AP210*AU$205,OFFSET($I$181:$I$187,i_s7_len*(AU$203-1),0)),MATCH($AR$175,INDEX($J$177:$N$178,1+INDEX(ia_s8_s7,AU$203,1),0)))</f>
        <v>1</v>
      </c>
      <c r="AV210" cm="1">
        <f t="array" aca="1" ref="AV210" ca="1">INDEX(OFFSET($X$181:$AB$187,i_s7_len*(AV$203-1),0),MATCH($AP210*AV$205,OFFSET($I$181:$I$187,i_s7_len*(AV$203-1),0)),MATCH($AR$175,INDEX($J$177:$N$178,1+INDEX(ia_s8_s7,AV$203,1),0)))</f>
        <v>0.93548387096774188</v>
      </c>
      <c r="AW210" cm="1">
        <f t="array" aca="1" ref="AW210" ca="1">INDEX(OFFSET($X$181:$AB$187,i_s7_len*(AW$203-1),0),MATCH($AP210*AW$205,OFFSET($I$181:$I$187,i_s7_len*(AW$203-1),0)),MATCH($AR$175,INDEX($J$177:$N$178,1+INDEX(ia_s8_s7,AW$203,1),0)))</f>
        <v>1</v>
      </c>
      <c r="AX210" cm="1">
        <f t="array" aca="1" ref="AX210" ca="1">INDEX(OFFSET($X$181:$AB$187,i_s7_len*(AX$203-1),0),MATCH($AP210*AX$205,OFFSET($I$181:$I$187,i_s7_len*(AX$203-1),0)),MATCH($AR$175,INDEX($J$177:$N$178,1+INDEX(ia_s8_s7,AX$203,1),0)))</f>
        <v>0.5</v>
      </c>
    </row>
    <row r="211" spans="1:50" outlineLevel="3" x14ac:dyDescent="0.25">
      <c r="A211" s="45"/>
      <c r="B211" s="54"/>
      <c r="C211" s="87">
        <f t="shared" si="55"/>
        <v>4</v>
      </c>
      <c r="D211" s="73"/>
      <c r="E211" s="70"/>
      <c r="F211" s="70">
        <f t="shared" si="48"/>
        <v>3</v>
      </c>
      <c r="G211" s="73"/>
      <c r="H211" s="76"/>
      <c r="I211" s="180">
        <f t="shared" si="54"/>
        <v>45.1</v>
      </c>
      <c r="J211" s="470">
        <f t="shared" si="54"/>
        <v>4</v>
      </c>
      <c r="K211" s="471">
        <f t="shared" si="54"/>
        <v>4</v>
      </c>
      <c r="L211" s="471">
        <f t="shared" si="54"/>
        <v>4</v>
      </c>
      <c r="M211" s="471">
        <f t="shared" si="54"/>
        <v>4</v>
      </c>
      <c r="N211" s="472">
        <f t="shared" si="54"/>
        <v>4</v>
      </c>
      <c r="O211" s="466">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3"/>
      <c r="AI211" s="57"/>
      <c r="AJ211" s="45"/>
      <c r="AK211" s="45"/>
      <c r="AL211" s="45"/>
      <c r="AM211" s="459"/>
      <c r="AN211" s="459"/>
      <c r="AP211" s="180">
        <v>55</v>
      </c>
      <c r="AQ211" cm="1">
        <f t="array" aca="1" ref="AQ211" ca="1">INDEX(OFFSET($X$181:$AB$187,i_s7_len*(AQ$203-1),0),MATCH($AP211*AQ$205,OFFSET($I$181:$I$187,i_s7_len*(AQ$203-1),0)),MATCH($AR$175,INDEX($J$177:$N$178,1+INDEX(ia_s8_s7,AQ$203,1),0)))</f>
        <v>1</v>
      </c>
      <c r="AR211" cm="1">
        <f t="array" aca="1" ref="AR211" ca="1">INDEX(OFFSET($X$181:$AB$187,i_s7_len*(AR$203-1),0),MATCH($AP211*AR$205,OFFSET($I$181:$I$187,i_s7_len*(AR$203-1),0)),MATCH($AR$175,INDEX($J$177:$N$178,1+INDEX(ia_s8_s7,AR$203,1),0)))</f>
        <v>1</v>
      </c>
      <c r="AS211" cm="1">
        <f t="array" aca="1" ref="AS211" ca="1">INDEX(OFFSET($X$181:$AB$187,i_s7_len*(AS$203-1),0),MATCH($AP211*AS$205,OFFSET($I$181:$I$187,i_s7_len*(AS$203-1),0)),MATCH($AR$175,INDEX($J$177:$N$178,1+INDEX(ia_s8_s7,AS$203,1),0)))</f>
        <v>1</v>
      </c>
      <c r="AT211" cm="1">
        <f t="array" aca="1" ref="AT211" ca="1">INDEX(OFFSET($X$181:$AB$187,i_s7_len*(AT$203-1),0),MATCH($AP211*AT$205,OFFSET($I$181:$I$187,i_s7_len*(AT$203-1),0)),MATCH($AR$175,INDEX($J$177:$N$178,1+INDEX(ia_s8_s7,AT$203,1),0)))</f>
        <v>1</v>
      </c>
      <c r="AU211" cm="1">
        <f t="array" aca="1" ref="AU211" ca="1">INDEX(OFFSET($X$181:$AB$187,i_s7_len*(AU$203-1),0),MATCH($AP211*AU$205,OFFSET($I$181:$I$187,i_s7_len*(AU$203-1),0)),MATCH($AR$175,INDEX($J$177:$N$178,1+INDEX(ia_s8_s7,AU$203,1),0)))</f>
        <v>1</v>
      </c>
      <c r="AV211" cm="1">
        <f t="array" aca="1" ref="AV211" ca="1">INDEX(OFFSET($X$181:$AB$187,i_s7_len*(AV$203-1),0),MATCH($AP211*AV$205,OFFSET($I$181:$I$187,i_s7_len*(AV$203-1),0)),MATCH($AR$175,INDEX($J$177:$N$178,1+INDEX(ia_s8_s7,AV$203,1),0)))</f>
        <v>0.93548387096774188</v>
      </c>
      <c r="AW211" cm="1">
        <f t="array" aca="1" ref="AW211" ca="1">INDEX(OFFSET($X$181:$AB$187,i_s7_len*(AW$203-1),0),MATCH($AP211*AW$205,OFFSET($I$181:$I$187,i_s7_len*(AW$203-1),0)),MATCH($AR$175,INDEX($J$177:$N$178,1+INDEX(ia_s8_s7,AW$203,1),0)))</f>
        <v>1</v>
      </c>
      <c r="AX211" cm="1">
        <f t="array" aca="1" ref="AX211" ca="1">INDEX(OFFSET($X$181:$AB$187,i_s7_len*(AX$203-1),0),MATCH($AP211*AX$205,OFFSET($I$181:$I$187,i_s7_len*(AX$203-1),0)),MATCH($AR$175,INDEX($J$177:$N$178,1+INDEX(ia_s8_s7,AX$203,1),0)))</f>
        <v>0.5</v>
      </c>
    </row>
    <row r="212" spans="1:50" outlineLevel="3" x14ac:dyDescent="0.25">
      <c r="A212" s="45"/>
      <c r="B212" s="54"/>
      <c r="C212" s="87">
        <f t="shared" si="55"/>
        <v>4</v>
      </c>
      <c r="D212" s="73"/>
      <c r="E212" s="70"/>
      <c r="F212" s="70">
        <f t="shared" si="48"/>
        <v>3</v>
      </c>
      <c r="G212" s="73"/>
      <c r="H212" s="76"/>
      <c r="I212" s="96">
        <v>1000</v>
      </c>
      <c r="J212" s="473">
        <v>0</v>
      </c>
      <c r="K212" s="473">
        <v>0</v>
      </c>
      <c r="L212" s="473">
        <v>0</v>
      </c>
      <c r="M212" s="473">
        <v>0</v>
      </c>
      <c r="N212" s="473">
        <v>0</v>
      </c>
      <c r="O212" s="474">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3"/>
      <c r="AI212" s="57"/>
      <c r="AJ212" s="45"/>
      <c r="AK212" s="45"/>
      <c r="AL212" s="45"/>
      <c r="AM212" s="459"/>
      <c r="AN212" s="459"/>
      <c r="AP212" s="180">
        <v>60</v>
      </c>
      <c r="AQ212" cm="1">
        <f t="array" aca="1" ref="AQ212" ca="1">INDEX(OFFSET($X$181:$AB$187,i_s7_len*(AQ$203-1),0),MATCH($AP212*AQ$205,OFFSET($I$181:$I$187,i_s7_len*(AQ$203-1),0)),MATCH($AR$175,INDEX($J$177:$N$178,1+INDEX(ia_s8_s7,AQ$203,1),0)))</f>
        <v>1</v>
      </c>
      <c r="AR212" cm="1">
        <f t="array" aca="1" ref="AR212" ca="1">INDEX(OFFSET($X$181:$AB$187,i_s7_len*(AR$203-1),0),MATCH($AP212*AR$205,OFFSET($I$181:$I$187,i_s7_len*(AR$203-1),0)),MATCH($AR$175,INDEX($J$177:$N$178,1+INDEX(ia_s8_s7,AR$203,1),0)))</f>
        <v>1</v>
      </c>
      <c r="AS212" cm="1">
        <f t="array" aca="1" ref="AS212" ca="1">INDEX(OFFSET($X$181:$AB$187,i_s7_len*(AS$203-1),0),MATCH($AP212*AS$205,OFFSET($I$181:$I$187,i_s7_len*(AS$203-1),0)),MATCH($AR$175,INDEX($J$177:$N$178,1+INDEX(ia_s8_s7,AS$203,1),0)))</f>
        <v>1</v>
      </c>
      <c r="AT212" cm="1">
        <f t="array" aca="1" ref="AT212" ca="1">INDEX(OFFSET($X$181:$AB$187,i_s7_len*(AT$203-1),0),MATCH($AP212*AT$205,OFFSET($I$181:$I$187,i_s7_len*(AT$203-1),0)),MATCH($AR$175,INDEX($J$177:$N$178,1+INDEX(ia_s8_s7,AT$203,1),0)))</f>
        <v>1</v>
      </c>
      <c r="AU212" cm="1">
        <f t="array" aca="1" ref="AU212" ca="1">INDEX(OFFSET($X$181:$AB$187,i_s7_len*(AU$203-1),0),MATCH($AP212*AU$205,OFFSET($I$181:$I$187,i_s7_len*(AU$203-1),0)),MATCH($AR$175,INDEX($J$177:$N$178,1+INDEX(ia_s8_s7,AU$203,1),0)))</f>
        <v>1</v>
      </c>
      <c r="AV212" cm="1">
        <f t="array" aca="1" ref="AV212" ca="1">INDEX(OFFSET($X$181:$AB$187,i_s7_len*(AV$203-1),0),MATCH($AP212*AV$205,OFFSET($I$181:$I$187,i_s7_len*(AV$203-1),0)),MATCH($AR$175,INDEX($J$177:$N$178,1+INDEX(ia_s8_s7,AV$203,1),0)))</f>
        <v>0.93548387096774188</v>
      </c>
      <c r="AW212" cm="1">
        <f t="array" aca="1" ref="AW212" ca="1">INDEX(OFFSET($X$181:$AB$187,i_s7_len*(AW$203-1),0),MATCH($AP212*AW$205,OFFSET($I$181:$I$187,i_s7_len*(AW$203-1),0)),MATCH($AR$175,INDEX($J$177:$N$178,1+INDEX(ia_s8_s7,AW$203,1),0)))</f>
        <v>1</v>
      </c>
      <c r="AX212" cm="1">
        <f t="array" aca="1" ref="AX212" ca="1">INDEX(OFFSET($X$181:$AB$187,i_s7_len*(AX$203-1),0),MATCH($AP212*AX$205,OFFSET($I$181:$I$187,i_s7_len*(AX$203-1),0)),MATCH($AR$175,INDEX($J$177:$N$178,1+INDEX(ia_s8_s7,AX$203,1),0)))</f>
        <v>0.5</v>
      </c>
    </row>
    <row r="213" spans="1:50" outlineLevel="2" x14ac:dyDescent="0.25">
      <c r="A213" s="45"/>
      <c r="B213" s="54"/>
      <c r="C213" s="87">
        <f>INT($C$150)+2</f>
        <v>3</v>
      </c>
      <c r="D213" s="73"/>
      <c r="E213" s="70">
        <v>4</v>
      </c>
      <c r="F213" s="70">
        <f>E213</f>
        <v>4</v>
      </c>
      <c r="G213" s="73"/>
      <c r="H213" s="96" t="str">
        <f>INDEX($H$166:$H$173,$E213+1,1)</f>
        <v>Export wether grid (4)</v>
      </c>
      <c r="I213" s="180">
        <v>25</v>
      </c>
      <c r="J213" s="475">
        <v>26.194567913996277</v>
      </c>
      <c r="K213" s="476">
        <v>26.194567913996277</v>
      </c>
      <c r="L213" s="476">
        <v>26.194567913996277</v>
      </c>
      <c r="M213" s="476">
        <v>26.194567913996277</v>
      </c>
      <c r="N213" s="477">
        <v>17.463045275997519</v>
      </c>
      <c r="O213" s="466">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3"/>
      <c r="AI213" s="57"/>
      <c r="AJ213" s="45"/>
      <c r="AK213" s="45"/>
      <c r="AL213" s="45"/>
      <c r="AM213" s="459"/>
      <c r="AN213" s="459"/>
      <c r="AP213" s="180">
        <v>65</v>
      </c>
      <c r="AQ213" cm="1">
        <f t="array" aca="1" ref="AQ213" ca="1">INDEX(OFFSET($X$181:$AB$187,i_s7_len*(AQ$203-1),0),MATCH($AP213*AQ$205,OFFSET($I$181:$I$187,i_s7_len*(AQ$203-1),0)),MATCH($AR$175,INDEX($J$177:$N$178,1+INDEX(ia_s8_s7,AQ$203,1),0)))</f>
        <v>1</v>
      </c>
      <c r="AR213" cm="1">
        <f t="array" aca="1" ref="AR213" ca="1">INDEX(OFFSET($X$181:$AB$187,i_s7_len*(AR$203-1),0),MATCH($AP213*AR$205,OFFSET($I$181:$I$187,i_s7_len*(AR$203-1),0)),MATCH($AR$175,INDEX($J$177:$N$178,1+INDEX(ia_s8_s7,AR$203,1),0)))</f>
        <v>1</v>
      </c>
      <c r="AS213" cm="1">
        <f t="array" aca="1" ref="AS213" ca="1">INDEX(OFFSET($X$181:$AB$187,i_s7_len*(AS$203-1),0),MATCH($AP213*AS$205,OFFSET($I$181:$I$187,i_s7_len*(AS$203-1),0)),MATCH($AR$175,INDEX($J$177:$N$178,1+INDEX(ia_s8_s7,AS$203,1),0)))</f>
        <v>1</v>
      </c>
      <c r="AT213" cm="1">
        <f t="array" aca="1" ref="AT213" ca="1">INDEX(OFFSET($X$181:$AB$187,i_s7_len*(AT$203-1),0),MATCH($AP213*AT$205,OFFSET($I$181:$I$187,i_s7_len*(AT$203-1),0)),MATCH($AR$175,INDEX($J$177:$N$178,1+INDEX(ia_s8_s7,AT$203,1),0)))</f>
        <v>1</v>
      </c>
      <c r="AU213" cm="1">
        <f t="array" aca="1" ref="AU213" ca="1">INDEX(OFFSET($X$181:$AB$187,i_s7_len*(AU$203-1),0),MATCH($AP213*AU$205,OFFSET($I$181:$I$187,i_s7_len*(AU$203-1),0)),MATCH($AR$175,INDEX($J$177:$N$178,1+INDEX(ia_s8_s7,AU$203,1),0)))</f>
        <v>1</v>
      </c>
      <c r="AV213" cm="1">
        <f t="array" aca="1" ref="AV213" ca="1">INDEX(OFFSET($X$181:$AB$187,i_s7_len*(AV$203-1),0),MATCH($AP213*AV$205,OFFSET($I$181:$I$187,i_s7_len*(AV$203-1),0)),MATCH($AR$175,INDEX($J$177:$N$178,1+INDEX(ia_s8_s7,AV$203,1),0)))</f>
        <v>0.93548387096774188</v>
      </c>
      <c r="AW213" cm="1">
        <f t="array" aca="1" ref="AW213" ca="1">INDEX(OFFSET($X$181:$AB$187,i_s7_len*(AW$203-1),0),MATCH($AP213*AW$205,OFFSET($I$181:$I$187,i_s7_len*(AW$203-1),0)),MATCH($AR$175,INDEX($J$177:$N$178,1+INDEX(ia_s8_s7,AW$203,1),0)))</f>
        <v>1</v>
      </c>
      <c r="AX213" cm="1">
        <f t="array" aca="1" ref="AX213" ca="1">INDEX(OFFSET($X$181:$AB$187,i_s7_len*(AX$203-1),0),MATCH($AP213*AX$205,OFFSET($I$181:$I$187,i_s7_len*(AX$203-1),0)),MATCH($AR$175,INDEX($J$177:$N$178,1+INDEX(ia_s8_s7,AX$203,1),0)))</f>
        <v>0.5</v>
      </c>
    </row>
    <row r="214" spans="1:50"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8">
        <v>53.786179450072368</v>
      </c>
      <c r="K214" s="479">
        <v>53.786179450072368</v>
      </c>
      <c r="L214" s="479">
        <v>53.786179450072368</v>
      </c>
      <c r="M214" s="468">
        <v>84</v>
      </c>
      <c r="N214" s="469">
        <v>84</v>
      </c>
      <c r="O214" s="466">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3"/>
      <c r="AI214" s="57"/>
      <c r="AJ214" s="45"/>
      <c r="AK214" s="45"/>
      <c r="AL214" s="45"/>
      <c r="AM214" s="459"/>
      <c r="AN214" s="459"/>
      <c r="AP214" s="180">
        <v>70</v>
      </c>
      <c r="AQ214" cm="1">
        <f t="array" aca="1" ref="AQ214" ca="1">INDEX(OFFSET($X$181:$AB$187,i_s7_len*(AQ$203-1),0),MATCH($AP214*AQ$205,OFFSET($I$181:$I$187,i_s7_len*(AQ$203-1),0)),MATCH($AR$175,INDEX($J$177:$N$178,1+INDEX(ia_s8_s7,AQ$203,1),0)))</f>
        <v>1</v>
      </c>
      <c r="AR214" cm="1">
        <f t="array" aca="1" ref="AR214" ca="1">INDEX(OFFSET($X$181:$AB$187,i_s7_len*(AR$203-1),0),MATCH($AP214*AR$205,OFFSET($I$181:$I$187,i_s7_len*(AR$203-1),0)),MATCH($AR$175,INDEX($J$177:$N$178,1+INDEX(ia_s8_s7,AR$203,1),0)))</f>
        <v>1</v>
      </c>
      <c r="AS214" cm="1">
        <f t="array" aca="1" ref="AS214" ca="1">INDEX(OFFSET($X$181:$AB$187,i_s7_len*(AS$203-1),0),MATCH($AP214*AS$205,OFFSET($I$181:$I$187,i_s7_len*(AS$203-1),0)),MATCH($AR$175,INDEX($J$177:$N$178,1+INDEX(ia_s8_s7,AS$203,1),0)))</f>
        <v>1</v>
      </c>
      <c r="AT214" cm="1">
        <f t="array" aca="1" ref="AT214" ca="1">INDEX(OFFSET($X$181:$AB$187,i_s7_len*(AT$203-1),0),MATCH($AP214*AT$205,OFFSET($I$181:$I$187,i_s7_len*(AT$203-1),0)),MATCH($AR$175,INDEX($J$177:$N$178,1+INDEX(ia_s8_s7,AT$203,1),0)))</f>
        <v>1</v>
      </c>
      <c r="AU214" cm="1">
        <f t="array" aca="1" ref="AU214" ca="1">INDEX(OFFSET($X$181:$AB$187,i_s7_len*(AU$203-1),0),MATCH($AP214*AU$205,OFFSET($I$181:$I$187,i_s7_len*(AU$203-1),0)),MATCH($AR$175,INDEX($J$177:$N$178,1+INDEX(ia_s8_s7,AU$203,1),0)))</f>
        <v>1</v>
      </c>
      <c r="AV214" cm="1">
        <f t="array" aca="1" ref="AV214" ca="1">INDEX(OFFSET($X$181:$AB$187,i_s7_len*(AV$203-1),0),MATCH($AP214*AV$205,OFFSET($I$181:$I$187,i_s7_len*(AV$203-1),0)),MATCH($AR$175,INDEX($J$177:$N$178,1+INDEX(ia_s8_s7,AV$203,1),0)))</f>
        <v>0.93548387096774188</v>
      </c>
      <c r="AW214" cm="1">
        <f t="array" aca="1" ref="AW214" ca="1">INDEX(OFFSET($X$181:$AB$187,i_s7_len*(AW$203-1),0),MATCH($AP214*AW$205,OFFSET($I$181:$I$187,i_s7_len*(AW$203-1),0)),MATCH($AR$175,INDEX($J$177:$N$178,1+INDEX(ia_s8_s7,AW$203,1),0)))</f>
        <v>1</v>
      </c>
      <c r="AX214" cm="1">
        <f t="array" aca="1" ref="AX214" ca="1">INDEX(OFFSET($X$181:$AB$187,i_s7_len*(AX$203-1),0),MATCH($AP214*AX$205,OFFSET($I$181:$I$187,i_s7_len*(AX$203-1),0)),MATCH($AR$175,INDEX($J$177:$N$178,1+INDEX(ia_s8_s7,AX$203,1),0)))</f>
        <v>0.5</v>
      </c>
    </row>
    <row r="215" spans="1:50" outlineLevel="3" x14ac:dyDescent="0.25">
      <c r="A215" s="45"/>
      <c r="B215" s="54"/>
      <c r="C215" s="87">
        <f t="shared" si="56"/>
        <v>4</v>
      </c>
      <c r="D215" s="73"/>
      <c r="E215" s="70"/>
      <c r="F215" s="70">
        <f t="shared" si="48"/>
        <v>4</v>
      </c>
      <c r="G215" s="73"/>
      <c r="H215" s="97" t="s">
        <v>304</v>
      </c>
      <c r="I215" s="180">
        <v>40</v>
      </c>
      <c r="J215" s="480">
        <v>69.852181103990077</v>
      </c>
      <c r="K215" s="481">
        <v>72.64626834814969</v>
      </c>
      <c r="L215" s="481">
        <v>72.64626834814969</v>
      </c>
      <c r="M215" s="468">
        <v>92</v>
      </c>
      <c r="N215" s="469">
        <v>92</v>
      </c>
      <c r="O215" s="466">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3"/>
      <c r="AI215" s="57"/>
      <c r="AJ215" s="45"/>
      <c r="AK215" s="45"/>
      <c r="AL215" s="45"/>
      <c r="AM215" s="459"/>
      <c r="AN215" s="459"/>
    </row>
    <row r="216" spans="1:50" outlineLevel="3" x14ac:dyDescent="0.25">
      <c r="A216" s="45"/>
      <c r="B216" s="54"/>
      <c r="C216" s="87">
        <f t="shared" si="56"/>
        <v>4</v>
      </c>
      <c r="D216" s="73"/>
      <c r="E216" s="70"/>
      <c r="F216" s="70">
        <f t="shared" si="48"/>
        <v>4</v>
      </c>
      <c r="G216" s="73"/>
      <c r="H216" s="97" t="s">
        <v>2670</v>
      </c>
      <c r="I216" s="180">
        <v>45</v>
      </c>
      <c r="J216" s="480">
        <v>78.583703741988842</v>
      </c>
      <c r="K216" s="481">
        <v>81.727051891668395</v>
      </c>
      <c r="L216" s="481">
        <v>81.727051891668395</v>
      </c>
      <c r="M216" s="468">
        <v>99.000000000000014</v>
      </c>
      <c r="N216" s="469">
        <v>99.000000000000014</v>
      </c>
      <c r="O216" s="466">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3"/>
      <c r="AI216" s="57"/>
      <c r="AJ216" s="45"/>
      <c r="AK216" s="45"/>
      <c r="AL216" s="45"/>
      <c r="AM216" s="459"/>
      <c r="AN216" s="459"/>
    </row>
    <row r="217" spans="1:50" outlineLevel="3" x14ac:dyDescent="0.25">
      <c r="A217" s="45"/>
      <c r="B217" s="54"/>
      <c r="C217" s="87">
        <f t="shared" si="56"/>
        <v>4</v>
      </c>
      <c r="D217" s="73"/>
      <c r="E217" s="70"/>
      <c r="F217" s="70">
        <f t="shared" si="48"/>
        <v>4</v>
      </c>
      <c r="G217" s="73"/>
      <c r="H217" s="76"/>
      <c r="I217" s="180">
        <v>50</v>
      </c>
      <c r="J217" s="480">
        <v>87.315226379987593</v>
      </c>
      <c r="K217" s="481">
        <v>90.807835435187116</v>
      </c>
      <c r="L217" s="481">
        <v>90.807835435187116</v>
      </c>
      <c r="M217" s="468">
        <v>105</v>
      </c>
      <c r="N217" s="469">
        <v>105</v>
      </c>
      <c r="O217" s="466">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3"/>
      <c r="AI217" s="57"/>
      <c r="AJ217" s="45"/>
      <c r="AK217" s="45"/>
      <c r="AL217" s="45"/>
      <c r="AM217" s="459"/>
      <c r="AN217" s="459"/>
    </row>
    <row r="218" spans="1:50" outlineLevel="3" x14ac:dyDescent="0.25">
      <c r="A218" s="45"/>
      <c r="B218" s="54"/>
      <c r="C218" s="87">
        <f t="shared" si="56"/>
        <v>4</v>
      </c>
      <c r="D218" s="73"/>
      <c r="E218" s="70"/>
      <c r="F218" s="70">
        <f t="shared" si="48"/>
        <v>4</v>
      </c>
      <c r="G218" s="73"/>
      <c r="H218" s="76"/>
      <c r="I218" s="180">
        <v>55</v>
      </c>
      <c r="J218" s="480">
        <v>96.046749017986357</v>
      </c>
      <c r="K218" s="481">
        <v>99.888618978705821</v>
      </c>
      <c r="L218" s="481">
        <v>99.888618978705821</v>
      </c>
      <c r="M218" s="468">
        <v>110</v>
      </c>
      <c r="N218" s="469">
        <v>110</v>
      </c>
      <c r="O218" s="466">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3"/>
      <c r="AI218" s="57"/>
      <c r="AJ218" s="45"/>
      <c r="AK218" s="45"/>
      <c r="AL218" s="45"/>
      <c r="AM218" s="459"/>
      <c r="AN218" s="459"/>
    </row>
    <row r="219" spans="1:50" outlineLevel="3" x14ac:dyDescent="0.25">
      <c r="A219" s="45"/>
      <c r="B219" s="54"/>
      <c r="C219" s="87">
        <f t="shared" si="56"/>
        <v>4</v>
      </c>
      <c r="D219" s="73"/>
      <c r="E219" s="70"/>
      <c r="F219" s="70">
        <f t="shared" si="48"/>
        <v>4</v>
      </c>
      <c r="G219" s="73"/>
      <c r="H219" s="76"/>
      <c r="I219" s="180">
        <v>60</v>
      </c>
      <c r="J219" s="482">
        <v>104.77827165598511</v>
      </c>
      <c r="K219" s="483">
        <v>108.96940252222453</v>
      </c>
      <c r="L219" s="483">
        <v>108.96940252222453</v>
      </c>
      <c r="M219" s="471">
        <v>120</v>
      </c>
      <c r="N219" s="472">
        <v>120</v>
      </c>
      <c r="O219" s="466">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3"/>
      <c r="AI219" s="57"/>
      <c r="AJ219" s="45"/>
      <c r="AK219" s="45"/>
      <c r="AL219" s="45"/>
      <c r="AM219" s="459"/>
      <c r="AN219" s="459"/>
    </row>
    <row r="220" spans="1:50" outlineLevel="3" x14ac:dyDescent="0.25">
      <c r="A220" s="45"/>
      <c r="B220" s="54"/>
      <c r="C220" s="87">
        <f t="shared" si="56"/>
        <v>4</v>
      </c>
      <c r="D220" s="73"/>
      <c r="E220" s="70"/>
      <c r="F220" s="70">
        <f t="shared" si="48"/>
        <v>4</v>
      </c>
      <c r="G220" s="73"/>
      <c r="H220" s="76"/>
      <c r="I220" s="96">
        <v>1000</v>
      </c>
      <c r="J220" s="473">
        <v>0</v>
      </c>
      <c r="K220" s="473">
        <v>0</v>
      </c>
      <c r="L220" s="473">
        <v>0</v>
      </c>
      <c r="M220" s="473">
        <v>0</v>
      </c>
      <c r="N220" s="473">
        <v>0</v>
      </c>
      <c r="O220" s="474">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3"/>
      <c r="AI220" s="57"/>
      <c r="AJ220" s="45"/>
      <c r="AK220" s="45"/>
      <c r="AL220" s="45"/>
      <c r="AM220" s="459"/>
      <c r="AN220" s="459"/>
    </row>
    <row r="221" spans="1:50" outlineLevel="2" x14ac:dyDescent="0.25">
      <c r="A221" s="45"/>
      <c r="B221" s="54"/>
      <c r="C221" s="87">
        <f>INT($C$150)+2</f>
        <v>3</v>
      </c>
      <c r="D221" s="73"/>
      <c r="E221" s="70">
        <v>5</v>
      </c>
      <c r="F221" s="70">
        <f>E221</f>
        <v>5</v>
      </c>
      <c r="G221" s="73"/>
      <c r="H221" s="96" t="str">
        <f>INDEX($H$166:$H$173,$E221+1,1)</f>
        <v>Breeder grid (5)</v>
      </c>
      <c r="I221" s="180">
        <f>I229/0.43</f>
        <v>23.488372093023255</v>
      </c>
      <c r="J221" s="475">
        <v>23.516900971676659</v>
      </c>
      <c r="K221" s="476">
        <v>23.516900971676659</v>
      </c>
      <c r="L221" s="464">
        <v>130</v>
      </c>
      <c r="M221" s="464">
        <v>145</v>
      </c>
      <c r="N221" s="465">
        <v>155</v>
      </c>
      <c r="O221" s="466">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3"/>
      <c r="AI221" s="57"/>
      <c r="AJ221" s="45"/>
      <c r="AK221" s="45"/>
      <c r="AL221" s="45"/>
      <c r="AM221" s="459"/>
      <c r="AN221" s="459"/>
    </row>
    <row r="222" spans="1:50"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8">
        <v>48.151436841017158</v>
      </c>
      <c r="K222" s="479">
        <v>48.151436841017158</v>
      </c>
      <c r="L222" s="468">
        <v>130</v>
      </c>
      <c r="M222" s="468">
        <v>145</v>
      </c>
      <c r="N222" s="469">
        <v>155</v>
      </c>
      <c r="O222" s="466">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3"/>
      <c r="AI222" s="57"/>
      <c r="AJ222" s="45"/>
      <c r="AK222" s="45"/>
      <c r="AL222" s="45"/>
      <c r="AM222" s="459"/>
      <c r="AN222" s="459"/>
    </row>
    <row r="223" spans="1:50" outlineLevel="3" x14ac:dyDescent="0.25">
      <c r="A223" s="45"/>
      <c r="B223" s="54"/>
      <c r="C223" s="87">
        <f t="shared" si="58"/>
        <v>4</v>
      </c>
      <c r="D223" s="73"/>
      <c r="E223" s="70"/>
      <c r="F223" s="70">
        <f t="shared" si="48"/>
        <v>5</v>
      </c>
      <c r="G223" s="73"/>
      <c r="H223" s="97" t="s">
        <v>305</v>
      </c>
      <c r="I223" s="180">
        <v>40</v>
      </c>
      <c r="J223" s="480">
        <v>66.747639721590517</v>
      </c>
      <c r="K223" s="481">
        <v>69.417545310454145</v>
      </c>
      <c r="L223" s="468">
        <v>130</v>
      </c>
      <c r="M223" s="468">
        <v>145</v>
      </c>
      <c r="N223" s="469">
        <v>155</v>
      </c>
      <c r="O223" s="466">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3"/>
      <c r="AI223" s="57"/>
      <c r="AJ223" s="45"/>
      <c r="AK223" s="45"/>
      <c r="AL223" s="45"/>
      <c r="AM223" s="459"/>
      <c r="AN223" s="459"/>
    </row>
    <row r="224" spans="1:50" outlineLevel="3" x14ac:dyDescent="0.25">
      <c r="A224" s="45"/>
      <c r="B224" s="54"/>
      <c r="C224" s="87">
        <f t="shared" si="58"/>
        <v>4</v>
      </c>
      <c r="D224" s="73"/>
      <c r="E224" s="70"/>
      <c r="F224" s="70">
        <f t="shared" si="48"/>
        <v>5</v>
      </c>
      <c r="G224" s="73"/>
      <c r="H224" s="97" t="s">
        <v>2671</v>
      </c>
      <c r="I224" s="180">
        <f t="shared" ref="I224:I227" si="59">I223</f>
        <v>40</v>
      </c>
      <c r="J224" s="480">
        <v>66.747639721590517</v>
      </c>
      <c r="K224" s="481">
        <v>69.417545310454145</v>
      </c>
      <c r="L224" s="468">
        <v>130</v>
      </c>
      <c r="M224" s="468">
        <v>145</v>
      </c>
      <c r="N224" s="469">
        <v>155</v>
      </c>
      <c r="O224" s="466">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3"/>
      <c r="AI224" s="57"/>
      <c r="AJ224" s="45"/>
      <c r="AK224" s="45"/>
      <c r="AL224" s="45"/>
      <c r="AM224" s="459"/>
      <c r="AN224" s="459"/>
    </row>
    <row r="225" spans="1:40" outlineLevel="3" x14ac:dyDescent="0.25">
      <c r="A225" s="45"/>
      <c r="B225" s="54"/>
      <c r="C225" s="87">
        <f t="shared" si="58"/>
        <v>4</v>
      </c>
      <c r="D225" s="73"/>
      <c r="E225" s="70"/>
      <c r="F225" s="70">
        <f t="shared" si="48"/>
        <v>5</v>
      </c>
      <c r="G225" s="73"/>
      <c r="H225" s="76"/>
      <c r="I225" s="180">
        <f t="shared" si="59"/>
        <v>40</v>
      </c>
      <c r="J225" s="480">
        <v>66.747639721590517</v>
      </c>
      <c r="K225" s="481">
        <v>69.417545310454145</v>
      </c>
      <c r="L225" s="468">
        <v>130</v>
      </c>
      <c r="M225" s="468">
        <v>145</v>
      </c>
      <c r="N225" s="469">
        <v>155</v>
      </c>
      <c r="O225" s="466">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3"/>
      <c r="AI225" s="57"/>
      <c r="AJ225" s="45"/>
      <c r="AK225" s="45"/>
      <c r="AL225" s="45"/>
      <c r="AM225" s="459"/>
      <c r="AN225" s="459"/>
    </row>
    <row r="226" spans="1:40" outlineLevel="3" x14ac:dyDescent="0.25">
      <c r="A226" s="45"/>
      <c r="B226" s="54"/>
      <c r="C226" s="87">
        <f t="shared" si="58"/>
        <v>4</v>
      </c>
      <c r="D226" s="73"/>
      <c r="E226" s="70"/>
      <c r="F226" s="70">
        <f t="shared" si="48"/>
        <v>5</v>
      </c>
      <c r="G226" s="73"/>
      <c r="H226" s="76"/>
      <c r="I226" s="180">
        <f t="shared" si="59"/>
        <v>40</v>
      </c>
      <c r="J226" s="480">
        <v>66.747639721590517</v>
      </c>
      <c r="K226" s="481">
        <v>69.417545310454145</v>
      </c>
      <c r="L226" s="468">
        <v>130</v>
      </c>
      <c r="M226" s="468">
        <v>145</v>
      </c>
      <c r="N226" s="469">
        <v>155</v>
      </c>
      <c r="O226" s="466">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3"/>
      <c r="AI226" s="57"/>
      <c r="AJ226" s="45"/>
      <c r="AK226" s="45"/>
      <c r="AL226" s="45"/>
      <c r="AM226" s="459"/>
      <c r="AN226" s="459"/>
    </row>
    <row r="227" spans="1:40" outlineLevel="3" x14ac:dyDescent="0.25">
      <c r="A227" s="45"/>
      <c r="B227" s="54"/>
      <c r="C227" s="87">
        <f t="shared" si="58"/>
        <v>4</v>
      </c>
      <c r="D227" s="73"/>
      <c r="E227" s="70"/>
      <c r="F227" s="70">
        <f t="shared" si="48"/>
        <v>5</v>
      </c>
      <c r="G227" s="73"/>
      <c r="H227" s="76"/>
      <c r="I227" s="180">
        <f t="shared" si="59"/>
        <v>40</v>
      </c>
      <c r="J227" s="482">
        <v>66.747639721590517</v>
      </c>
      <c r="K227" s="483">
        <v>69.417545310454145</v>
      </c>
      <c r="L227" s="471">
        <v>130</v>
      </c>
      <c r="M227" s="471">
        <v>145</v>
      </c>
      <c r="N227" s="472">
        <v>155</v>
      </c>
      <c r="O227" s="466">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3"/>
      <c r="AI227" s="57"/>
      <c r="AJ227" s="45"/>
      <c r="AK227" s="45"/>
      <c r="AL227" s="45"/>
      <c r="AM227" s="459"/>
      <c r="AN227" s="459"/>
    </row>
    <row r="228" spans="1:40" outlineLevel="3" x14ac:dyDescent="0.25">
      <c r="A228" s="45"/>
      <c r="B228" s="54"/>
      <c r="C228" s="87">
        <f t="shared" si="58"/>
        <v>4</v>
      </c>
      <c r="D228" s="73"/>
      <c r="E228" s="70"/>
      <c r="F228" s="70">
        <f t="shared" si="48"/>
        <v>5</v>
      </c>
      <c r="G228" s="73"/>
      <c r="H228" s="76"/>
      <c r="I228" s="96">
        <v>1000</v>
      </c>
      <c r="J228" s="473">
        <v>0</v>
      </c>
      <c r="K228" s="473">
        <v>0</v>
      </c>
      <c r="L228" s="473">
        <v>0</v>
      </c>
      <c r="M228" s="473">
        <v>0</v>
      </c>
      <c r="N228" s="473">
        <v>0</v>
      </c>
      <c r="O228" s="474">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3"/>
      <c r="AI228" s="57"/>
      <c r="AJ228" s="45"/>
      <c r="AK228" s="45"/>
      <c r="AL228" s="45"/>
      <c r="AM228" s="459"/>
      <c r="AN228" s="459"/>
    </row>
    <row r="229" spans="1:40" outlineLevel="2" x14ac:dyDescent="0.25">
      <c r="A229" s="45"/>
      <c r="B229" s="54"/>
      <c r="C229" s="87">
        <f>INT($C$150)+2</f>
        <v>3</v>
      </c>
      <c r="D229" s="73"/>
      <c r="E229" s="70">
        <v>6</v>
      </c>
      <c r="F229" s="70">
        <f>E229</f>
        <v>6</v>
      </c>
      <c r="G229" s="73"/>
      <c r="H229" s="96" t="str">
        <f>INDEX($H$166:$H$173,$E229+1,1)</f>
        <v>Mutton grid (6)</v>
      </c>
      <c r="I229" s="180">
        <v>10.1</v>
      </c>
      <c r="J229" s="463">
        <v>3</v>
      </c>
      <c r="K229" s="464">
        <v>3</v>
      </c>
      <c r="L229" s="464">
        <v>3</v>
      </c>
      <c r="M229" s="464">
        <v>3</v>
      </c>
      <c r="N229" s="465">
        <v>2</v>
      </c>
      <c r="O229" s="466">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3"/>
      <c r="AI229" s="57"/>
      <c r="AJ229" s="45"/>
      <c r="AK229" s="45"/>
      <c r="AL229" s="45"/>
      <c r="AM229" s="459"/>
      <c r="AN229" s="459"/>
    </row>
    <row r="230" spans="1:40"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7">
        <v>4.4000000000000004</v>
      </c>
      <c r="K230" s="468">
        <v>4.4000000000000004</v>
      </c>
      <c r="L230" s="468">
        <v>4.4000000000000004</v>
      </c>
      <c r="M230" s="468">
        <v>4.4000000000000004</v>
      </c>
      <c r="N230" s="469">
        <v>2</v>
      </c>
      <c r="O230" s="466">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3"/>
      <c r="AI230" s="57"/>
      <c r="AJ230" s="45"/>
      <c r="AK230" s="45"/>
      <c r="AL230" s="45"/>
      <c r="AM230" s="459"/>
      <c r="AN230" s="459"/>
    </row>
    <row r="231" spans="1:40" outlineLevel="3" x14ac:dyDescent="0.25">
      <c r="A231" s="45"/>
      <c r="B231" s="54"/>
      <c r="C231" s="87">
        <f t="shared" si="60"/>
        <v>4</v>
      </c>
      <c r="D231" s="73"/>
      <c r="E231" s="70"/>
      <c r="F231" s="70">
        <f t="shared" si="48"/>
        <v>6</v>
      </c>
      <c r="G231" s="73"/>
      <c r="H231" s="97" t="s">
        <v>306</v>
      </c>
      <c r="I231" s="180">
        <v>18.100000000000001</v>
      </c>
      <c r="J231" s="467">
        <v>5</v>
      </c>
      <c r="K231" s="468">
        <v>5.2</v>
      </c>
      <c r="L231" s="468">
        <v>5.2</v>
      </c>
      <c r="M231" s="468">
        <v>5.2</v>
      </c>
      <c r="N231" s="469">
        <v>4</v>
      </c>
      <c r="O231" s="466">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3"/>
      <c r="AI231" s="57"/>
      <c r="AJ231" s="45"/>
      <c r="AK231" s="45"/>
      <c r="AL231" s="45"/>
      <c r="AM231" s="459"/>
      <c r="AN231" s="459"/>
    </row>
    <row r="232" spans="1:40" outlineLevel="3" x14ac:dyDescent="0.25">
      <c r="A232" s="45"/>
      <c r="B232" s="54"/>
      <c r="C232" s="87">
        <f t="shared" si="60"/>
        <v>4</v>
      </c>
      <c r="D232" s="73"/>
      <c r="E232" s="70"/>
      <c r="F232" s="70">
        <f t="shared" si="48"/>
        <v>6</v>
      </c>
      <c r="G232" s="73"/>
      <c r="H232" s="76"/>
      <c r="I232" s="180">
        <v>35.1</v>
      </c>
      <c r="J232" s="467">
        <v>4.5</v>
      </c>
      <c r="K232" s="468">
        <v>4.9000000000000004</v>
      </c>
      <c r="L232" s="468">
        <v>4.9000000000000004</v>
      </c>
      <c r="M232" s="468">
        <v>4.9000000000000004</v>
      </c>
      <c r="N232" s="469">
        <v>4</v>
      </c>
      <c r="O232" s="466">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3"/>
      <c r="AI232" s="57"/>
      <c r="AJ232" s="45"/>
      <c r="AK232" s="45"/>
      <c r="AL232" s="45"/>
      <c r="AM232" s="459"/>
      <c r="AN232" s="459"/>
    </row>
    <row r="233" spans="1:40" outlineLevel="3" x14ac:dyDescent="0.25">
      <c r="A233" s="45"/>
      <c r="B233" s="54"/>
      <c r="C233" s="87">
        <f t="shared" si="60"/>
        <v>4</v>
      </c>
      <c r="D233" s="73"/>
      <c r="E233" s="70"/>
      <c r="F233" s="70">
        <f t="shared" si="48"/>
        <v>6</v>
      </c>
      <c r="G233" s="73"/>
      <c r="H233" s="76"/>
      <c r="I233" s="180">
        <v>40.1</v>
      </c>
      <c r="J233" s="467">
        <v>4.4000000000000004</v>
      </c>
      <c r="K233" s="468">
        <v>4.5999999999999996</v>
      </c>
      <c r="L233" s="468">
        <v>4.5999999999999996</v>
      </c>
      <c r="M233" s="468">
        <v>4.5999999999999996</v>
      </c>
      <c r="N233" s="469">
        <v>4</v>
      </c>
      <c r="O233" s="466">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3"/>
      <c r="AI233" s="57"/>
      <c r="AJ233" s="45"/>
      <c r="AK233" s="45"/>
      <c r="AL233" s="45"/>
      <c r="AM233" s="459"/>
      <c r="AN233" s="459"/>
    </row>
    <row r="234" spans="1:40" outlineLevel="3" x14ac:dyDescent="0.25">
      <c r="A234" s="45"/>
      <c r="B234" s="54"/>
      <c r="C234" s="87">
        <f t="shared" si="60"/>
        <v>4</v>
      </c>
      <c r="D234" s="73"/>
      <c r="E234" s="70"/>
      <c r="F234" s="70">
        <f t="shared" si="48"/>
        <v>6</v>
      </c>
      <c r="G234" s="73"/>
      <c r="H234" s="76"/>
      <c r="I234" s="180">
        <v>45.1</v>
      </c>
      <c r="J234" s="467">
        <v>4</v>
      </c>
      <c r="K234" s="468">
        <v>4</v>
      </c>
      <c r="L234" s="468">
        <v>4</v>
      </c>
      <c r="M234" s="468">
        <v>4</v>
      </c>
      <c r="N234" s="469">
        <v>4</v>
      </c>
      <c r="O234" s="466">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3"/>
      <c r="AI234" s="57"/>
      <c r="AJ234" s="45"/>
      <c r="AK234" s="45"/>
      <c r="AL234" s="45"/>
      <c r="AM234" s="459"/>
      <c r="AN234" s="459"/>
    </row>
    <row r="235" spans="1:40" outlineLevel="3" x14ac:dyDescent="0.25">
      <c r="A235" s="45"/>
      <c r="B235" s="54"/>
      <c r="C235" s="87">
        <f t="shared" si="60"/>
        <v>4</v>
      </c>
      <c r="D235" s="73"/>
      <c r="E235" s="70"/>
      <c r="F235" s="70">
        <f t="shared" si="48"/>
        <v>6</v>
      </c>
      <c r="G235" s="73"/>
      <c r="H235" s="76"/>
      <c r="I235" s="180">
        <f t="shared" ref="I235:N235" si="61">I234</f>
        <v>45.1</v>
      </c>
      <c r="J235" s="484">
        <f t="shared" si="61"/>
        <v>4</v>
      </c>
      <c r="K235" s="485">
        <f t="shared" si="61"/>
        <v>4</v>
      </c>
      <c r="L235" s="485">
        <f t="shared" si="61"/>
        <v>4</v>
      </c>
      <c r="M235" s="485">
        <f t="shared" si="61"/>
        <v>4</v>
      </c>
      <c r="N235" s="486">
        <f t="shared" si="61"/>
        <v>4</v>
      </c>
      <c r="O235" s="466">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3"/>
      <c r="AI235" s="57"/>
      <c r="AJ235" s="45"/>
      <c r="AK235" s="45"/>
      <c r="AL235" s="45"/>
      <c r="AM235" s="459"/>
      <c r="AN235" s="459"/>
    </row>
    <row r="236" spans="1:40" outlineLevel="3" x14ac:dyDescent="0.25">
      <c r="A236" s="45"/>
      <c r="B236" s="54"/>
      <c r="C236" s="87">
        <f t="shared" si="60"/>
        <v>4</v>
      </c>
      <c r="D236" s="73"/>
      <c r="E236" s="70"/>
      <c r="F236" s="70">
        <f t="shared" si="48"/>
        <v>6</v>
      </c>
      <c r="G236" s="73"/>
      <c r="H236" s="76"/>
      <c r="I236" s="96">
        <v>1000</v>
      </c>
      <c r="J236" s="473">
        <v>0</v>
      </c>
      <c r="K236" s="473">
        <v>0</v>
      </c>
      <c r="L236" s="473">
        <v>0</v>
      </c>
      <c r="M236" s="473">
        <v>0</v>
      </c>
      <c r="N236" s="473">
        <v>0</v>
      </c>
      <c r="O236" s="474">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3"/>
      <c r="AI236" s="57"/>
      <c r="AJ236" s="45"/>
      <c r="AK236" s="45"/>
      <c r="AL236" s="45"/>
      <c r="AM236" s="459"/>
      <c r="AN236" s="459"/>
    </row>
    <row r="237" spans="1:40" outlineLevel="2" x14ac:dyDescent="0.25">
      <c r="A237" s="45"/>
      <c r="B237" s="54"/>
      <c r="C237" s="87">
        <f>INT($C$150)+2</f>
        <v>3</v>
      </c>
      <c r="D237" s="73"/>
      <c r="E237" s="70">
        <v>7</v>
      </c>
      <c r="F237" s="70">
        <f>E237</f>
        <v>7</v>
      </c>
      <c r="G237" s="73"/>
      <c r="H237" s="96" t="str">
        <f>INDEX($H$166:$H$173,$E237+1,1)</f>
        <v>Ram grid (7)</v>
      </c>
      <c r="I237" s="180">
        <v>10</v>
      </c>
      <c r="J237" s="463">
        <v>1</v>
      </c>
      <c r="K237" s="464">
        <v>1</v>
      </c>
      <c r="L237" s="464">
        <v>1</v>
      </c>
      <c r="M237" s="464">
        <v>1</v>
      </c>
      <c r="N237" s="465">
        <v>1</v>
      </c>
      <c r="O237" s="466">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3"/>
      <c r="AI237" s="57"/>
      <c r="AJ237" s="45"/>
      <c r="AK237" s="45"/>
      <c r="AL237" s="45"/>
      <c r="AM237" s="459"/>
      <c r="AN237" s="459"/>
    </row>
    <row r="238" spans="1:40"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7">
        <v>2</v>
      </c>
      <c r="K238" s="468">
        <v>2</v>
      </c>
      <c r="L238" s="468">
        <v>1</v>
      </c>
      <c r="M238" s="468">
        <v>1</v>
      </c>
      <c r="N238" s="469">
        <v>1</v>
      </c>
      <c r="O238" s="466">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3"/>
      <c r="AI238" s="57"/>
      <c r="AJ238" s="45"/>
      <c r="AK238" s="45"/>
      <c r="AL238" s="45"/>
      <c r="AM238" s="459"/>
      <c r="AN238" s="459"/>
    </row>
    <row r="239" spans="1:40" outlineLevel="3" x14ac:dyDescent="0.25">
      <c r="A239" s="45"/>
      <c r="B239" s="54"/>
      <c r="C239" s="87">
        <f t="shared" si="62"/>
        <v>4</v>
      </c>
      <c r="D239" s="73"/>
      <c r="E239" s="70"/>
      <c r="F239" s="70">
        <f t="shared" si="48"/>
        <v>7</v>
      </c>
      <c r="G239" s="73"/>
      <c r="H239" s="97" t="s">
        <v>307</v>
      </c>
      <c r="I239" s="180">
        <v>30</v>
      </c>
      <c r="J239" s="467">
        <v>1</v>
      </c>
      <c r="K239" s="468">
        <v>1</v>
      </c>
      <c r="L239" s="468">
        <v>1</v>
      </c>
      <c r="M239" s="468">
        <v>1</v>
      </c>
      <c r="N239" s="469">
        <v>1</v>
      </c>
      <c r="O239" s="466">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3"/>
      <c r="AI239" s="57"/>
      <c r="AJ239" s="45"/>
      <c r="AK239" s="45"/>
      <c r="AL239" s="45"/>
      <c r="AM239" s="459"/>
      <c r="AN239" s="459"/>
    </row>
    <row r="240" spans="1:40" outlineLevel="3" x14ac:dyDescent="0.25">
      <c r="A240" s="45"/>
      <c r="B240" s="54"/>
      <c r="C240" s="87">
        <f t="shared" si="62"/>
        <v>4</v>
      </c>
      <c r="D240" s="73"/>
      <c r="E240" s="70"/>
      <c r="F240" s="70">
        <f t="shared" si="48"/>
        <v>7</v>
      </c>
      <c r="G240" s="73"/>
      <c r="H240" s="76"/>
      <c r="I240" s="180">
        <f t="shared" ref="I240:N243" si="63">I239</f>
        <v>30</v>
      </c>
      <c r="J240" s="487">
        <f t="shared" si="63"/>
        <v>1</v>
      </c>
      <c r="K240" s="488">
        <f t="shared" si="63"/>
        <v>1</v>
      </c>
      <c r="L240" s="488">
        <f t="shared" si="63"/>
        <v>1</v>
      </c>
      <c r="M240" s="488">
        <f t="shared" si="63"/>
        <v>1</v>
      </c>
      <c r="N240" s="489">
        <f t="shared" si="63"/>
        <v>1</v>
      </c>
      <c r="O240" s="466">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3"/>
      <c r="AI240" s="57"/>
      <c r="AJ240" s="45"/>
      <c r="AK240" s="45"/>
      <c r="AL240" s="45"/>
      <c r="AM240" s="459"/>
      <c r="AN240" s="459"/>
    </row>
    <row r="241" spans="1:40" outlineLevel="3" x14ac:dyDescent="0.25">
      <c r="A241" s="45"/>
      <c r="B241" s="54"/>
      <c r="C241" s="87">
        <f t="shared" si="62"/>
        <v>4</v>
      </c>
      <c r="D241" s="73"/>
      <c r="E241" s="70"/>
      <c r="F241" s="70">
        <f t="shared" si="48"/>
        <v>7</v>
      </c>
      <c r="G241" s="73"/>
      <c r="H241" s="76"/>
      <c r="I241" s="180">
        <f t="shared" si="63"/>
        <v>30</v>
      </c>
      <c r="J241" s="487">
        <f t="shared" si="63"/>
        <v>1</v>
      </c>
      <c r="K241" s="488">
        <f t="shared" si="63"/>
        <v>1</v>
      </c>
      <c r="L241" s="488">
        <f t="shared" si="63"/>
        <v>1</v>
      </c>
      <c r="M241" s="488">
        <f t="shared" si="63"/>
        <v>1</v>
      </c>
      <c r="N241" s="489">
        <f t="shared" si="63"/>
        <v>1</v>
      </c>
      <c r="O241" s="466">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3"/>
      <c r="AI241" s="57"/>
      <c r="AJ241" s="45"/>
      <c r="AK241" s="45"/>
      <c r="AL241" s="45"/>
      <c r="AM241" s="459"/>
      <c r="AN241" s="459"/>
    </row>
    <row r="242" spans="1:40" outlineLevel="3" x14ac:dyDescent="0.25">
      <c r="A242" s="45"/>
      <c r="B242" s="54"/>
      <c r="C242" s="87">
        <f t="shared" si="62"/>
        <v>4</v>
      </c>
      <c r="D242" s="73"/>
      <c r="E242" s="70"/>
      <c r="F242" s="70">
        <f t="shared" si="48"/>
        <v>7</v>
      </c>
      <c r="G242" s="73"/>
      <c r="H242" s="76"/>
      <c r="I242" s="180">
        <f t="shared" si="63"/>
        <v>30</v>
      </c>
      <c r="J242" s="487">
        <f t="shared" si="63"/>
        <v>1</v>
      </c>
      <c r="K242" s="488">
        <f t="shared" si="63"/>
        <v>1</v>
      </c>
      <c r="L242" s="488">
        <f t="shared" si="63"/>
        <v>1</v>
      </c>
      <c r="M242" s="488">
        <f t="shared" si="63"/>
        <v>1</v>
      </c>
      <c r="N242" s="489">
        <f t="shared" si="63"/>
        <v>1</v>
      </c>
      <c r="O242" s="466">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3"/>
      <c r="AI242" s="57"/>
      <c r="AJ242" s="45"/>
      <c r="AK242" s="45"/>
      <c r="AL242" s="45"/>
      <c r="AM242" s="459"/>
      <c r="AN242" s="459"/>
    </row>
    <row r="243" spans="1:40" outlineLevel="3" x14ac:dyDescent="0.25">
      <c r="A243" s="45"/>
      <c r="B243" s="54"/>
      <c r="C243" s="87">
        <f t="shared" si="62"/>
        <v>4</v>
      </c>
      <c r="D243" s="73"/>
      <c r="E243" s="70"/>
      <c r="F243" s="70">
        <f t="shared" si="48"/>
        <v>7</v>
      </c>
      <c r="G243" s="73"/>
      <c r="H243" s="76"/>
      <c r="I243" s="180">
        <f t="shared" si="63"/>
        <v>30</v>
      </c>
      <c r="J243" s="484">
        <f t="shared" si="63"/>
        <v>1</v>
      </c>
      <c r="K243" s="485">
        <f t="shared" si="63"/>
        <v>1</v>
      </c>
      <c r="L243" s="485">
        <f t="shared" si="63"/>
        <v>1</v>
      </c>
      <c r="M243" s="485">
        <f t="shared" si="63"/>
        <v>1</v>
      </c>
      <c r="N243" s="486">
        <f t="shared" si="63"/>
        <v>1</v>
      </c>
      <c r="O243" s="466">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3"/>
      <c r="AI243" s="57"/>
      <c r="AJ243" s="45"/>
      <c r="AK243" s="45"/>
      <c r="AL243" s="45"/>
      <c r="AM243" s="459"/>
      <c r="AN243" s="459"/>
    </row>
    <row r="244" spans="1:40" outlineLevel="3" x14ac:dyDescent="0.25">
      <c r="A244" s="45"/>
      <c r="B244" s="54"/>
      <c r="C244" s="87">
        <f t="shared" si="62"/>
        <v>4</v>
      </c>
      <c r="D244" s="73"/>
      <c r="E244" s="70"/>
      <c r="F244" s="70">
        <f t="shared" si="48"/>
        <v>7</v>
      </c>
      <c r="G244" s="73"/>
      <c r="H244" s="76"/>
      <c r="I244" s="96">
        <v>1000</v>
      </c>
      <c r="J244" s="473">
        <v>0</v>
      </c>
      <c r="K244" s="473">
        <v>0</v>
      </c>
      <c r="L244" s="473">
        <v>0</v>
      </c>
      <c r="M244" s="473">
        <v>0</v>
      </c>
      <c r="N244" s="473">
        <v>0</v>
      </c>
      <c r="O244" s="474">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3"/>
      <c r="AI244" s="57"/>
      <c r="AJ244" s="45"/>
      <c r="AK244" s="45"/>
      <c r="AL244" s="45"/>
      <c r="AM244" s="459"/>
      <c r="AN244" s="459"/>
    </row>
    <row r="245" spans="1:40"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c r="AM245" s="459"/>
      <c r="AN245" s="459"/>
    </row>
    <row r="246" spans="1:40"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c r="AM246" s="459"/>
      <c r="AN246" s="459"/>
    </row>
    <row r="247" spans="1:40"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c r="AM247" s="459"/>
      <c r="AN247" s="459"/>
    </row>
    <row r="248" spans="1:40"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c r="AM248" s="459"/>
      <c r="AN248" s="459"/>
    </row>
    <row r="249" spans="1:40"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c r="AM249" s="459"/>
      <c r="AN249" s="459"/>
    </row>
    <row r="250" spans="1:40"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3"/>
      <c r="AI250" s="57"/>
      <c r="AJ250" s="45"/>
      <c r="AK250" s="45"/>
      <c r="AL250" s="45"/>
      <c r="AM250" s="459"/>
      <c r="AN250" s="459"/>
    </row>
    <row r="251" spans="1:40"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3"/>
      <c r="AI251" s="57"/>
      <c r="AJ251" s="45"/>
      <c r="AK251" s="45"/>
      <c r="AL251" s="45"/>
      <c r="AM251" s="459"/>
      <c r="AN251" s="459"/>
    </row>
    <row r="252" spans="1:40"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3"/>
      <c r="AI252" s="57"/>
      <c r="AJ252" s="45"/>
      <c r="AK252" s="45"/>
      <c r="AL252" s="45"/>
      <c r="AM252" s="459"/>
      <c r="AN252" s="459"/>
    </row>
    <row r="253" spans="1:40"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3"/>
      <c r="AI253" s="57"/>
      <c r="AJ253" s="45"/>
      <c r="AK253" s="45"/>
      <c r="AL253" s="45"/>
      <c r="AM253" s="459"/>
      <c r="AN253" s="459"/>
    </row>
    <row r="254" spans="1:40"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3"/>
      <c r="AI254" s="57"/>
      <c r="AJ254" s="45"/>
      <c r="AK254" s="45"/>
      <c r="AL254" s="45"/>
      <c r="AM254" s="459"/>
      <c r="AN254" s="459"/>
    </row>
    <row r="255" spans="1:40"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3"/>
      <c r="AI255" s="57"/>
      <c r="AJ255" s="45"/>
      <c r="AK255" s="45"/>
      <c r="AL255" s="45"/>
      <c r="AM255" s="459"/>
      <c r="AN255" s="459"/>
    </row>
    <row r="256" spans="1:40"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3"/>
      <c r="AI256" s="57"/>
      <c r="AJ256" s="45"/>
      <c r="AK256" s="45"/>
      <c r="AL256" s="45"/>
      <c r="AM256" s="459"/>
      <c r="AN256" s="459"/>
    </row>
    <row r="257" spans="1:40"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3"/>
      <c r="AI257" s="57"/>
      <c r="AJ257" s="45"/>
      <c r="AK257" s="45"/>
      <c r="AL257" s="45"/>
      <c r="AM257" s="459"/>
      <c r="AN257" s="459"/>
    </row>
    <row r="258" spans="1:40"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3"/>
      <c r="AI258" s="57"/>
      <c r="AJ258" s="45"/>
      <c r="AK258" s="45"/>
      <c r="AL258" s="45"/>
      <c r="AM258" s="459"/>
      <c r="AN258" s="459"/>
    </row>
    <row r="259" spans="1:40"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3"/>
      <c r="AI259" s="57"/>
      <c r="AJ259" s="45"/>
      <c r="AK259" s="45"/>
      <c r="AL259" s="45"/>
      <c r="AM259" s="459"/>
      <c r="AN259" s="459"/>
    </row>
    <row r="260" spans="1:40"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3"/>
      <c r="AI260" s="57"/>
      <c r="AJ260" s="45"/>
      <c r="AK260" s="45"/>
      <c r="AL260" s="45"/>
      <c r="AM260" s="459"/>
      <c r="AN260" s="459"/>
    </row>
    <row r="261" spans="1:40"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3"/>
      <c r="AI261" s="57"/>
      <c r="AJ261" s="45"/>
      <c r="AK261" s="45"/>
      <c r="AL261" s="45"/>
      <c r="AM261" s="459"/>
      <c r="AN261" s="459"/>
    </row>
    <row r="262" spans="1:40"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3"/>
      <c r="AI262" s="57"/>
      <c r="AJ262" s="45"/>
      <c r="AK262" s="45"/>
      <c r="AL262" s="45"/>
      <c r="AM262" s="459"/>
      <c r="AN262" s="459"/>
    </row>
    <row r="263" spans="1:40"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3"/>
      <c r="AI263" s="57"/>
      <c r="AJ263" s="45"/>
      <c r="AK263" s="45"/>
      <c r="AL263" s="45"/>
      <c r="AM263" s="459"/>
      <c r="AN263" s="459"/>
    </row>
    <row r="264" spans="1:40"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3"/>
      <c r="AI264" s="57"/>
      <c r="AJ264" s="45"/>
      <c r="AK264" s="45"/>
      <c r="AL264" s="45"/>
      <c r="AM264" s="459"/>
      <c r="AN264" s="459"/>
    </row>
    <row r="265" spans="1:40"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3"/>
      <c r="AI265" s="57"/>
      <c r="AJ265" s="45"/>
      <c r="AK265" s="45"/>
      <c r="AL265" s="45"/>
      <c r="AM265" s="459"/>
      <c r="AN265" s="459"/>
    </row>
    <row r="266" spans="1:40"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3"/>
      <c r="AI266" s="57"/>
      <c r="AJ266" s="45"/>
      <c r="AK266" s="45"/>
      <c r="AL266" s="45"/>
      <c r="AM266" s="459"/>
      <c r="AN266" s="459"/>
    </row>
    <row r="267" spans="1:40"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c r="AM267" s="459"/>
      <c r="AN267" s="459"/>
    </row>
    <row r="268" spans="1:40"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c r="AM268" s="459"/>
      <c r="AN268" s="459"/>
    </row>
    <row r="269" spans="1:40"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c r="AM269" s="459"/>
      <c r="AN269" s="459"/>
    </row>
    <row r="270" spans="1:40"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c r="AM270" s="459"/>
      <c r="AN270" s="459"/>
    </row>
    <row r="271" spans="1:40"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9"/>
      <c r="AN271" s="459"/>
    </row>
    <row r="272" spans="1:40"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9"/>
      <c r="AN272" s="459"/>
    </row>
    <row r="273" spans="1:40"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c r="AM273" s="459"/>
      <c r="AN273" s="459"/>
    </row>
    <row r="274" spans="1:40"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c r="AM274" s="459"/>
      <c r="AN274" s="459"/>
    </row>
    <row r="275" spans="1:40"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c r="AM275" s="459"/>
      <c r="AN275" s="459"/>
    </row>
    <row r="276" spans="1:40"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c r="AM276" s="459"/>
      <c r="AN276" s="459"/>
    </row>
    <row r="277" spans="1:40"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c r="AM277" s="459"/>
      <c r="AN277" s="459"/>
    </row>
    <row r="278" spans="1:40"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c r="AM278" s="459"/>
      <c r="AN278" s="459"/>
    </row>
    <row r="279" spans="1:40"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c r="AM279" s="459"/>
      <c r="AN279" s="459"/>
    </row>
    <row r="280" spans="1:40"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c r="AM280" s="459"/>
      <c r="AN280" s="459"/>
    </row>
    <row r="281" spans="1:40"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c r="AM281" s="459"/>
      <c r="AN281" s="459"/>
    </row>
    <row r="282" spans="1:40"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c r="AM282" s="459"/>
      <c r="AN282" s="459"/>
    </row>
    <row r="283" spans="1:40"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c r="AM283" s="459"/>
      <c r="AN283" s="459"/>
    </row>
    <row r="284" spans="1:40"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c r="AM284" s="459"/>
      <c r="AN284" s="459"/>
    </row>
    <row r="285" spans="1:40"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c r="AM285" s="459"/>
      <c r="AN285" s="459"/>
    </row>
    <row r="286" spans="1:40"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c r="AM286" s="459"/>
      <c r="AN286" s="459"/>
    </row>
    <row r="287" spans="1:40"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c r="AM287" s="459"/>
      <c r="AN287" s="459"/>
    </row>
    <row r="288" spans="1:40"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c r="AM288" s="459"/>
      <c r="AN288" s="459"/>
    </row>
    <row r="289" spans="1:40"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c r="AM289" s="459"/>
      <c r="AN289" s="459"/>
    </row>
    <row r="290" spans="1:40"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c r="AM290" s="459"/>
      <c r="AN290" s="459"/>
    </row>
    <row r="291" spans="1:40"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c r="AM291" s="459"/>
      <c r="AN291" s="459"/>
    </row>
    <row r="292" spans="1:40"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c r="AM292" s="459"/>
      <c r="AN292" s="459"/>
    </row>
    <row r="293" spans="1:40"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c r="AM293" s="459"/>
      <c r="AN293" s="459"/>
    </row>
    <row r="294" spans="1:40"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c r="AM294" s="459"/>
      <c r="AN294" s="459"/>
    </row>
    <row r="295" spans="1:40"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c r="AM295" s="459"/>
      <c r="AN295" s="459"/>
    </row>
    <row r="296" spans="1:40"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c r="AM296" s="459"/>
      <c r="AN296" s="459"/>
    </row>
    <row r="297" spans="1:40"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c r="AM297" s="459"/>
      <c r="AN297" s="459"/>
    </row>
    <row r="298" spans="1:40"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c r="AM298" s="459"/>
      <c r="AN298" s="459"/>
    </row>
    <row r="299" spans="1:40"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c r="AM299" s="459"/>
      <c r="AN299" s="459"/>
    </row>
    <row r="300" spans="1:40" ht="45"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c r="AM300" s="459"/>
      <c r="AN300" s="459"/>
    </row>
    <row r="301" spans="1:40"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c r="AM301" s="459"/>
      <c r="AN301" s="459"/>
    </row>
    <row r="302" spans="1:40"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c r="AM302" s="459"/>
      <c r="AN302" s="459"/>
    </row>
    <row r="303" spans="1:40"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c r="AM303" s="459"/>
      <c r="AN303" s="459"/>
    </row>
    <row r="304" spans="1:40"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c r="AM304" s="459"/>
      <c r="AN304" s="459"/>
    </row>
    <row r="305" spans="1:40"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c r="AM305" s="459"/>
      <c r="AN305" s="459"/>
    </row>
    <row r="306" spans="1:40"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c r="AM306" s="459"/>
      <c r="AN306" s="459"/>
    </row>
    <row r="307" spans="1:40"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c r="AM307" s="459"/>
      <c r="AN307" s="459"/>
    </row>
    <row r="308" spans="1:40"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c r="AM308" s="459"/>
      <c r="AN308" s="459"/>
    </row>
    <row r="309" spans="1:40"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73"/>
      <c r="AI309" s="57"/>
      <c r="AJ309" s="45"/>
      <c r="AK309" s="45"/>
      <c r="AL309" s="45"/>
      <c r="AM309" s="459"/>
      <c r="AN309" s="459"/>
    </row>
    <row r="310" spans="1:40"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73"/>
      <c r="AI310" s="57"/>
      <c r="AJ310" s="45"/>
      <c r="AK310" s="45"/>
      <c r="AL310" s="45"/>
      <c r="AM310" s="459"/>
      <c r="AN310" s="459"/>
    </row>
    <row r="311" spans="1:40"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73"/>
      <c r="AI311" s="57"/>
      <c r="AJ311" s="45"/>
      <c r="AK311" s="45"/>
      <c r="AL311" s="45"/>
      <c r="AM311" s="459"/>
      <c r="AN311" s="459"/>
    </row>
    <row r="312" spans="1:40"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c r="AM312" s="459"/>
      <c r="AN312" s="459"/>
    </row>
    <row r="313" spans="1:40"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73"/>
      <c r="AI313" s="57"/>
      <c r="AJ313" s="45"/>
      <c r="AK313" s="45"/>
      <c r="AL313" s="45"/>
      <c r="AM313" s="459"/>
      <c r="AN313" s="459"/>
    </row>
    <row r="314" spans="1:40"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73"/>
      <c r="AI314" s="57"/>
      <c r="AJ314" s="45"/>
      <c r="AK314" s="45"/>
      <c r="AL314" s="45"/>
      <c r="AM314" s="459"/>
      <c r="AN314" s="459"/>
    </row>
    <row r="315" spans="1:40"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c r="AM315" s="459"/>
      <c r="AN315" s="459"/>
    </row>
    <row r="316" spans="1:40"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73"/>
      <c r="AI316" s="57"/>
      <c r="AJ316" s="45"/>
      <c r="AK316" s="45"/>
      <c r="AL316" s="45"/>
      <c r="AM316" s="459"/>
      <c r="AN316" s="459"/>
    </row>
    <row r="317" spans="1:40"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73"/>
      <c r="AI317" s="57"/>
      <c r="AJ317" s="45"/>
      <c r="AK317" s="45"/>
      <c r="AL317" s="45"/>
      <c r="AM317" s="459"/>
      <c r="AN317" s="459"/>
    </row>
    <row r="318" spans="1:40"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73"/>
      <c r="AI318" s="57"/>
      <c r="AJ318" s="45"/>
      <c r="AK318" s="45"/>
      <c r="AL318" s="45"/>
      <c r="AM318" s="459"/>
      <c r="AN318" s="459"/>
    </row>
    <row r="319" spans="1:40" ht="33.75"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73"/>
      <c r="AI319" s="57"/>
      <c r="AJ319" s="45"/>
      <c r="AK319" s="45"/>
      <c r="AL319" s="45"/>
      <c r="AM319" s="459"/>
      <c r="AN319" s="459"/>
    </row>
    <row r="320" spans="1:40"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c r="AM320" s="459"/>
      <c r="AN320" s="459"/>
    </row>
    <row r="321" spans="1:40"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c r="AM321" s="459"/>
      <c r="AN321" s="459"/>
    </row>
    <row r="322" spans="1:40"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c r="AM322" s="459"/>
      <c r="AN322" s="459"/>
    </row>
    <row r="323" spans="1:40"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c r="AM323" s="459"/>
      <c r="AN323" s="459"/>
    </row>
    <row r="324" spans="1:40"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73"/>
      <c r="AI324" s="57"/>
      <c r="AJ324" s="45"/>
      <c r="AK324" s="45"/>
      <c r="AL324" s="45"/>
      <c r="AM324" s="459"/>
      <c r="AN324" s="459"/>
    </row>
    <row r="325" spans="1:40"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73"/>
      <c r="AI325" s="57"/>
      <c r="AJ325" s="45"/>
      <c r="AK325" s="45"/>
      <c r="AL325" s="45"/>
      <c r="AM325" s="459"/>
      <c r="AN325" s="459"/>
    </row>
    <row r="326" spans="1:40"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73"/>
      <c r="AI326" s="57"/>
      <c r="AJ326" s="45"/>
      <c r="AK326" s="45"/>
      <c r="AL326" s="45"/>
      <c r="AM326" s="459"/>
      <c r="AN326" s="459"/>
    </row>
    <row r="327" spans="1:40"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73"/>
      <c r="AI327" s="57"/>
      <c r="AJ327" s="45"/>
      <c r="AK327" s="45"/>
      <c r="AL327" s="45"/>
      <c r="AM327" s="459"/>
      <c r="AN327" s="459"/>
    </row>
    <row r="328" spans="1:40"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73"/>
      <c r="AI328" s="57"/>
      <c r="AJ328" s="45"/>
      <c r="AK328" s="45"/>
      <c r="AL328" s="45"/>
      <c r="AM328" s="459"/>
      <c r="AN328" s="459"/>
    </row>
    <row r="329" spans="1:40"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73"/>
      <c r="AI329" s="57"/>
      <c r="AJ329" s="45"/>
      <c r="AK329" s="45"/>
      <c r="AL329" s="45"/>
      <c r="AM329" s="459"/>
      <c r="AN329" s="459"/>
    </row>
    <row r="330" spans="1:40"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73"/>
      <c r="AI330" s="57"/>
      <c r="AJ330" s="45"/>
      <c r="AK330" s="45"/>
      <c r="AL330" s="45"/>
      <c r="AM330" s="459"/>
      <c r="AN330" s="459"/>
    </row>
    <row r="331" spans="1:40"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73"/>
      <c r="AI331" s="57"/>
      <c r="AJ331" s="45"/>
      <c r="AK331" s="45"/>
      <c r="AL331" s="45"/>
      <c r="AM331" s="459"/>
      <c r="AN331" s="459"/>
    </row>
    <row r="332" spans="1:40"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73"/>
      <c r="AI332" s="57"/>
      <c r="AJ332" s="45"/>
      <c r="AK332" s="45"/>
      <c r="AL332" s="45"/>
      <c r="AM332" s="459"/>
      <c r="AN332" s="459"/>
    </row>
    <row r="333" spans="1:40"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73"/>
      <c r="AI333" s="57"/>
      <c r="AJ333" s="45"/>
      <c r="AK333" s="45"/>
      <c r="AL333" s="45"/>
      <c r="AM333" s="459"/>
      <c r="AN333" s="459"/>
    </row>
    <row r="334" spans="1:40"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73"/>
      <c r="AI334" s="57"/>
      <c r="AJ334" s="45"/>
      <c r="AK334" s="45"/>
      <c r="AL334" s="45"/>
      <c r="AM334" s="459"/>
      <c r="AN334" s="459"/>
    </row>
    <row r="335" spans="1:40"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73"/>
      <c r="AI335" s="57"/>
      <c r="AJ335" s="45"/>
      <c r="AK335" s="45"/>
      <c r="AL335" s="45"/>
      <c r="AM335" s="459"/>
      <c r="AN335" s="459"/>
    </row>
    <row r="336" spans="1:40"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73"/>
      <c r="AI336" s="57"/>
      <c r="AJ336" s="45"/>
      <c r="AK336" s="45"/>
      <c r="AL336" s="45"/>
      <c r="AM336" s="459"/>
      <c r="AN336" s="459"/>
    </row>
    <row r="337" spans="1:40"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73"/>
      <c r="AI337" s="57"/>
      <c r="AJ337" s="45"/>
      <c r="AK337" s="45"/>
      <c r="AL337" s="45"/>
      <c r="AM337" s="459"/>
      <c r="AN337" s="459"/>
    </row>
    <row r="338" spans="1:40"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73"/>
      <c r="AI338" s="57"/>
      <c r="AJ338" s="45"/>
      <c r="AK338" s="45"/>
      <c r="AL338" s="45"/>
      <c r="AM338" s="459"/>
      <c r="AN338" s="459"/>
    </row>
    <row r="339" spans="1:40"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73"/>
      <c r="AI339" s="57"/>
      <c r="AJ339" s="45"/>
      <c r="AK339" s="45"/>
      <c r="AL339" s="45"/>
      <c r="AM339" s="459"/>
      <c r="AN339" s="459"/>
    </row>
    <row r="340" spans="1:40"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73"/>
      <c r="AI340" s="57"/>
      <c r="AJ340" s="45"/>
      <c r="AK340" s="45"/>
      <c r="AL340" s="45"/>
      <c r="AM340" s="459"/>
      <c r="AN340" s="459"/>
    </row>
    <row r="341" spans="1:40"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73"/>
      <c r="AI341" s="57"/>
      <c r="AJ341" s="45"/>
      <c r="AK341" s="45"/>
      <c r="AL341" s="45"/>
      <c r="AM341" s="459"/>
      <c r="AN341" s="459"/>
    </row>
    <row r="342" spans="1:40"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73"/>
      <c r="AI342" s="57"/>
      <c r="AJ342" s="45"/>
      <c r="AK342" s="45"/>
      <c r="AL342" s="45"/>
      <c r="AM342" s="459"/>
      <c r="AN342" s="459"/>
    </row>
    <row r="343" spans="1:40"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73"/>
      <c r="AI343" s="57"/>
      <c r="AJ343" s="45"/>
      <c r="AK343" s="45"/>
      <c r="AL343" s="45"/>
      <c r="AM343" s="459"/>
      <c r="AN343" s="459"/>
    </row>
    <row r="344" spans="1:40"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73"/>
      <c r="AI344" s="57"/>
      <c r="AJ344" s="45"/>
      <c r="AK344" s="45"/>
      <c r="AL344" s="45"/>
      <c r="AM344" s="459"/>
      <c r="AN344" s="459"/>
    </row>
    <row r="345" spans="1:40"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73"/>
      <c r="AI345" s="57"/>
      <c r="AJ345" s="45"/>
      <c r="AK345" s="45"/>
      <c r="AL345" s="45"/>
      <c r="AM345" s="459"/>
      <c r="AN345" s="459"/>
    </row>
    <row r="346" spans="1:40"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73"/>
      <c r="AI346" s="57"/>
      <c r="AJ346" s="45"/>
      <c r="AK346" s="45"/>
      <c r="AL346" s="45"/>
      <c r="AM346" s="459"/>
      <c r="AN346" s="459"/>
    </row>
    <row r="347" spans="1:40"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73"/>
      <c r="AI347" s="57"/>
      <c r="AJ347" s="45"/>
      <c r="AK347" s="45"/>
      <c r="AL347" s="45"/>
      <c r="AM347" s="459"/>
      <c r="AN347" s="459"/>
    </row>
    <row r="348" spans="1:40"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73"/>
      <c r="AI348" s="57"/>
      <c r="AJ348" s="45"/>
      <c r="AK348" s="45"/>
      <c r="AL348" s="45"/>
      <c r="AM348" s="459"/>
      <c r="AN348" s="459"/>
    </row>
    <row r="349" spans="1:40"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73"/>
      <c r="AI349" s="57"/>
      <c r="AJ349" s="45"/>
      <c r="AK349" s="45"/>
      <c r="AL349" s="45"/>
      <c r="AM349" s="459"/>
      <c r="AN349" s="459"/>
    </row>
    <row r="350" spans="1:40"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73"/>
      <c r="AI350" s="57"/>
      <c r="AJ350" s="45"/>
      <c r="AK350" s="45"/>
      <c r="AL350" s="45"/>
      <c r="AM350" s="459"/>
      <c r="AN350" s="459"/>
    </row>
    <row r="351" spans="1:40"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73"/>
      <c r="AI351" s="57"/>
      <c r="AJ351" s="45"/>
      <c r="AK351" s="45"/>
      <c r="AL351" s="45"/>
      <c r="AM351" s="459"/>
      <c r="AN351" s="459"/>
    </row>
    <row r="352" spans="1:40"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73"/>
      <c r="AI352" s="57"/>
      <c r="AJ352" s="45"/>
      <c r="AK352" s="45"/>
      <c r="AL352" s="45"/>
      <c r="AM352" s="459"/>
      <c r="AN352" s="459"/>
    </row>
    <row r="353" spans="1:40"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73"/>
      <c r="AI353" s="57"/>
      <c r="AJ353" s="45"/>
      <c r="AK353" s="45"/>
      <c r="AL353" s="45"/>
      <c r="AM353" s="459"/>
      <c r="AN353" s="459"/>
    </row>
    <row r="354" spans="1:40"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c r="AM354" s="459"/>
      <c r="AN354" s="459"/>
    </row>
    <row r="355" spans="1:40"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c r="AM355" s="459"/>
      <c r="AN355" s="459"/>
    </row>
    <row r="356" spans="1:40"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73"/>
      <c r="AI356" s="57"/>
      <c r="AJ356" s="45"/>
      <c r="AK356" s="45"/>
      <c r="AL356" s="45"/>
      <c r="AM356" s="459"/>
      <c r="AN356" s="459"/>
    </row>
    <row r="357" spans="1:40"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c r="AM357" s="459"/>
      <c r="AN357" s="459"/>
    </row>
    <row r="358" spans="1:40"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73"/>
      <c r="AI358" s="57"/>
      <c r="AJ358" s="45"/>
      <c r="AK358" s="45"/>
      <c r="AL358" s="45"/>
      <c r="AM358" s="459"/>
      <c r="AN358" s="459"/>
    </row>
    <row r="359" spans="1:40"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73"/>
      <c r="AI359" s="57"/>
      <c r="AJ359" s="45"/>
      <c r="AK359" s="45"/>
      <c r="AL359" s="45"/>
      <c r="AM359" s="459"/>
      <c r="AN359" s="459"/>
    </row>
    <row r="360" spans="1:40"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73"/>
      <c r="AI360" s="57"/>
      <c r="AJ360" s="45"/>
      <c r="AK360" s="45"/>
      <c r="AL360" s="45"/>
      <c r="AM360" s="459"/>
      <c r="AN360" s="459"/>
    </row>
    <row r="361" spans="1:40"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c r="AM361" s="459"/>
      <c r="AN361" s="459"/>
    </row>
    <row r="362" spans="1:40"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c r="AM362" s="459"/>
      <c r="AN362" s="459"/>
    </row>
    <row r="363" spans="1:40"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c r="AM363" s="459"/>
      <c r="AN363" s="459"/>
    </row>
    <row r="364" spans="1:40"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c r="AM364" s="459"/>
      <c r="AN364" s="459"/>
    </row>
    <row r="365" spans="1:40"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9"/>
      <c r="AN365" s="459"/>
    </row>
    <row r="366" spans="1:40"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9"/>
      <c r="AN366" s="459"/>
    </row>
    <row r="367" spans="1:40"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c r="AM367" s="459"/>
      <c r="AN367" s="459"/>
    </row>
    <row r="368" spans="1:40"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52"/>
      <c r="AI368" s="53"/>
      <c r="AJ368" s="45"/>
      <c r="AK368" s="45"/>
      <c r="AL368" s="45"/>
      <c r="AM368" s="459"/>
      <c r="AN368" s="459"/>
    </row>
    <row r="369" spans="1:40"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55"/>
      <c r="AI369" s="57"/>
      <c r="AJ369" s="45"/>
      <c r="AK369" s="45"/>
      <c r="AL369" s="45"/>
      <c r="AM369" s="459"/>
      <c r="AN369" s="459"/>
    </row>
    <row r="370" spans="1:40"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64"/>
      <c r="AI370" s="57"/>
      <c r="AJ370" s="45"/>
      <c r="AK370" s="45"/>
      <c r="AL370" s="45"/>
      <c r="AM370" s="459"/>
      <c r="AN370" s="459"/>
    </row>
    <row r="371" spans="1:40"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69"/>
      <c r="AI371" s="57"/>
      <c r="AJ371" s="45"/>
      <c r="AK371" s="45"/>
      <c r="AL371" s="45"/>
      <c r="AM371" s="459"/>
      <c r="AN371" s="459"/>
    </row>
    <row r="372" spans="1:40"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c r="AM372" s="459"/>
      <c r="AN372" s="459"/>
    </row>
    <row r="373" spans="1:40"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c r="AM373" s="459"/>
      <c r="AN373" s="459"/>
    </row>
    <row r="374" spans="1:40"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55"/>
      <c r="AI374" s="57"/>
      <c r="AJ374" s="45"/>
      <c r="AK374" s="45"/>
      <c r="AL374" s="45"/>
      <c r="AM374" s="459"/>
      <c r="AN374" s="459"/>
    </row>
    <row r="375" spans="1:40"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55"/>
      <c r="AI375" s="57"/>
      <c r="AJ375" s="45"/>
      <c r="AK375" s="45"/>
      <c r="AL375" s="45"/>
      <c r="AM375" s="459"/>
      <c r="AN375" s="459"/>
    </row>
    <row r="376" spans="1:40"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55"/>
      <c r="AI376" s="57"/>
      <c r="AJ376" s="45"/>
      <c r="AK376" s="45"/>
      <c r="AL376" s="45"/>
      <c r="AM376" s="459"/>
      <c r="AN376" s="459"/>
    </row>
    <row r="377" spans="1:40"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55"/>
      <c r="AI377" s="57"/>
      <c r="AJ377" s="45"/>
      <c r="AK377" s="45"/>
      <c r="AL377" s="45"/>
      <c r="AM377" s="459"/>
      <c r="AN377" s="459"/>
    </row>
    <row r="378" spans="1:40"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c r="AM378" s="459"/>
      <c r="AN378" s="459"/>
    </row>
    <row r="379" spans="1:40"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c r="AM379" s="459"/>
      <c r="AN379" s="459"/>
    </row>
    <row r="380" spans="1:40"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c r="AM380" s="459"/>
      <c r="AN380" s="459"/>
    </row>
    <row r="381" spans="1:40"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c r="AM381" s="459"/>
      <c r="AN381" s="459"/>
    </row>
    <row r="382" spans="1:40"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c r="AM382" s="459"/>
      <c r="AN382" s="459"/>
    </row>
    <row r="383" spans="1:40"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3"/>
      <c r="AI383" s="57"/>
      <c r="AJ383" s="45"/>
      <c r="AK383" s="45"/>
      <c r="AL383" s="45"/>
      <c r="AM383" s="459"/>
      <c r="AN383" s="459"/>
    </row>
    <row r="384" spans="1:40"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73"/>
      <c r="AI384" s="57"/>
      <c r="AJ384" s="45"/>
      <c r="AK384" s="45"/>
      <c r="AL384" s="45"/>
      <c r="AM384" s="459"/>
      <c r="AN384" s="459"/>
    </row>
    <row r="385" spans="1:40"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3"/>
      <c r="AI385" s="57"/>
      <c r="AJ385" s="45"/>
      <c r="AK385" s="45"/>
      <c r="AL385" s="45"/>
      <c r="AM385" s="459"/>
      <c r="AN385" s="459"/>
    </row>
    <row r="386" spans="1:40"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3"/>
      <c r="AI386" s="57"/>
      <c r="AJ386" s="45"/>
      <c r="AK386" s="45"/>
      <c r="AL386" s="45"/>
      <c r="AM386" s="459"/>
      <c r="AN386" s="459"/>
    </row>
    <row r="387" spans="1:40"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3"/>
      <c r="AI387" s="57"/>
      <c r="AJ387" s="45"/>
      <c r="AK387" s="45"/>
      <c r="AL387" s="45"/>
      <c r="AM387" s="459"/>
      <c r="AN387" s="459"/>
    </row>
    <row r="388" spans="1:40"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c r="AM388" s="459"/>
      <c r="AN388" s="459"/>
    </row>
    <row r="389" spans="1:40"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c r="AM389" s="459"/>
      <c r="AN389" s="459"/>
    </row>
    <row r="390" spans="1:40"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c r="AM390" s="459"/>
      <c r="AN390" s="459"/>
    </row>
    <row r="391" spans="1:40"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c r="AM391" s="459"/>
      <c r="AN391" s="459"/>
    </row>
    <row r="392" spans="1:40"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c r="AM392" s="459"/>
      <c r="AN392" s="459"/>
    </row>
    <row r="393" spans="1:40"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3"/>
      <c r="AI393" s="57"/>
      <c r="AJ393" s="45"/>
      <c r="AK393" s="45"/>
      <c r="AL393" s="45"/>
      <c r="AM393" s="459"/>
      <c r="AN393" s="459"/>
    </row>
    <row r="394" spans="1:40"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3"/>
      <c r="AI394" s="57"/>
      <c r="AJ394" s="45"/>
      <c r="AK394" s="45"/>
      <c r="AL394" s="45"/>
      <c r="AM394" s="459"/>
      <c r="AN394" s="459"/>
    </row>
    <row r="395" spans="1:40"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3"/>
      <c r="AI395" s="57"/>
      <c r="AJ395" s="45"/>
      <c r="AK395" s="45"/>
      <c r="AL395" s="45"/>
      <c r="AM395" s="459"/>
      <c r="AN395" s="459"/>
    </row>
    <row r="396" spans="1:40"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c r="AM396" s="459"/>
      <c r="AN396" s="459"/>
    </row>
    <row r="397" spans="1:40"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3"/>
      <c r="AI397" s="57"/>
      <c r="AJ397" s="45"/>
      <c r="AK397" s="45"/>
      <c r="AL397" s="45"/>
      <c r="AM397" s="459"/>
      <c r="AN397" s="459"/>
    </row>
    <row r="398" spans="1:40"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3"/>
      <c r="AI398" s="57"/>
      <c r="AJ398" s="45"/>
      <c r="AK398" s="45"/>
      <c r="AL398" s="45"/>
      <c r="AM398" s="459"/>
      <c r="AN398" s="459"/>
    </row>
    <row r="399" spans="1:40"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3"/>
      <c r="AI399" s="57"/>
      <c r="AJ399" s="45"/>
      <c r="AK399" s="45"/>
      <c r="AL399" s="45"/>
      <c r="AM399" s="459"/>
      <c r="AN399" s="459"/>
    </row>
    <row r="400" spans="1:40"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c r="AM400" s="459"/>
      <c r="AN400" s="459"/>
    </row>
    <row r="401" spans="1:40"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c r="AM401" s="459"/>
      <c r="AN401" s="459"/>
    </row>
    <row r="402" spans="1:40"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c r="AM402" s="459"/>
      <c r="AN402" s="459"/>
    </row>
    <row r="403" spans="1:40"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c r="AM403" s="459"/>
      <c r="AN403" s="459"/>
    </row>
    <row r="404" spans="1:40"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c r="AM404" s="459"/>
      <c r="AN404" s="459"/>
    </row>
    <row r="405" spans="1:40"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9"/>
      <c r="AN405" s="459"/>
    </row>
    <row r="406" spans="1:40"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9"/>
      <c r="AN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AW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51" zoomScale="80" zoomScaleNormal="80" workbookViewId="0">
      <selection activeCell="J89" sqref="J8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496" t="s">
        <v>2895</v>
      </c>
      <c r="K11" s="497"/>
      <c r="L11" s="497"/>
      <c r="M11" s="497"/>
      <c r="N11" s="497"/>
      <c r="O11" s="497"/>
      <c r="P11" s="497"/>
      <c r="Q11" s="497"/>
      <c r="R11" s="497"/>
      <c r="S11" s="497"/>
      <c r="T11" s="497"/>
      <c r="U11" s="497"/>
      <c r="V11" s="497"/>
      <c r="W11" s="497"/>
      <c r="X11" s="497"/>
      <c r="Y11" s="497"/>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45078.962848726798</v>
      </c>
      <c r="J12" s="498" t="s">
        <v>2897</v>
      </c>
      <c r="K12" s="499"/>
      <c r="L12" s="499"/>
      <c r="M12" s="499"/>
      <c r="N12" s="499"/>
      <c r="O12" s="499"/>
      <c r="P12" s="499"/>
      <c r="Q12" s="499"/>
      <c r="R12" s="499"/>
      <c r="S12" s="499"/>
      <c r="T12" s="499"/>
      <c r="U12" s="499"/>
      <c r="V12" s="499"/>
      <c r="W12" s="499"/>
      <c r="X12" s="499"/>
      <c r="Y12" s="499"/>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2868</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15</v>
      </c>
      <c r="V78" s="260">
        <f t="shared" si="11"/>
        <v>15</v>
      </c>
      <c r="W78" s="260">
        <f t="shared" si="11"/>
        <v>15</v>
      </c>
      <c r="X78" s="260">
        <f t="shared" si="11"/>
        <v>15</v>
      </c>
      <c r="Y78" s="260">
        <f t="shared" si="11"/>
        <v>15</v>
      </c>
      <c r="Z78" s="260">
        <f t="shared" si="11"/>
        <v>15</v>
      </c>
      <c r="AA78" s="260">
        <f t="shared" si="11"/>
        <v>15</v>
      </c>
      <c r="AB78" s="260">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15</v>
      </c>
      <c r="V79" s="260">
        <f t="shared" si="11"/>
        <v>15</v>
      </c>
      <c r="W79" s="260">
        <f t="shared" si="11"/>
        <v>15</v>
      </c>
      <c r="X79" s="260">
        <f t="shared" si="11"/>
        <v>15</v>
      </c>
      <c r="Y79" s="260">
        <f t="shared" si="11"/>
        <v>15</v>
      </c>
      <c r="Z79" s="260">
        <f t="shared" si="11"/>
        <v>15</v>
      </c>
      <c r="AA79" s="260">
        <f t="shared" si="11"/>
        <v>15</v>
      </c>
      <c r="AB79" s="260">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15</v>
      </c>
      <c r="V88" s="260">
        <f t="shared" ref="V88:AB88" si="14">V77</f>
        <v>15</v>
      </c>
      <c r="W88" s="260">
        <f t="shared" si="14"/>
        <v>15</v>
      </c>
      <c r="X88" s="260">
        <f t="shared" si="14"/>
        <v>15</v>
      </c>
      <c r="Y88" s="260">
        <f t="shared" si="14"/>
        <v>15</v>
      </c>
      <c r="Z88" s="260">
        <f t="shared" si="14"/>
        <v>15</v>
      </c>
      <c r="AA88" s="260">
        <f t="shared" si="14"/>
        <v>15</v>
      </c>
      <c r="AB88" s="260">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2893</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2866</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2867</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2778</v>
      </c>
      <c r="G543" s="73"/>
      <c r="H543" s="76" t="s">
        <v>2882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2884</v>
      </c>
      <c r="G551" s="73"/>
      <c r="H551" s="76" t="s">
        <v>2883</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2871</v>
      </c>
      <c r="AE551" s="76"/>
      <c r="AF551" s="97">
        <v>1</v>
      </c>
      <c r="AG551" s="97">
        <v>1</v>
      </c>
      <c r="AH551" s="73"/>
      <c r="AI551" s="57"/>
      <c r="AJ551" s="45"/>
      <c r="AK551" s="45"/>
      <c r="AL551" s="45"/>
    </row>
    <row r="552" spans="1:38" outlineLevel="2" x14ac:dyDescent="0.25">
      <c r="A552" s="45"/>
      <c r="B552" s="54"/>
      <c r="C552" s="47">
        <f t="shared" si="85"/>
        <v>3</v>
      </c>
      <c r="D552" s="73"/>
      <c r="E552" s="70"/>
      <c r="F552" s="70" t="s">
        <v>2885</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2886</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2887</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2888</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2889</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2890</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2891</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2615</v>
      </c>
      <c r="G840" s="73"/>
      <c r="H840" s="76" t="s">
        <v>2880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2892</v>
      </c>
      <c r="AE840" s="76"/>
      <c r="AF840" s="76">
        <v>1</v>
      </c>
      <c r="AG840" s="76">
        <v>1</v>
      </c>
      <c r="AH840" s="73"/>
      <c r="AI840" s="57"/>
      <c r="AJ840" s="45"/>
      <c r="AK840" s="45"/>
      <c r="AL840" s="45"/>
    </row>
    <row r="841" spans="1:38"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2881</v>
      </c>
      <c r="AE841" s="76"/>
      <c r="AF841" s="97">
        <v>1</v>
      </c>
      <c r="AG841" s="97">
        <v>1</v>
      </c>
      <c r="AH841" s="73"/>
      <c r="AI841" s="57"/>
      <c r="AJ841" s="45"/>
      <c r="AK841" s="45"/>
      <c r="AL841" s="45"/>
    </row>
    <row r="842" spans="1:38"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-7.6999999999999999E-2</v>
      </c>
      <c r="Y848" s="97">
        <v>-7.6999999999999999E-2</v>
      </c>
      <c r="Z848" s="262">
        <f t="shared" si="221"/>
        <v>-7.6999999999999999E-2</v>
      </c>
      <c r="AA848" s="262">
        <f t="shared" si="222"/>
        <v>-7.6999999999999999E-2</v>
      </c>
      <c r="AB848" s="262">
        <f t="shared" si="223"/>
        <v>-7.6999999999999999E-2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2.4529999999999998</v>
      </c>
      <c r="Y849" s="97">
        <v>2.4529999999999998</v>
      </c>
      <c r="Z849" s="262">
        <f t="shared" ref="Z849:AA849" si="227">Y849</f>
        <v>2.4529999999999998</v>
      </c>
      <c r="AA849" s="262">
        <f t="shared" si="227"/>
        <v>2.4529999999999998</v>
      </c>
      <c r="AB849" s="262">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4.9029999999999996</v>
      </c>
      <c r="Y850" s="97">
        <v>4.9029999999999996</v>
      </c>
      <c r="Z850" s="262">
        <f t="shared" ref="Z850:AB850" si="230">Y850</f>
        <v>4.9029999999999996</v>
      </c>
      <c r="AA850" s="262">
        <f t="shared" si="230"/>
        <v>4.9029999999999996</v>
      </c>
      <c r="AB850" s="262">
        <f t="shared" si="230"/>
        <v>4.9029999999999996</v>
      </c>
      <c r="AC850" s="76"/>
      <c r="AD850" s="97" t="s">
        <v>2896</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2894</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2869</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2870</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2872</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2871</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2500</v>
      </c>
      <c r="G1418" s="73"/>
      <c r="H1418" s="391" t="s">
        <v>2873</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2501</v>
      </c>
      <c r="G1419" s="73"/>
      <c r="H1419" s="391" t="s">
        <v>2874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0" t="s">
        <v>2876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0" t="s">
        <v>2877</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0" t="s">
        <v>2878</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0" t="s">
        <v>2879</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2506</v>
      </c>
      <c r="G1428" s="73"/>
      <c r="H1428" s="76" t="s">
        <v>2875</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-2.988E-2</v>
      </c>
      <c r="V1442" s="262">
        <f t="shared" si="343"/>
        <v>-2.988E-2</v>
      </c>
      <c r="W1442" s="262">
        <f t="shared" si="343"/>
        <v>-2.988E-2</v>
      </c>
      <c r="X1442" s="262">
        <f t="shared" si="344"/>
        <v>-9.2300000000000004E-3</v>
      </c>
      <c r="Y1442" s="97">
        <v>-9.2300000000000004E-3</v>
      </c>
      <c r="Z1442" s="262">
        <f t="shared" ref="Z1442:AB1442" si="346">Y1442</f>
        <v>-9.2300000000000004E-3</v>
      </c>
      <c r="AA1442" s="262">
        <f t="shared" si="346"/>
        <v>-9.2300000000000004E-3</v>
      </c>
      <c r="AB1442" s="262">
        <f t="shared" si="346"/>
        <v>-9.2300000000000004E-3</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2861</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2863</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-4.6519999999999999E-2</v>
      </c>
      <c r="V1450" s="262">
        <f t="shared" ref="V1450" si="356">U1450</f>
        <v>-4.6519999999999999E-2</v>
      </c>
      <c r="W1450" s="262">
        <f t="shared" ref="W1450" si="357">V1450</f>
        <v>-4.6519999999999999E-2</v>
      </c>
      <c r="X1450" s="262">
        <f t="shared" ref="X1450" si="358">Y1450</f>
        <v>-1.436E-2</v>
      </c>
      <c r="Y1450" s="97">
        <v>-1.436E-2</v>
      </c>
      <c r="Z1450" s="262">
        <f t="shared" ref="Z1450" si="359">Y1450</f>
        <v>-1.436E-2</v>
      </c>
      <c r="AA1450" s="262">
        <f t="shared" ref="AA1450" si="360">Z1450</f>
        <v>-1.436E-2</v>
      </c>
      <c r="AB1450" s="262">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0" t="s">
        <v>2864</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1" t="s">
        <v>2860</v>
      </c>
      <c r="I1452" s="96"/>
      <c r="J1452" s="76"/>
      <c r="K1452" s="76"/>
      <c r="L1452" s="76"/>
      <c r="M1452" s="76"/>
      <c r="N1452" s="76"/>
      <c r="O1452" s="76"/>
      <c r="P1452" s="76"/>
      <c r="Q1452" s="76"/>
      <c r="R1452" s="76"/>
      <c r="S1452" s="76"/>
      <c r="T1452" s="76"/>
      <c r="U1452" s="97">
        <v>1.3325</v>
      </c>
      <c r="V1452" s="262">
        <f t="shared" ref="V1452" si="362">U1452</f>
        <v>1.3325</v>
      </c>
      <c r="W1452" s="262">
        <f t="shared" ref="W1452" si="363">V1452</f>
        <v>1.3325</v>
      </c>
      <c r="X1452" s="262">
        <f t="shared" ref="X1452" si="364">Y1452</f>
        <v>2.2885</v>
      </c>
      <c r="Y1452" s="97">
        <v>2.2885</v>
      </c>
      <c r="Z1452" s="262">
        <f t="shared" ref="Z1452" si="365">Y1452</f>
        <v>2.2885</v>
      </c>
      <c r="AA1452" s="262">
        <f t="shared" ref="AA1452" si="366">Z1452</f>
        <v>2.2885</v>
      </c>
      <c r="AB1452" s="262">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0" t="s">
        <v>2865</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-0.62617</v>
      </c>
      <c r="V1454" s="262">
        <f t="shared" ref="V1454:W1454" si="369">U1454</f>
        <v>-0.62617</v>
      </c>
      <c r="W1454" s="262">
        <f t="shared" si="369"/>
        <v>-0.62617</v>
      </c>
      <c r="X1454" s="262">
        <f t="shared" ref="X1454" si="370">Y1454</f>
        <v>-1.0436000000000001</v>
      </c>
      <c r="Y1454" s="97">
        <v>-1.0436000000000001</v>
      </c>
      <c r="Z1454" s="262">
        <f t="shared" ref="Z1454:AB1454" si="371">Y1454</f>
        <v>-1.0436000000000001</v>
      </c>
      <c r="AA1454" s="262">
        <f t="shared" si="371"/>
        <v>-1.0436000000000001</v>
      </c>
      <c r="AB1454" s="262">
        <f t="shared" si="371"/>
        <v>-1.0436000000000001</v>
      </c>
      <c r="AC1454" s="76"/>
      <c r="AD1454" s="97" t="s">
        <v>2859</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495" t="s">
        <v>2463</v>
      </c>
      <c r="K11" s="491"/>
      <c r="L11" s="491"/>
      <c r="M11" s="491"/>
      <c r="N11" s="491"/>
      <c r="O11" s="491"/>
      <c r="P11" s="491"/>
      <c r="Q11" s="491"/>
      <c r="R11" s="491"/>
      <c r="S11" s="491"/>
      <c r="T11" s="491"/>
      <c r="U11" s="491"/>
      <c r="V11" s="491"/>
      <c r="W11" s="491"/>
      <c r="X11" s="49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2" t="s">
        <v>2474</v>
      </c>
      <c r="K12" s="493"/>
      <c r="L12" s="493"/>
      <c r="M12" s="493"/>
      <c r="N12" s="493"/>
      <c r="O12" s="493"/>
      <c r="P12" s="493"/>
      <c r="Q12" s="493"/>
      <c r="R12" s="493"/>
      <c r="S12" s="493"/>
      <c r="T12" s="493"/>
      <c r="U12" s="493"/>
      <c r="V12" s="493"/>
      <c r="W12" s="493"/>
      <c r="X12" s="49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2902</v>
      </c>
      <c r="B16">
        <v>188000</v>
      </c>
      <c r="C16" s="44">
        <v>1</v>
      </c>
      <c r="D16" s="44">
        <v>0</v>
      </c>
      <c r="E16" s="44">
        <f>1-C16-D16</f>
        <v>0</v>
      </c>
    </row>
    <row r="17" spans="1:5" x14ac:dyDescent="0.25">
      <c r="A17" t="s">
        <v>2900</v>
      </c>
      <c r="B17">
        <v>87000</v>
      </c>
      <c r="C17" s="44">
        <v>1</v>
      </c>
      <c r="D17" s="44">
        <v>0</v>
      </c>
      <c r="E17" s="44">
        <f t="shared" ref="E17:E30" si="0">1-C17-D17</f>
        <v>0</v>
      </c>
    </row>
    <row r="18" spans="1:5" x14ac:dyDescent="0.25">
      <c r="A18" t="s">
        <v>2901</v>
      </c>
      <c r="B18">
        <v>297000</v>
      </c>
      <c r="C18" s="44">
        <v>0</v>
      </c>
      <c r="D18" s="44">
        <v>1</v>
      </c>
      <c r="E18" s="44">
        <f t="shared" si="0"/>
        <v>0</v>
      </c>
    </row>
    <row r="19" spans="1:5" x14ac:dyDescent="0.25">
      <c r="A19" t="s">
        <v>162</v>
      </c>
      <c r="B19">
        <v>30000</v>
      </c>
      <c r="C19" s="44">
        <v>0</v>
      </c>
      <c r="D19" s="44">
        <v>1</v>
      </c>
      <c r="E19" s="44">
        <f t="shared" si="0"/>
        <v>0</v>
      </c>
    </row>
    <row r="20" spans="1:5" x14ac:dyDescent="0.25">
      <c r="A20" t="s">
        <v>2903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2905</v>
      </c>
      <c r="B27">
        <v>78000</v>
      </c>
      <c r="C27" s="44">
        <v>0</v>
      </c>
      <c r="D27" s="44">
        <v>0</v>
      </c>
      <c r="E27" s="44">
        <f t="shared" si="0"/>
        <v>1</v>
      </c>
    </row>
    <row r="28" spans="1:5" x14ac:dyDescent="0.25">
      <c r="A28" t="s">
        <v>34</v>
      </c>
      <c r="B28">
        <v>22000</v>
      </c>
      <c r="C28" s="44">
        <v>0</v>
      </c>
      <c r="D28" s="44">
        <v>0</v>
      </c>
      <c r="E28" s="44">
        <f t="shared" si="0"/>
        <v>1</v>
      </c>
    </row>
    <row r="29" spans="1:5" x14ac:dyDescent="0.25">
      <c r="A29" t="s">
        <v>2904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402</vt:i4>
      </vt:variant>
    </vt:vector>
  </HeadingPairs>
  <TitlesOfParts>
    <vt:vector size="413"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2023-06-19T14:25:18Z</dcterms:modified>
</cp:coreProperties>
</file>