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25BE9149-B9BC-4342-BB23-A5A7DC26793A}" xr6:coauthVersionLast="45" xr6:coauthVersionMax="47" xr10:uidLastSave="{00000000-0000-0000-0000-000000000000}"/>
  <bookViews>
    <workbookView xWindow="-120" yWindow="-120" windowWidth="29040" windowHeight="1584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182" i="13" l="1"/>
  <c r="T182" i="13"/>
  <c r="S182" i="13"/>
  <c r="R182" i="13"/>
  <c r="Q182" i="13"/>
  <c r="Z219" i="13" l="1"/>
  <c r="Z218" i="13"/>
  <c r="Z217" i="13"/>
  <c r="Z216" i="13"/>
  <c r="Z215" i="13"/>
  <c r="Z214" i="13"/>
  <c r="Z213" i="13"/>
  <c r="AQ207" i="13" a="1"/>
  <c r="AQ207" i="13" s="1"/>
  <c r="AR207" i="13" a="1"/>
  <c r="AR207" i="13" s="1"/>
  <c r="AS207" i="13" a="1"/>
  <c r="AS207" i="13" s="1"/>
  <c r="AT207" i="13" a="1"/>
  <c r="AT207" i="13" s="1"/>
  <c r="AU207" i="13" a="1"/>
  <c r="AU207" i="13" s="1"/>
  <c r="AV207" i="13" a="1"/>
  <c r="AV207" i="13" s="1"/>
  <c r="AW207" i="13" a="1"/>
  <c r="AW207" i="13" s="1"/>
  <c r="AX207" i="13" a="1"/>
  <c r="AX207" i="13" s="1"/>
  <c r="AQ208" i="13" a="1"/>
  <c r="AQ208" i="13" s="1"/>
  <c r="AR208" i="13" a="1"/>
  <c r="AR208" i="13" s="1"/>
  <c r="AS208" i="13" a="1"/>
  <c r="AS208" i="13" s="1"/>
  <c r="AT208" i="13" a="1"/>
  <c r="AT208" i="13" s="1"/>
  <c r="AU208" i="13" a="1"/>
  <c r="AU208" i="13" s="1"/>
  <c r="AV208" i="13" a="1"/>
  <c r="AV208" i="13" s="1"/>
  <c r="AW208" i="13" a="1"/>
  <c r="AW208" i="13" s="1"/>
  <c r="AX208" i="13" a="1"/>
  <c r="AX208" i="13" s="1"/>
  <c r="AQ209" i="13" a="1"/>
  <c r="AQ209" i="13" s="1"/>
  <c r="AR209" i="13" a="1"/>
  <c r="AR209" i="13" s="1"/>
  <c r="AS209" i="13" a="1"/>
  <c r="AS209" i="13" s="1"/>
  <c r="AT209" i="13" a="1"/>
  <c r="AT209" i="13" s="1"/>
  <c r="AU209" i="13" a="1"/>
  <c r="AU209" i="13" s="1"/>
  <c r="AV209" i="13" a="1"/>
  <c r="AV209" i="13" s="1"/>
  <c r="AW209" i="13" a="1"/>
  <c r="AW209" i="13" s="1"/>
  <c r="AX209" i="13" a="1"/>
  <c r="AX209" i="13" s="1"/>
  <c r="AQ210" i="13" a="1"/>
  <c r="AQ210" i="13" s="1"/>
  <c r="AR210" i="13" a="1"/>
  <c r="AR210" i="13" s="1"/>
  <c r="AS210" i="13" a="1"/>
  <c r="AS210" i="13" s="1"/>
  <c r="AT210" i="13" a="1"/>
  <c r="AT210" i="13" s="1"/>
  <c r="AU210" i="13" a="1"/>
  <c r="AU210" i="13" s="1"/>
  <c r="AV210" i="13" a="1"/>
  <c r="AV210" i="13" s="1"/>
  <c r="AW210" i="13" a="1"/>
  <c r="AW210" i="13" s="1"/>
  <c r="AX210" i="13" a="1"/>
  <c r="AX210" i="13" s="1"/>
  <c r="AQ211" i="13" a="1"/>
  <c r="AQ211" i="13" s="1"/>
  <c r="AR211" i="13" a="1"/>
  <c r="AR211" i="13" s="1"/>
  <c r="AS211" i="13" a="1"/>
  <c r="AS211" i="13" s="1"/>
  <c r="AT211" i="13" a="1"/>
  <c r="AT211" i="13" s="1"/>
  <c r="AU211" i="13" a="1"/>
  <c r="AU211" i="13" s="1"/>
  <c r="AV211" i="13" a="1"/>
  <c r="AV211" i="13" s="1"/>
  <c r="AW211" i="13" a="1"/>
  <c r="AW211" i="13" s="1"/>
  <c r="AX211" i="13" a="1"/>
  <c r="AX211" i="13" s="1"/>
  <c r="AQ212" i="13" a="1"/>
  <c r="AQ212" i="13" s="1"/>
  <c r="AR212" i="13" a="1"/>
  <c r="AR212" i="13" s="1"/>
  <c r="AS212" i="13" a="1"/>
  <c r="AS212" i="13" s="1"/>
  <c r="AT212" i="13" a="1"/>
  <c r="AT212" i="13" s="1"/>
  <c r="AU212" i="13" a="1"/>
  <c r="AU212" i="13" s="1"/>
  <c r="AV212" i="13" a="1"/>
  <c r="AV212" i="13" s="1"/>
  <c r="AW212" i="13" a="1"/>
  <c r="AW212" i="13" s="1"/>
  <c r="AX212" i="13" a="1"/>
  <c r="AX212" i="13" s="1"/>
  <c r="AQ213" i="13" a="1"/>
  <c r="AQ213" i="13" s="1"/>
  <c r="AR213" i="13" a="1"/>
  <c r="AR213" i="13" s="1"/>
  <c r="AS213" i="13" a="1"/>
  <c r="AS213" i="13" s="1"/>
  <c r="AT213" i="13" a="1"/>
  <c r="AT213" i="13" s="1"/>
  <c r="AU213" i="13" a="1"/>
  <c r="AU213" i="13" s="1"/>
  <c r="AV213" i="13" a="1"/>
  <c r="AV213" i="13" s="1"/>
  <c r="AW213" i="13" a="1"/>
  <c r="AW213" i="13" s="1"/>
  <c r="AX213" i="13" a="1"/>
  <c r="AX213" i="13" s="1"/>
  <c r="AQ214" i="13" a="1"/>
  <c r="AQ214" i="13" s="1"/>
  <c r="AR214" i="13" a="1"/>
  <c r="AR214" i="13" s="1"/>
  <c r="AS214" i="13" a="1"/>
  <c r="AS214" i="13" s="1"/>
  <c r="AT214" i="13" a="1"/>
  <c r="AT214" i="13" s="1"/>
  <c r="AU214" i="13" a="1"/>
  <c r="AU214" i="13" s="1"/>
  <c r="AV214" i="13" a="1"/>
  <c r="AV214" i="13" s="1"/>
  <c r="AW214" i="13" a="1"/>
  <c r="AW214" i="13" s="1"/>
  <c r="AX214" i="13" a="1"/>
  <c r="AX214" i="13" s="1"/>
  <c r="AR206" i="13" a="1"/>
  <c r="AR206" i="13" s="1"/>
  <c r="AS206" i="13" a="1"/>
  <c r="AS206" i="13" s="1"/>
  <c r="AT206" i="13" a="1"/>
  <c r="AT206" i="13" s="1"/>
  <c r="AU206" i="13" a="1"/>
  <c r="AU206" i="13" s="1"/>
  <c r="AV206" i="13" a="1"/>
  <c r="AV206" i="13" s="1"/>
  <c r="AW206" i="13" a="1"/>
  <c r="AW206" i="13" s="1"/>
  <c r="AX206" i="13" a="1"/>
  <c r="AX206" i="13" s="1"/>
  <c r="AQ206" i="13" a="1"/>
  <c r="AQ206" i="13" s="1"/>
  <c r="AQ195" i="13" a="1"/>
  <c r="AQ195" i="13" s="1"/>
  <c r="AR195" i="13" a="1"/>
  <c r="AR195" i="13" s="1"/>
  <c r="AS195" i="13" a="1"/>
  <c r="AS195" i="13" s="1"/>
  <c r="AT195" i="13" a="1"/>
  <c r="AT195" i="13" s="1"/>
  <c r="AU195" i="13" a="1"/>
  <c r="AU195" i="13" s="1"/>
  <c r="AV195" i="13" a="1"/>
  <c r="AV195" i="13" s="1"/>
  <c r="AW195" i="13" a="1"/>
  <c r="AW195" i="13" s="1"/>
  <c r="AX195" i="13" a="1"/>
  <c r="AX195" i="13" s="1"/>
  <c r="AQ196" i="13" a="1"/>
  <c r="AQ196" i="13" s="1"/>
  <c r="AR196" i="13" a="1"/>
  <c r="AR196" i="13" s="1"/>
  <c r="AS196" i="13" a="1"/>
  <c r="AS196" i="13" s="1"/>
  <c r="AT196" i="13" a="1"/>
  <c r="AT196" i="13" s="1"/>
  <c r="AU196" i="13" a="1"/>
  <c r="AU196" i="13" s="1"/>
  <c r="AV196" i="13" a="1"/>
  <c r="AV196" i="13" s="1"/>
  <c r="AW196" i="13" a="1"/>
  <c r="AW196" i="13" s="1"/>
  <c r="AX196" i="13" a="1"/>
  <c r="AX196" i="13" s="1"/>
  <c r="AQ197" i="13" a="1"/>
  <c r="AQ197" i="13" s="1"/>
  <c r="AR197" i="13" a="1"/>
  <c r="AR197" i="13" s="1"/>
  <c r="AS197" i="13" a="1"/>
  <c r="AS197" i="13" s="1"/>
  <c r="AT197" i="13" a="1"/>
  <c r="AT197" i="13" s="1"/>
  <c r="AU197" i="13" a="1"/>
  <c r="AU197" i="13" s="1"/>
  <c r="AV197" i="13" a="1"/>
  <c r="AV197" i="13" s="1"/>
  <c r="AW197" i="13" a="1"/>
  <c r="AW197" i="13" s="1"/>
  <c r="AX197" i="13" a="1"/>
  <c r="AX197" i="13" s="1"/>
  <c r="AQ198" i="13" a="1"/>
  <c r="AQ198" i="13" s="1"/>
  <c r="AR198" i="13" a="1"/>
  <c r="AR198" i="13" s="1"/>
  <c r="AS198" i="13" a="1"/>
  <c r="AS198" i="13" s="1"/>
  <c r="AT198" i="13" a="1"/>
  <c r="AT198" i="13" s="1"/>
  <c r="AU198" i="13" a="1"/>
  <c r="AU198" i="13" s="1"/>
  <c r="AV198" i="13" a="1"/>
  <c r="AV198" i="13" s="1"/>
  <c r="AW198" i="13" a="1"/>
  <c r="AW198" i="13" s="1"/>
  <c r="AX198" i="13" a="1"/>
  <c r="AX198" i="13" s="1"/>
  <c r="AQ199" i="13" a="1"/>
  <c r="AQ199" i="13" s="1"/>
  <c r="AR199" i="13" a="1"/>
  <c r="AR199" i="13" s="1"/>
  <c r="AS199" i="13" a="1"/>
  <c r="AS199" i="13" s="1"/>
  <c r="AT199" i="13" a="1"/>
  <c r="AT199" i="13" s="1"/>
  <c r="AU199" i="13" a="1"/>
  <c r="AU199" i="13" s="1"/>
  <c r="AV199" i="13" a="1"/>
  <c r="AV199" i="13" s="1"/>
  <c r="AW199" i="13" a="1"/>
  <c r="AW199" i="13" s="1"/>
  <c r="AX199" i="13" a="1"/>
  <c r="AX199" i="13" s="1"/>
  <c r="AQ200" i="13" a="1"/>
  <c r="AQ200" i="13" s="1"/>
  <c r="AR200" i="13" a="1"/>
  <c r="AR200" i="13" s="1"/>
  <c r="AS200" i="13" a="1"/>
  <c r="AS200" i="13" s="1"/>
  <c r="AT200" i="13" a="1"/>
  <c r="AT200" i="13" s="1"/>
  <c r="AU200" i="13" a="1"/>
  <c r="AU200" i="13" s="1"/>
  <c r="AV200" i="13" a="1"/>
  <c r="AV200" i="13" s="1"/>
  <c r="AW200" i="13" a="1"/>
  <c r="AW200" i="13" s="1"/>
  <c r="AX200" i="13" a="1"/>
  <c r="AX200" i="13" s="1"/>
  <c r="AQ201" i="13" a="1"/>
  <c r="AQ201" i="13" s="1"/>
  <c r="AR201" i="13" a="1"/>
  <c r="AR201" i="13" s="1"/>
  <c r="AS201" i="13" a="1"/>
  <c r="AS201" i="13" s="1"/>
  <c r="AT201" i="13" a="1"/>
  <c r="AT201" i="13" s="1"/>
  <c r="AU201" i="13" a="1"/>
  <c r="AU201" i="13" s="1"/>
  <c r="AV201" i="13" a="1"/>
  <c r="AV201" i="13" s="1"/>
  <c r="AW201" i="13" a="1"/>
  <c r="AW201" i="13" s="1"/>
  <c r="AX201" i="13" a="1"/>
  <c r="AX201" i="13" s="1"/>
  <c r="AQ194" i="13" a="1"/>
  <c r="AQ194" i="13" s="1"/>
  <c r="AR194" i="13" a="1"/>
  <c r="AR194" i="13" s="1"/>
  <c r="AS194" i="13" a="1"/>
  <c r="AS194" i="13" s="1"/>
  <c r="AT194" i="13" a="1"/>
  <c r="AT194" i="13" s="1"/>
  <c r="AU194" i="13" a="1"/>
  <c r="AU194" i="13" s="1"/>
  <c r="AV194" i="13" a="1"/>
  <c r="AV194" i="13" s="1"/>
  <c r="AW194" i="13" a="1"/>
  <c r="AW194" i="13" s="1"/>
  <c r="AX194" i="13" a="1"/>
  <c r="AX194" i="13" s="1"/>
  <c r="AR193" i="13" a="1"/>
  <c r="AR193" i="13" s="1"/>
  <c r="AS193" i="13" a="1"/>
  <c r="AS193" i="13" s="1"/>
  <c r="AT193" i="13" a="1"/>
  <c r="AT193" i="13" s="1"/>
  <c r="AU193" i="13" a="1"/>
  <c r="AU193" i="13" s="1"/>
  <c r="AV193" i="13" a="1"/>
  <c r="AV193" i="13" s="1"/>
  <c r="AW193" i="13" a="1"/>
  <c r="AW193" i="13" s="1"/>
  <c r="AX193" i="13" a="1"/>
  <c r="AX193" i="13" s="1"/>
  <c r="AQ193" i="13" a="1"/>
  <c r="AQ193" i="13" s="1"/>
  <c r="Q186" i="13"/>
  <c r="S166" i="13" l="1"/>
  <c r="S170" i="13" l="1"/>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R94" i="13"/>
  <c r="AF109" i="13" l="1"/>
  <c r="AE109" i="13"/>
  <c r="AD109" i="13"/>
  <c r="AF96" i="13"/>
  <c r="AE96" i="13"/>
  <c r="AD96" i="13"/>
  <c r="AW109" i="13"/>
  <c r="AX109" i="13" s="1"/>
  <c r="G27" i="6"/>
  <c r="AT109" i="13" l="1"/>
  <c r="AS109" i="13"/>
  <c r="AR109" i="13"/>
  <c r="X172" i="13"/>
  <c r="W172" i="13"/>
  <c r="U172" i="13"/>
  <c r="T172" i="13"/>
  <c r="T170" i="13"/>
  <c r="X166" i="13"/>
  <c r="W166" i="13"/>
  <c r="U166" i="13"/>
  <c r="T166" i="13"/>
  <c r="S173" i="13"/>
  <c r="S172" i="13"/>
  <c r="S171" i="13" s="1"/>
  <c r="S169" i="13"/>
  <c r="S168" i="13"/>
  <c r="S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7" i="13"/>
  <c r="X173" i="13"/>
  <c r="U169" i="13"/>
  <c r="A73" i="18"/>
  <c r="A73" i="16"/>
  <c r="X170" i="13" l="1"/>
  <c r="T173" i="13"/>
  <c r="U173" i="13"/>
  <c r="W173" i="13"/>
  <c r="X171"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R166" i="13"/>
  <c r="AS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P173" i="13"/>
  <c r="AP172" i="13"/>
  <c r="AP171" i="13"/>
  <c r="AP170" i="13"/>
  <c r="AP169" i="13"/>
  <c r="AP168" i="13"/>
  <c r="AP167" i="13"/>
  <c r="AP166" i="13"/>
  <c r="AZ95" i="13"/>
  <c r="AW108" i="13"/>
  <c r="AX108" i="13" s="1"/>
  <c r="AW107" i="13"/>
  <c r="AX107" i="13" s="1"/>
  <c r="AW106" i="13"/>
  <c r="AX106" i="13" s="1"/>
  <c r="AW105" i="13"/>
  <c r="AX105" i="13" s="1"/>
  <c r="AW104" i="13"/>
  <c r="AX104" i="13" s="1"/>
  <c r="AW103" i="13"/>
  <c r="AX103" i="13" s="1"/>
  <c r="AW102" i="13"/>
  <c r="AW101" i="13"/>
  <c r="AX101" i="13" s="1"/>
  <c r="AW100" i="13"/>
  <c r="AX100" i="13" s="1"/>
  <c r="AW99" i="13"/>
  <c r="AX99" i="13" s="1"/>
  <c r="AW98" i="13"/>
  <c r="AX98" i="13" s="1"/>
  <c r="AW97" i="13"/>
  <c r="AX97" i="13" s="1"/>
  <c r="L340" i="14"/>
  <c r="K340" i="14"/>
  <c r="O120" i="13"/>
  <c r="AQ204" i="13" l="1" a="1"/>
  <c r="AQ204" i="13" s="1"/>
  <c r="AQ177" i="13" a="1"/>
  <c r="AQ177" i="13" s="1"/>
  <c r="AQ191" i="13" a="1"/>
  <c r="AQ191" i="13" s="1"/>
  <c r="U86" i="9"/>
  <c r="O126" i="13"/>
  <c r="N121" i="13"/>
  <c r="L121" i="13"/>
  <c r="K121" i="13"/>
  <c r="N126" i="13"/>
  <c r="M121" i="13"/>
  <c r="M126" i="13"/>
  <c r="L126" i="13"/>
  <c r="O121" i="13"/>
  <c r="K126" i="13"/>
  <c r="J121" i="13"/>
  <c r="P126" i="13"/>
  <c r="J126" i="13"/>
  <c r="P121" i="13"/>
  <c r="AX102" i="13"/>
  <c r="AS173" i="13"/>
  <c r="AS171" i="13"/>
  <c r="AS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S168" i="13"/>
  <c r="AT168" i="13" s="1"/>
  <c r="C168" i="13"/>
  <c r="AG167" i="13"/>
  <c r="AF167" i="13"/>
  <c r="AS167" i="13"/>
  <c r="AT167" i="13" s="1"/>
  <c r="C167" i="13"/>
  <c r="AG166" i="13"/>
  <c r="AF166" i="13"/>
  <c r="AT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T108" i="13"/>
  <c r="AS108" i="13"/>
  <c r="AR108" i="13"/>
  <c r="C108" i="13"/>
  <c r="AT107" i="13"/>
  <c r="AS107" i="13"/>
  <c r="AR107" i="13"/>
  <c r="AA107" i="13"/>
  <c r="AA109" i="13" s="1"/>
  <c r="Z107" i="13"/>
  <c r="Z109" i="13" s="1"/>
  <c r="Y107" i="13"/>
  <c r="Y109" i="13" s="1"/>
  <c r="X107" i="13"/>
  <c r="X109" i="13" s="1"/>
  <c r="W107" i="13"/>
  <c r="W109" i="13" s="1"/>
  <c r="C107" i="13"/>
  <c r="AT106" i="13"/>
  <c r="AS106" i="13"/>
  <c r="AR106" i="13"/>
  <c r="AA106" i="13"/>
  <c r="AA108" i="13" s="1"/>
  <c r="Z106" i="13"/>
  <c r="Z108" i="13" s="1"/>
  <c r="Y106" i="13"/>
  <c r="Y108" i="13" s="1"/>
  <c r="X106" i="13"/>
  <c r="X108" i="13" s="1"/>
  <c r="W106" i="13"/>
  <c r="W108" i="13" s="1"/>
  <c r="F106" i="13"/>
  <c r="C106" i="13"/>
  <c r="AT105" i="13"/>
  <c r="AS105" i="13"/>
  <c r="AR105" i="13"/>
  <c r="F105" i="13"/>
  <c r="C105" i="13"/>
  <c r="AT104" i="13"/>
  <c r="AS104" i="13"/>
  <c r="AR104" i="13"/>
  <c r="C104" i="13"/>
  <c r="AT103" i="13"/>
  <c r="AS103" i="13"/>
  <c r="AR103" i="13"/>
  <c r="K104" i="13"/>
  <c r="I104" i="13"/>
  <c r="C103" i="13"/>
  <c r="C102" i="13"/>
  <c r="AT101" i="13"/>
  <c r="AS101" i="13"/>
  <c r="AR101" i="13"/>
  <c r="F101" i="13"/>
  <c r="C101" i="13"/>
  <c r="AT100" i="13"/>
  <c r="AS100" i="13"/>
  <c r="AR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C97" i="13"/>
  <c r="C96" i="13"/>
  <c r="AF95" i="13"/>
  <c r="AT95" i="13" s="1"/>
  <c r="AE95" i="13"/>
  <c r="AS95" i="13" s="1"/>
  <c r="AD95" i="13"/>
  <c r="AR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S172" i="13"/>
  <c r="AS169" i="13"/>
  <c r="I225" i="13"/>
  <c r="AA728" i="14"/>
  <c r="W605" i="14"/>
  <c r="V744" i="14"/>
  <c r="V745" i="14" s="1"/>
  <c r="V746" i="14" s="1"/>
  <c r="BC95" i="13"/>
  <c r="AY109" i="13" s="1"/>
  <c r="AZ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P100" i="13" l="1"/>
  <c r="AY108" i="13"/>
  <c r="AY107" i="13"/>
  <c r="AY106" i="13"/>
  <c r="AY102" i="13"/>
  <c r="AZ102" i="13" s="1"/>
  <c r="AY100" i="13"/>
  <c r="AZ100" i="13" s="1"/>
  <c r="AY99" i="13"/>
  <c r="AZ99" i="13" s="1"/>
  <c r="AY98" i="13"/>
  <c r="AZ98" i="13" s="1"/>
  <c r="AY97" i="13"/>
  <c r="AZ97" i="13" s="1"/>
  <c r="AY105" i="13"/>
  <c r="AZ105" i="13" s="1"/>
  <c r="AY104" i="13"/>
  <c r="AZ104" i="13" s="1"/>
  <c r="AY103" i="13"/>
  <c r="AZ103" i="13" s="1"/>
  <c r="AY101" i="13"/>
  <c r="AZ101" i="13" s="1"/>
  <c r="AP108" i="13"/>
  <c r="AP109" i="13" s="1"/>
  <c r="BA109" i="13" s="1"/>
  <c r="AP107" i="13"/>
  <c r="AP106" i="13"/>
  <c r="AP98" i="13"/>
  <c r="AP97" i="13"/>
  <c r="AP105" i="13"/>
  <c r="AP104" i="13"/>
  <c r="AP103" i="13"/>
  <c r="AP102" i="13"/>
  <c r="AP101" i="13"/>
  <c r="AP99" i="13"/>
  <c r="Z1093" i="14"/>
  <c r="I226" i="13"/>
  <c r="W744" i="14"/>
  <c r="W745" i="14" s="1"/>
  <c r="W746" i="14" s="1"/>
  <c r="AB733" i="14"/>
  <c r="AB731" i="14"/>
  <c r="AU167" i="13"/>
  <c r="F97" i="13"/>
  <c r="AT172" i="13"/>
  <c r="AA731" i="14"/>
  <c r="AU168" i="13"/>
  <c r="K42" i="10"/>
  <c r="P106" i="13"/>
  <c r="P108" i="13" s="1"/>
  <c r="AT169" i="13"/>
  <c r="AX169" i="13" s="1"/>
  <c r="AA734" i="14"/>
  <c r="AA733" i="14"/>
  <c r="AB813" i="14"/>
  <c r="AB729" i="14" s="1"/>
  <c r="AA729" i="14"/>
  <c r="J96" i="13"/>
  <c r="F96" i="13" s="1"/>
  <c r="AA781" i="14"/>
  <c r="Z681" i="14"/>
  <c r="X730" i="14"/>
  <c r="X732" i="14"/>
  <c r="AB1094" i="14"/>
  <c r="AB1093" i="14" s="1"/>
  <c r="AA1093" i="14"/>
  <c r="L243" i="13"/>
  <c r="N243" i="13"/>
  <c r="AU166" i="13"/>
  <c r="AQ179" i="13" s="1" a="1"/>
  <c r="AQ179" i="13" s="1"/>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R179" i="13" l="1" a="1"/>
  <c r="AR179" i="13" s="1"/>
  <c r="AR185" i="13" a="1"/>
  <c r="AR185" i="13" s="1"/>
  <c r="AR184" i="13" a="1"/>
  <c r="AR184" i="13" s="1"/>
  <c r="AR183" i="13" a="1"/>
  <c r="AR183" i="13" s="1"/>
  <c r="AR182" i="13" a="1"/>
  <c r="AR182" i="13" s="1"/>
  <c r="AR181" i="13" a="1"/>
  <c r="AR181" i="13" s="1"/>
  <c r="AR180" i="13" a="1"/>
  <c r="AR180" i="13" s="1"/>
  <c r="AR186" i="13" a="1"/>
  <c r="AR186" i="13" s="1"/>
  <c r="AR187" i="13" a="1"/>
  <c r="AR187" i="13" s="1"/>
  <c r="AQ183" i="13" a="1"/>
  <c r="AQ183" i="13" s="1"/>
  <c r="AQ182" i="13" a="1"/>
  <c r="AQ182" i="13" s="1"/>
  <c r="AQ187" i="13" a="1"/>
  <c r="AQ187" i="13" s="1"/>
  <c r="AQ181" i="13" a="1"/>
  <c r="AQ181" i="13" s="1"/>
  <c r="AQ186" i="13" a="1"/>
  <c r="AQ186" i="13" s="1"/>
  <c r="AQ180" i="13" a="1"/>
  <c r="AQ180" i="13" s="1"/>
  <c r="AQ185" i="13" a="1"/>
  <c r="AQ185" i="13" s="1"/>
  <c r="AQ184" i="13" a="1"/>
  <c r="AQ184" i="13" s="1"/>
  <c r="AS179" i="13" a="1"/>
  <c r="AS179" i="13" s="1"/>
  <c r="AS186" i="13" a="1"/>
  <c r="AS186" i="13" s="1"/>
  <c r="AS180" i="13" a="1"/>
  <c r="AS180" i="13" s="1"/>
  <c r="AS181" i="13" a="1"/>
  <c r="AS181" i="13" s="1"/>
  <c r="AS185" i="13" a="1"/>
  <c r="AS185" i="13" s="1"/>
  <c r="AS184" i="13" a="1"/>
  <c r="AS184" i="13" s="1"/>
  <c r="AS183" i="13" a="1"/>
  <c r="AS183" i="13" s="1"/>
  <c r="AS182" i="13" a="1"/>
  <c r="AS182" i="13" s="1"/>
  <c r="AS187" i="13" a="1"/>
  <c r="AS187" i="13" s="1"/>
  <c r="BA102" i="13"/>
  <c r="BA98" i="13"/>
  <c r="BA99" i="13"/>
  <c r="BA103" i="13"/>
  <c r="BA105" i="13"/>
  <c r="BA101" i="13"/>
  <c r="BA100" i="13"/>
  <c r="BA104" i="13"/>
  <c r="BA106" i="13"/>
  <c r="AZ106" i="13"/>
  <c r="BA107" i="13"/>
  <c r="AZ107" i="13"/>
  <c r="AZ108" i="13"/>
  <c r="BA108" i="13"/>
  <c r="AP96" i="13"/>
  <c r="BA97" i="13"/>
  <c r="AU172" i="13"/>
  <c r="AU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AT179" i="13" l="1" a="1"/>
  <c r="AT179" i="13" s="1"/>
  <c r="AT186" i="13" a="1"/>
  <c r="AT186" i="13" s="1"/>
  <c r="AT185" i="13" a="1"/>
  <c r="AT185" i="13" s="1"/>
  <c r="AT184" i="13" a="1"/>
  <c r="AT184" i="13" s="1"/>
  <c r="AT183" i="13" a="1"/>
  <c r="AT183" i="13" s="1"/>
  <c r="AT182" i="13" a="1"/>
  <c r="AT182" i="13" s="1"/>
  <c r="AT181" i="13" a="1"/>
  <c r="AT181" i="13" s="1"/>
  <c r="AT180" i="13" a="1"/>
  <c r="AT180" i="13" s="1"/>
  <c r="AT187" i="13" a="1"/>
  <c r="AT187" i="13" s="1"/>
  <c r="AW179" i="13" a="1"/>
  <c r="AW179" i="13" s="1"/>
  <c r="AW180" i="13" a="1"/>
  <c r="AW180" i="13" s="1"/>
  <c r="AW186" i="13" a="1"/>
  <c r="AW186" i="13" s="1"/>
  <c r="AW187" i="13" a="1"/>
  <c r="AW187" i="13" s="1"/>
  <c r="AW185" i="13" a="1"/>
  <c r="AW185" i="13" s="1"/>
  <c r="AW184" i="13" a="1"/>
  <c r="AW184" i="13" s="1"/>
  <c r="AW182" i="13" a="1"/>
  <c r="AW182" i="13" s="1"/>
  <c r="AW181" i="13" a="1"/>
  <c r="AW181" i="13" s="1"/>
  <c r="AW183" i="13" a="1"/>
  <c r="AW183" i="13" s="1"/>
  <c r="AX172" i="13"/>
  <c r="Y744" i="14"/>
  <c r="Z744" i="14" s="1"/>
  <c r="AA1062" i="14"/>
  <c r="Z1061" i="14"/>
  <c r="AA684" i="14"/>
  <c r="AB782" i="14"/>
  <c r="AA682" i="14"/>
  <c r="AT173" i="13"/>
  <c r="AU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AX179" i="13" l="1" a="1"/>
  <c r="AX179" i="13" s="1"/>
  <c r="AX183" i="13" a="1"/>
  <c r="AX183" i="13" s="1"/>
  <c r="AX186" i="13" a="1"/>
  <c r="AX186" i="13" s="1"/>
  <c r="AX182" i="13" a="1"/>
  <c r="AX182" i="13" s="1"/>
  <c r="AX180" i="13" a="1"/>
  <c r="AX180" i="13" s="1"/>
  <c r="AX187" i="13" a="1"/>
  <c r="AX187" i="13" s="1"/>
  <c r="AX181" i="13" a="1"/>
  <c r="AX181" i="13" s="1"/>
  <c r="AX184" i="13" a="1"/>
  <c r="AX184" i="13" s="1"/>
  <c r="AX185" i="13" a="1"/>
  <c r="AX185" i="13" s="1"/>
  <c r="Y745" i="14"/>
  <c r="Y746" i="14" s="1"/>
  <c r="AB1062" i="14"/>
  <c r="AB1061" i="14" s="1"/>
  <c r="AA1061" i="14"/>
  <c r="AB682" i="14"/>
  <c r="AB684" i="14"/>
  <c r="AA686" i="14"/>
  <c r="AA683" i="14"/>
  <c r="AA685" i="14"/>
  <c r="Y743" i="14"/>
  <c r="Z742" i="14"/>
  <c r="Z745" i="14"/>
  <c r="Z746" i="14" s="1"/>
  <c r="AA744" i="14"/>
  <c r="AT170" i="13" l="1"/>
  <c r="AU170" i="13" s="1"/>
  <c r="AT171" i="13"/>
  <c r="AX171" i="13" s="1"/>
  <c r="AB686" i="14"/>
  <c r="AB685" i="14"/>
  <c r="AB683" i="14"/>
  <c r="AA745" i="14"/>
  <c r="AA746" i="14" s="1"/>
  <c r="AB744" i="14"/>
  <c r="AB745" i="14" s="1"/>
  <c r="AB746" i="14" s="1"/>
  <c r="Z743" i="14"/>
  <c r="AA742" i="14"/>
  <c r="AU179" i="13" l="1" a="1"/>
  <c r="AU179" i="13" s="1"/>
  <c r="AU184" i="13" a="1"/>
  <c r="AU184" i="13" s="1"/>
  <c r="AU183" i="13" a="1"/>
  <c r="AU183" i="13" s="1"/>
  <c r="AU182" i="13" a="1"/>
  <c r="AU182" i="13" s="1"/>
  <c r="AU180" i="13" a="1"/>
  <c r="AU180" i="13" s="1"/>
  <c r="AU186" i="13" a="1"/>
  <c r="AU186" i="13" s="1"/>
  <c r="AU185" i="13" a="1"/>
  <c r="AU185" i="13" s="1"/>
  <c r="AU187" i="13" a="1"/>
  <c r="AU187" i="13" s="1"/>
  <c r="AU181" i="13" a="1"/>
  <c r="AU181" i="13" s="1"/>
  <c r="AU171" i="13"/>
  <c r="AA743" i="14"/>
  <c r="AB742" i="14"/>
  <c r="AB743" i="14" s="1"/>
  <c r="AV179" i="13" l="1" a="1"/>
  <c r="AV179" i="13" s="1"/>
  <c r="AV185" i="13" a="1"/>
  <c r="AV185" i="13" s="1"/>
  <c r="AV183" i="13" a="1"/>
  <c r="AV183" i="13" s="1"/>
  <c r="AV181" i="13" a="1"/>
  <c r="AV181" i="13" s="1"/>
  <c r="AV184" i="13" a="1"/>
  <c r="AV184" i="13" s="1"/>
  <c r="AV186" i="13" a="1"/>
  <c r="AV186" i="13" s="1"/>
  <c r="AV180" i="13" a="1"/>
  <c r="AV180" i="13" s="1"/>
  <c r="AV187" i="13" a="1"/>
  <c r="AV187" i="13" s="1"/>
  <c r="AV182" i="13" a="1"/>
  <c r="AV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P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Z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C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A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T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R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N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Q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N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Q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N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Q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<sst xmlns="http://schemas.openxmlformats.org/spreadsheetml/2006/main" count="4889" uniqueCount="2913">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</sst>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0" fontId="0" fillId="0" borderId="0" xfId="0"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Sheep!$AQ$177:$AQ$178</c:f>
              <c:strCache>
                <c:ptCount val="2"/>
                <c:pt idx="0">
                  <c:v>Lamb grid (0)</c:v>
                </c:pt>
                <c:pt idx="1">
                  <c:v>44%</c:v>
                </c:pt>
              </c:strCache>
            </c:strRef>
          </c:tx>
          <c:spPr>
            <a:ln w="28575" cap="rnd">
              <a:solidFill>
                <a:schemeClr val="accent1"/>
              </a:solidFill>
              <a:round/>
            </a:ln>
            <a:effectLst/>
          </c:spPr>
          <c:marker>
            <c:symbol val="none"/>
          </c:marker>
          <c:cat>
            <c:numRef>
              <c:f>Sheep!$AP$179:$AP$187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Sheep!$AQ$179:$AQ$187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Sheep!$AU$177:$AU$178</c:f>
              <c:strCache>
                <c:ptCount val="2"/>
                <c:pt idx="0">
                  <c:v>Export wether grid (4)</c:v>
                </c:pt>
                <c:pt idx="1">
                  <c:v>100%</c:v>
                </c:pt>
              </c:strCache>
            </c:strRef>
          </c:tx>
          <c:spPr>
            <a:ln w="28575" cap="rnd">
              <a:solidFill>
                <a:schemeClr val="accent5"/>
              </a:solidFill>
              <a:round/>
            </a:ln>
            <a:effectLst/>
          </c:spPr>
          <c:marker>
            <c:symbol val="none"/>
          </c:marker>
          <c:cat>
            <c:numRef>
              <c:f>Sheep!$AP$179:$AP$187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Sheep!$AU$179:$AU$187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Sheep!$AW$177:$AW$178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Sheep!$AP$179:$AP$187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Sheep!$AR$177:$AR$178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Sheep!$AR$179:$AR$187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c:ext xmlns:c15="http://schemas.microsoft.com/office/drawing/2012/chart" uri="{02D57815-91ED-43cb-92C2-25804820EDAC}">
                        <c15:formulaRef>
                          <c15:sqref>Sheep!$AS$177:$AS$178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c:ext xmlns:c15="http://schemas.microsoft.com/office/drawing/2012/char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xmlns:c15="http://schemas.microsoft.com/office/drawing/2012/chart" uri="{02D57815-91ED-43cb-92C2-25804820EDAC}">
                        <c15:formulaRef>
                          <c15:sqref>Sheep!$AS$179:$AS$187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2-5E65-4C6D-A22F-B672FD853854}"/>
                  </c:ext>
                </c:extLst>
              </c15:ser>
            </c15:filteredLineSeries>
            <c15:filteredLineSeries>
              <c15:ser>
                <c:idx val="3"/>
                <c:order val="3"/>
                <c:tx>
                  <c:strRef>
                    <c:extLst>
                      <c:ext xmlns:c15="http://schemas.microsoft.com/office/drawing/2012/chart" uri="{02D57815-91ED-43cb-92C2-25804820EDAC}">
                        <c15:formulaRef>
                          <c15:sqref>Sheep!$AT$177:$AT$178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c:ext xmlns:c15="http://schemas.microsoft.com/office/drawing/2012/char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xmlns:c15="http://schemas.microsoft.com/office/drawing/2012/chart" uri="{02D57815-91ED-43cb-92C2-25804820EDAC}">
                        <c15:formulaRef>
                          <c15:sqref>Sheep!$AT$179:$AT$187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c:ext xmlns:c16="http://schemas.microsoft.com/office/drawing/2014/chart" uri="{C3380CC4-5D6E-409C-BE32-E72D297353CC}">
                    <c16:uniqueId val="{00000003-5E65-4C6D-A22F-B672FD853854}"/>
                  </c:ext>
                </c:extLst>
              </c15:ser>
            </c15:filteredLineSeries>
            <c15:filteredLineSeries>
              <c15:ser>
                <c:idx val="5"/>
                <c:order val="5"/>
                <c:tx>
                  <c:strRef>
                    <c:extLst>
                      <c:ext xmlns:c15="http://schemas.microsoft.com/office/drawing/2012/chart" uri="{02D57815-91ED-43cb-92C2-25804820EDAC}">
                        <c15:formulaRef>
                          <c15:sqref>Sheep!$AV$177:$AV$178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c:ext xmlns:c15="http://schemas.microsoft.com/office/drawing/2012/char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xmlns:c15="http://schemas.microsoft.com/office/drawing/2012/chart" uri="{02D57815-91ED-43cb-92C2-25804820EDAC}">
                        <c15:formulaRef>
                          <c15:sqref>Sheep!$AV$179:$AV$187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c:ext xmlns:c16="http://schemas.microsoft.com/office/drawing/2014/chart" uri="{C3380CC4-5D6E-409C-BE32-E72D297353CC}">
                    <c16:uniqueId val="{00000005-5E65-4C6D-A22F-B672FD853854}"/>
                  </c:ext>
                </c:extLst>
              </c15:ser>
            </c15:filteredLineSeries>
            <c15:filteredLineSeries>
              <c15:ser>
                <c:idx val="7"/>
                <c:order val="7"/>
                <c:tx>
                  <c:strRef>
                    <c:extLst>
                      <c:ext xmlns:c15="http://schemas.microsoft.com/office/drawing/2012/chart" uri="{02D57815-91ED-43cb-92C2-25804820EDAC}">
                        <c15:formulaRef>
                          <c15:sqref>Sheep!$AX$177:$AX$178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xmlns:c15="http://schemas.microsoft.com/office/drawing/2012/chart" uri="{02D57815-91ED-43cb-92C2-25804820EDAC}">
                        <c15:formulaRef>
                          <c15:sqref>Sheep!$AX$179:$AX$187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50</xdr:col>
      <xdr:colOff>302559</xdr:colOff>
      <xdr:row>173</xdr:row>
      <xdr:rowOff>67235</xdr:rowOff>
    </xdr:from>
    <xdr:to>
      <xdr:col>59</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2429</v>
      </c>
      <c r="G21" s="401" t="s">
        <v>2431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2437</v>
      </c>
      <c r="G23" s="94"/>
      <c r="H23" s="94"/>
      <c r="I23" s="94"/>
      <c r="J23" s="94"/>
      <c r="K23" s="363" t="s">
        <v>2431</v>
      </c>
      <c r="L23" s="94"/>
      <c r="M23" s="94"/>
      <c r="N23" s="94"/>
      <c r="O23" s="94"/>
      <c r="P23" s="363" t="s">
        <v>2432</v>
      </c>
      <c r="Q23" s="94"/>
      <c r="R23" s="94"/>
      <c r="S23" s="94"/>
      <c r="T23" s="94"/>
      <c r="U23" s="94"/>
      <c r="V23" s="94"/>
      <c r="W23" s="73"/>
      <c r="X23" s="57"/>
      <c r="Y23" s="45"/>
      <c r="Z23" s="45"/>
      <c r="AA23" s="45"/>
    </row>
    <row r="24" spans="1:27" ht="60" outlineLevel="3" x14ac:dyDescent="0.25">
      <c r="A24" s="45"/>
      <c r="B24" s="54"/>
      <c r="C24" s="73"/>
      <c r="D24" s="73"/>
      <c r="E24" s="76"/>
      <c r="F24" s="367" t="s">
        <v>2430</v>
      </c>
      <c r="G24" s="366" t="s">
        <v>2431</v>
      </c>
      <c r="H24" s="76"/>
      <c r="I24" s="76"/>
      <c r="J24" s="76"/>
      <c r="K24" s="367" t="s">
        <v>2433</v>
      </c>
      <c r="L24" s="364">
        <v>5.0000000000000004E-6</v>
      </c>
      <c r="M24" s="76"/>
      <c r="N24" s="76"/>
      <c r="O24" s="76"/>
      <c r="P24" s="367" t="s">
        <v>2434</v>
      </c>
      <c r="Q24" s="364">
        <v>0.7</v>
      </c>
      <c r="R24" s="76"/>
      <c r="S24" s="76"/>
      <c r="T24" s="76"/>
      <c r="U24" s="76"/>
      <c r="V24" s="76"/>
      <c r="W24" s="73"/>
      <c r="X24" s="57"/>
      <c r="Y24" s="45"/>
      <c r="Z24" s="45"/>
      <c r="AA24" s="45"/>
    </row>
    <row r="25" spans="1:27" outlineLevel="3" x14ac:dyDescent="0.25">
      <c r="A25" s="45"/>
      <c r="B25" s="54"/>
      <c r="C25" s="73"/>
      <c r="D25" s="73"/>
      <c r="E25" s="76"/>
      <c r="F25" s="76"/>
      <c r="G25" s="366" t="s">
        <v>2432</v>
      </c>
      <c r="H25" s="76"/>
      <c r="I25" s="76"/>
      <c r="J25" s="76"/>
      <c r="K25" s="76"/>
      <c r="L25" s="76"/>
      <c r="M25" s="76"/>
      <c r="N25" s="76"/>
      <c r="O25" s="76"/>
      <c r="P25" s="76" t="s">
        <v>2435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2404</v>
      </c>
      <c r="I36" t="s">
        <v>2405</v>
      </c>
      <c r="K36" t="s">
        <v>2828</v>
      </c>
      <c r="M36" t="s">
        <v>2829</v>
      </c>
    </row>
    <row r="37" spans="1:27" x14ac:dyDescent="0.25">
      <c r="G37" s="351" t="s">
        <v>4</v>
      </c>
      <c r="I37" s="351" t="s">
        <v>2406</v>
      </c>
      <c r="K37" s="351" t="str" cm="1">
        <f t="array" ref="K37:K43">Price!B72:B78</f>
        <v>lime</v>
      </c>
      <c r="M37" s="450" t="s">
        <v>2830</v>
      </c>
    </row>
    <row r="38" spans="1:27" x14ac:dyDescent="0.25">
      <c r="G38" s="352" t="s">
        <v>2398</v>
      </c>
      <c r="I38" s="352" t="s">
        <v>142</v>
      </c>
      <c r="K38" s="352" t="str">
        <v>at_seeding</v>
      </c>
      <c r="M38" s="451" t="s">
        <v>2831</v>
      </c>
    </row>
    <row r="39" spans="1:27" ht="45" x14ac:dyDescent="0.25">
      <c r="G39" s="352" t="s">
        <v>10</v>
      </c>
      <c r="I39" s="352" t="s">
        <v>2682</v>
      </c>
      <c r="K39" s="352" t="str">
        <v>mid</v>
      </c>
      <c r="M39" s="451" t="s">
        <v>2832</v>
      </c>
    </row>
    <row r="40" spans="1:27" ht="30" x14ac:dyDescent="0.25">
      <c r="G40" t="s">
        <v>85</v>
      </c>
      <c r="H40" s="356"/>
      <c r="I40" s="352" t="s">
        <v>4</v>
      </c>
      <c r="K40" s="352" t="str">
        <v>late_cereal</v>
      </c>
      <c r="M40" s="452" t="s">
        <v>2833</v>
      </c>
    </row>
    <row r="41" spans="1:27" x14ac:dyDescent="0.25">
      <c r="G41" s="352" t="s">
        <v>86</v>
      </c>
      <c r="I41" s="352" t="s">
        <v>2398</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2402</v>
      </c>
      <c r="I45" s="352" t="s">
        <v>2407</v>
      </c>
    </row>
    <row r="46" spans="1:27" x14ac:dyDescent="0.25">
      <c r="G46" s="352" t="s">
        <v>101</v>
      </c>
      <c r="I46" s="352" t="s">
        <v>147</v>
      </c>
    </row>
    <row r="47" spans="1:27" x14ac:dyDescent="0.25">
      <c r="G47" s="352" t="s">
        <v>9</v>
      </c>
      <c r="I47" s="352" t="s">
        <v>145</v>
      </c>
    </row>
    <row r="48" spans="1:27" x14ac:dyDescent="0.25">
      <c r="G48" s="352" t="s">
        <v>2401</v>
      </c>
      <c r="I48" s="352" t="s">
        <v>87</v>
      </c>
    </row>
    <row r="49" spans="7:9" x14ac:dyDescent="0.25">
      <c r="G49" s="352" t="s">
        <v>88</v>
      </c>
      <c r="I49" s="352" t="s">
        <v>7</v>
      </c>
    </row>
    <row r="50" spans="7:9" x14ac:dyDescent="0.25">
      <c r="G50" s="352" t="s">
        <v>5</v>
      </c>
      <c r="I50" s="352" t="s">
        <v>156</v>
      </c>
    </row>
    <row r="51" spans="7:9" x14ac:dyDescent="0.25">
      <c r="G51" s="352" t="s">
        <v>2400</v>
      </c>
      <c r="I51" s="352" t="s">
        <v>6</v>
      </c>
    </row>
    <row r="52" spans="7:9" x14ac:dyDescent="0.25">
      <c r="G52" s="352" t="s">
        <v>8</v>
      </c>
      <c r="I52" s="352" t="s">
        <v>2402</v>
      </c>
    </row>
    <row r="53" spans="7:9" x14ac:dyDescent="0.25">
      <c r="G53" s="353" t="s">
        <v>2399</v>
      </c>
      <c r="I53" s="352" t="s">
        <v>101</v>
      </c>
    </row>
    <row r="54" spans="7:9" x14ac:dyDescent="0.25">
      <c r="I54" s="352" t="s">
        <v>9</v>
      </c>
    </row>
    <row r="55" spans="7:9" x14ac:dyDescent="0.25">
      <c r="I55" s="352" t="s">
        <v>2401</v>
      </c>
    </row>
    <row r="56" spans="7:9" x14ac:dyDescent="0.25">
      <c r="I56" s="352" t="s">
        <v>2408</v>
      </c>
    </row>
    <row r="57" spans="7:9" x14ac:dyDescent="0.25">
      <c r="I57" s="352" t="s">
        <v>2665</v>
      </c>
    </row>
    <row r="58" spans="7:9" x14ac:dyDescent="0.25">
      <c r="I58" s="352" t="s">
        <v>143</v>
      </c>
    </row>
    <row r="59" spans="7:9" x14ac:dyDescent="0.25">
      <c r="I59" s="352" t="s">
        <v>2409</v>
      </c>
    </row>
    <row r="60" spans="7:9" x14ac:dyDescent="0.25">
      <c r="I60" s="352" t="s">
        <v>146</v>
      </c>
    </row>
    <row r="61" spans="7:9" x14ac:dyDescent="0.25">
      <c r="I61" s="352" t="s">
        <v>144</v>
      </c>
    </row>
    <row r="62" spans="7:9" x14ac:dyDescent="0.25">
      <c r="I62" s="352" t="s">
        <v>2410</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2400</v>
      </c>
    </row>
    <row r="68" spans="9:9" x14ac:dyDescent="0.25">
      <c r="I68" s="352" t="s">
        <v>2411</v>
      </c>
    </row>
    <row r="69" spans="9:9" x14ac:dyDescent="0.25">
      <c r="I69" s="352" t="s">
        <v>151</v>
      </c>
    </row>
    <row r="70" spans="9:9" x14ac:dyDescent="0.25">
      <c r="I70" s="352" t="s">
        <v>149</v>
      </c>
    </row>
    <row r="71" spans="9:9" x14ac:dyDescent="0.25">
      <c r="I71" s="352" t="s">
        <v>8</v>
      </c>
    </row>
    <row r="72" spans="9:9" x14ac:dyDescent="0.25">
      <c r="I72" s="353" t="s">
        <v>2399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19"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2361</v>
      </c>
      <c r="B46">
        <v>50</v>
      </c>
      <c r="J46" s="1" t="s">
        <v>2362</v>
      </c>
    </row>
    <row r="47" spans="1:18" x14ac:dyDescent="0.25">
      <c r="A47" s="3"/>
      <c r="J47" s="455" t="s">
        <v>2412</v>
      </c>
      <c r="K47" s="455"/>
      <c r="L47" s="455"/>
      <c r="M47" s="455" t="s">
        <v>2416</v>
      </c>
      <c r="N47" s="455"/>
      <c r="O47" s="455"/>
      <c r="P47" s="455" t="s">
        <v>2417</v>
      </c>
      <c r="Q47" s="455"/>
      <c r="R47" s="455"/>
    </row>
    <row r="48" spans="1:18" x14ac:dyDescent="0.25">
      <c r="A48" s="3"/>
      <c r="I48" s="1" t="s">
        <v>2418</v>
      </c>
      <c r="J48" t="s">
        <v>2413</v>
      </c>
      <c r="K48" t="s">
        <v>2413</v>
      </c>
      <c r="L48" t="s">
        <v>2413</v>
      </c>
      <c r="M48" t="s">
        <v>2415</v>
      </c>
      <c r="N48" t="s">
        <v>2415</v>
      </c>
      <c r="O48" t="s">
        <v>2415</v>
      </c>
      <c r="P48" t="s">
        <v>2414</v>
      </c>
      <c r="Q48" t="s">
        <v>2414</v>
      </c>
      <c r="R48" t="s">
        <v>2414</v>
      </c>
    </row>
    <row r="49" spans="1:18" x14ac:dyDescent="0.25">
      <c r="A49" t="s">
        <v>84</v>
      </c>
      <c r="B49" t="s">
        <v>2363</v>
      </c>
      <c r="C49" t="s">
        <v>89</v>
      </c>
      <c r="D49" t="s">
        <v>90</v>
      </c>
      <c r="E49" t="s">
        <v>91</v>
      </c>
      <c r="F49" t="s">
        <v>92</v>
      </c>
      <c r="G49" t="s">
        <v>102</v>
      </c>
      <c r="I49" s="1" t="s">
        <v>2360</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228.75</v>
      </c>
      <c r="K56" s="357">
        <v>305</v>
      </c>
      <c r="L56" s="357">
        <f t="shared" si="7"/>
        <v>381.25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2817</v>
      </c>
      <c r="C73">
        <v>780</v>
      </c>
    </row>
    <row r="74" spans="1:18" x14ac:dyDescent="0.25">
      <c r="A74" s="449" t="s">
        <v>2661</v>
      </c>
      <c r="B74" s="448" t="s">
        <v>2819</v>
      </c>
      <c r="C74">
        <v>520</v>
      </c>
    </row>
    <row r="75" spans="1:18" x14ac:dyDescent="0.25">
      <c r="A75" s="449" t="s">
        <v>2662</v>
      </c>
      <c r="B75" s="448" t="s">
        <v>2818</v>
      </c>
      <c r="C75">
        <v>520</v>
      </c>
    </row>
    <row r="76" spans="1:18" x14ac:dyDescent="0.25">
      <c r="A76" s="449" t="s">
        <v>139</v>
      </c>
      <c r="B76" t="s">
        <v>2820</v>
      </c>
      <c r="C76">
        <v>500</v>
      </c>
    </row>
    <row r="77" spans="1:18" x14ac:dyDescent="0.25">
      <c r="A77" s="449" t="s">
        <v>59</v>
      </c>
      <c r="B77" s="392" t="s">
        <v>2816</v>
      </c>
      <c r="C77">
        <v>339</v>
      </c>
    </row>
    <row r="78" spans="1:18" x14ac:dyDescent="0.25">
      <c r="A78" s="449" t="s">
        <v>60</v>
      </c>
      <c r="B78" t="s">
        <v>2815</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2403</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2307</v>
      </c>
      <c r="B9" s="42">
        <v>0.5</v>
      </c>
    </row>
    <row r="10" spans="1:2" x14ac:dyDescent="0.25">
      <c r="A10" t="s">
        <v>2308</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2674</v>
      </c>
      <c r="K9" s="18"/>
      <c r="L9" s="21" t="s">
        <v>2674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2675</v>
      </c>
      <c r="K10" s="22"/>
      <c r="L10" s="21" t="s">
        <v>2676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2806</v>
      </c>
      <c r="K22" s="21"/>
      <c r="L22" s="21" t="s">
        <v>2806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2807</v>
      </c>
      <c r="K23" s="18"/>
      <c r="L23" s="18" t="s">
        <v>2808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2805</v>
      </c>
      <c r="K24" s="22"/>
      <c r="L24" s="18" t="s">
        <v>2809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2827</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2419</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2413</v>
      </c>
      <c r="K73" t="s">
        <v>2415</v>
      </c>
      <c r="L73" t="s">
        <v>2414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56" t="s">
        <v>2285</v>
      </c>
      <c r="K11" s="456"/>
      <c r="L11" s="456"/>
      <c r="M11" s="456"/>
      <c r="N11" s="456"/>
      <c r="O11" s="456"/>
      <c r="P11" s="456"/>
      <c r="Q11" s="456"/>
      <c r="R11" s="456"/>
      <c r="S11" s="456"/>
      <c r="T11" s="456"/>
      <c r="U11" s="456"/>
      <c r="V11" s="456"/>
      <c r="W11" s="456"/>
      <c r="X11" s="456"/>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57" t="s">
        <v>2284</v>
      </c>
      <c r="K12" s="458"/>
      <c r="L12" s="458"/>
      <c r="M12" s="458"/>
      <c r="N12" s="458"/>
      <c r="O12" s="458"/>
      <c r="P12" s="458"/>
      <c r="Q12" s="458"/>
      <c r="R12" s="458"/>
      <c r="S12" s="458"/>
      <c r="T12" s="458"/>
      <c r="U12" s="458"/>
      <c r="V12" s="458"/>
      <c r="W12" s="458"/>
      <c r="X12" s="459"/>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2281</v>
      </c>
      <c r="I40" s="289" t="str">
        <f>IF(COUNT($J40:$Z40)&gt;1,STDEV($J40:$Z40)=0,"")</f>
        <v/>
      </c>
      <c r="J40" s="76" t="s">
        <v>2286</v>
      </c>
      <c r="K40" s="76" t="s">
        <v>2280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2278</v>
      </c>
      <c r="I43" s="289" t="str">
        <f t="shared" si="0"/>
        <v/>
      </c>
      <c r="J43" s="76" t="s">
        <v>2277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2273</v>
      </c>
      <c r="I47" s="289"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G406"/>
  <sheetViews>
    <sheetView tabSelected="1" topLeftCell="A6" zoomScale="85" zoomScaleNormal="85" workbookViewId="0">
      <pane xSplit="10" ySplit="7" topLeftCell="K161" activePane="bottomRight" state="frozen"/>
      <selection activeCell="A6" sqref="A6"/>
      <selection pane="topRight" activeCell="K6" sqref="K6"/>
      <selection pane="bottomLeft" activeCell="A22" sqref="A22"/>
      <selection pane="bottomRight" activeCell="H183" sqref="H18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4" width="1.7109375" customWidth="1"/>
    <col min="35" max="36" width="4.7109375" customWidth="1"/>
    <col min="38" max="38" width="46.140625" customWidth="1"/>
    <col min="39" max="40" width="7.5703125" style="470" customWidth="1"/>
    <col min="43" max="43" width="11.5703125" customWidth="1"/>
    <col min="44" max="44" width="15.28515625" customWidth="1"/>
    <col min="45" max="45" width="11.7109375" bestFit="1" customWidth="1"/>
    <col min="46" max="46" width="9.140625" customWidth="1"/>
    <col min="47" max="47" width="11.7109375" bestFit="1" customWidth="1"/>
    <col min="48" max="48" width="10.7109375" bestFit="1" customWidth="1"/>
    <col min="49" max="49" width="11.7109375" bestFit="1" customWidth="1"/>
    <col min="50" max="50" width="10.7109375" bestFit="1" customWidth="1"/>
    <col min="57" max="57" width="11.42578125" bestFit="1" customWidth="1"/>
    <col min="60" max="60" width="11.7109375" customWidth="1"/>
  </cols>
  <sheetData>
    <row r="1" spans="1:40"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69"/>
      <c r="AN1" s="469"/>
    </row>
    <row r="2" spans="1:40"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69"/>
      <c r="AN2" s="469"/>
    </row>
    <row r="3" spans="1:40"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c r="AM3" s="469"/>
      <c r="AN3" s="469"/>
    </row>
    <row r="4" spans="1:40"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c r="AM4" s="469"/>
      <c r="AN4" s="469"/>
    </row>
    <row r="5" spans="1:40"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c r="AM5" s="469"/>
      <c r="AN5" s="469"/>
    </row>
    <row r="6" spans="1:4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c r="AM6" s="469"/>
      <c r="AN6" s="469"/>
    </row>
    <row r="7" spans="1:4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c r="AM7" s="469"/>
      <c r="AN7" s="469"/>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c r="AM8" s="469"/>
      <c r="AN8" s="469"/>
    </row>
    <row r="9" spans="1:4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c r="AM9" s="469"/>
      <c r="AN9" s="469"/>
    </row>
    <row r="10" spans="1:4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c r="AM10" s="469"/>
      <c r="AN10" s="469"/>
    </row>
    <row r="11" spans="1:40" ht="45" customHeight="1" outlineLevel="1" x14ac:dyDescent="0.25">
      <c r="A11" s="45"/>
      <c r="B11" s="54"/>
      <c r="C11" s="47">
        <f>INT($C$6)+1.045</f>
        <v>2.0449999999999999</v>
      </c>
      <c r="D11" s="73"/>
      <c r="E11" s="70"/>
      <c r="F11" s="70"/>
      <c r="G11" s="73"/>
      <c r="H11" s="76" t="s">
        <v>178</v>
      </c>
      <c r="I11" s="286">
        <v>45050.4354342593</v>
      </c>
      <c r="J11" s="460" t="s">
        <v>2844</v>
      </c>
      <c r="K11" s="456"/>
      <c r="L11" s="456"/>
      <c r="M11" s="456"/>
      <c r="N11" s="456"/>
      <c r="O11" s="456"/>
      <c r="P11" s="456"/>
      <c r="Q11" s="456"/>
      <c r="R11" s="456"/>
      <c r="S11" s="456"/>
      <c r="T11" s="456"/>
      <c r="U11" s="456"/>
      <c r="V11" s="456"/>
      <c r="W11" s="456"/>
      <c r="X11" s="456"/>
      <c r="Y11" s="291"/>
      <c r="Z11" s="291"/>
      <c r="AA11" s="291"/>
      <c r="AB11" s="291"/>
      <c r="AC11" s="76"/>
      <c r="AD11" s="76"/>
      <c r="AE11" s="76"/>
      <c r="AF11" s="76"/>
      <c r="AG11" s="76"/>
      <c r="AH11" s="73"/>
      <c r="AI11" s="57"/>
      <c r="AJ11" s="45"/>
      <c r="AK11" s="45"/>
      <c r="AL11" s="45"/>
      <c r="AM11" s="469"/>
      <c r="AN11" s="469"/>
    </row>
    <row r="12" spans="1:40" ht="45" customHeight="1" outlineLevel="1" x14ac:dyDescent="0.25">
      <c r="A12" s="45"/>
      <c r="B12" s="54"/>
      <c r="C12" s="47">
        <f>INT($C$6)+1.045</f>
        <v>2.0449999999999999</v>
      </c>
      <c r="D12" s="73"/>
      <c r="E12" s="70"/>
      <c r="F12" s="70"/>
      <c r="G12" s="73"/>
      <c r="H12" s="76" t="s">
        <v>179</v>
      </c>
      <c r="I12" s="278">
        <v>45081.535065046301</v>
      </c>
      <c r="J12" s="457" t="s">
        <v>2906</v>
      </c>
      <c r="K12" s="458"/>
      <c r="L12" s="458"/>
      <c r="M12" s="458"/>
      <c r="N12" s="458"/>
      <c r="O12" s="458"/>
      <c r="P12" s="458"/>
      <c r="Q12" s="458"/>
      <c r="R12" s="458"/>
      <c r="S12" s="458"/>
      <c r="T12" s="458"/>
      <c r="U12" s="458"/>
      <c r="V12" s="458"/>
      <c r="W12" s="458"/>
      <c r="X12" s="459"/>
      <c r="Y12" s="77"/>
      <c r="Z12" s="77"/>
      <c r="AA12" s="77"/>
      <c r="AB12" s="77"/>
      <c r="AC12" s="76"/>
      <c r="AD12" s="76"/>
      <c r="AE12" s="76"/>
      <c r="AF12" s="76"/>
      <c r="AG12" s="76"/>
      <c r="AH12" s="73"/>
      <c r="AI12" s="57"/>
      <c r="AJ12" s="45"/>
      <c r="AK12" s="45"/>
      <c r="AL12" s="45"/>
      <c r="AM12" s="469"/>
      <c r="AN12" s="469"/>
    </row>
    <row r="13" spans="1:4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c r="AM13" s="469"/>
      <c r="AN13" s="469"/>
    </row>
    <row r="14" spans="1:4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c r="AM14" s="469"/>
      <c r="AN14" s="469"/>
    </row>
    <row r="15" spans="1:4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c r="AM15" s="469"/>
      <c r="AN15" s="469"/>
    </row>
    <row r="16" spans="1:4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c r="AM16" s="469"/>
      <c r="AN16" s="469"/>
    </row>
    <row r="17" spans="1:4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c r="AM17" s="469"/>
      <c r="AN17" s="469"/>
    </row>
    <row r="18" spans="1:4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c r="AM18" s="469"/>
      <c r="AN18" s="469"/>
    </row>
    <row r="19" spans="1:4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c r="AM19" s="469"/>
      <c r="AN19" s="469"/>
    </row>
    <row r="20" spans="1:4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c r="AM20" s="469"/>
      <c r="AN20" s="469"/>
    </row>
    <row r="21" spans="1:4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c r="AM21" s="469"/>
      <c r="AN21" s="469"/>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c r="AM22" s="469"/>
      <c r="AN22" s="469"/>
    </row>
    <row r="23" spans="1:40"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c r="AM23" s="469"/>
      <c r="AN23" s="469"/>
    </row>
    <row r="24" spans="1:40"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69"/>
      <c r="AN24" s="469"/>
    </row>
    <row r="25" spans="1:40"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69"/>
      <c r="AN25" s="469"/>
    </row>
    <row r="26" spans="1:40"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c r="AM26" s="469"/>
      <c r="AN26" s="469"/>
    </row>
    <row r="27" spans="1:40"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c r="AM27" s="469"/>
      <c r="AN27" s="469"/>
    </row>
    <row r="28" spans="1:40"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c r="AM28" s="469"/>
      <c r="AN28" s="469"/>
    </row>
    <row r="29" spans="1:40"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c r="AM29" s="469"/>
      <c r="AN29" s="469"/>
    </row>
    <row r="30" spans="1:40" ht="20.100000000000001" hidden="1" customHeight="1" outlineLevel="1" x14ac:dyDescent="0.25">
      <c r="A30" s="45"/>
      <c r="B30" s="54"/>
      <c r="C30" s="87">
        <f>INT($C$29)+1.02</f>
        <v>2.02</v>
      </c>
      <c r="D30" s="58"/>
      <c r="E30" s="59" t="s">
        <v>170</v>
      </c>
      <c r="F30" s="65">
        <v>1</v>
      </c>
      <c r="G30" s="66"/>
      <c r="H30" s="67" t="s">
        <v>2387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c r="AM30" s="469"/>
      <c r="AN30" s="469"/>
    </row>
    <row r="31" spans="1:40"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c r="AM31" s="469"/>
      <c r="AN31" s="469"/>
    </row>
    <row r="32" spans="1:40"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c r="AM32" s="469"/>
      <c r="AN32" s="469"/>
    </row>
    <row r="33" spans="1:40"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c r="AM33" s="469"/>
      <c r="AN33" s="469"/>
    </row>
    <row r="34" spans="1:40"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c r="AM34" s="469"/>
      <c r="AN34" s="469"/>
    </row>
    <row r="35" spans="1:40"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c r="AM35" s="469"/>
      <c r="AN35" s="469"/>
    </row>
    <row r="36" spans="1:40"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c r="AM36" s="469"/>
      <c r="AN36" s="469"/>
    </row>
    <row r="37" spans="1:40"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c r="AM37" s="469"/>
      <c r="AN37" s="469"/>
    </row>
    <row r="38" spans="1:40"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c r="AM38" s="469"/>
      <c r="AN38" s="469"/>
    </row>
    <row r="39" spans="1:40"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c r="AM39" s="469"/>
      <c r="AN39" s="469"/>
    </row>
    <row r="40" spans="1:40" hidden="1" outlineLevel="1" x14ac:dyDescent="0.25">
      <c r="A40" s="45"/>
      <c r="B40" s="54"/>
      <c r="C40" s="87">
        <f>INT($C$29)+1</f>
        <v>2</v>
      </c>
      <c r="D40" s="73"/>
      <c r="E40" s="70"/>
      <c r="F40" s="70"/>
      <c r="G40" s="73"/>
      <c r="H40" s="90" t="s">
        <v>2386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c r="AM40" s="469"/>
      <c r="AN40" s="469"/>
    </row>
    <row r="41" spans="1:40"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c r="AM41" s="469"/>
      <c r="AN41" s="469"/>
    </row>
    <row r="42" spans="1:40"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c r="AM42" s="469"/>
      <c r="AN42" s="469"/>
    </row>
    <row r="43" spans="1:40"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c r="AM43" s="469"/>
      <c r="AN43" s="469"/>
    </row>
    <row r="44" spans="1:40" hidden="1" outlineLevel="2" x14ac:dyDescent="0.25">
      <c r="A44" s="45"/>
      <c r="B44" s="54"/>
      <c r="C44" s="87">
        <f t="shared" ref="C44:C45" si="0">INT($C$29)+2</f>
        <v>3</v>
      </c>
      <c r="D44" s="73"/>
      <c r="E44" s="70"/>
      <c r="F44" s="70"/>
      <c r="G44" s="73"/>
      <c r="H44" s="76" t="s">
        <v>2681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c r="AM44" s="469"/>
      <c r="AN44" s="469"/>
    </row>
    <row r="45" spans="1:40"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c r="AM45" s="469"/>
      <c r="AN45" s="469"/>
    </row>
    <row r="46" spans="1:40"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c r="AM46" s="469"/>
      <c r="AN46" s="469"/>
    </row>
    <row r="47" spans="1:40" hidden="1" outlineLevel="2" x14ac:dyDescent="0.25">
      <c r="A47" s="45"/>
      <c r="B47" s="54"/>
      <c r="C47" s="87">
        <f>INT($C$29)+2</f>
        <v>3</v>
      </c>
      <c r="D47" s="73"/>
      <c r="E47" s="70"/>
      <c r="F47" s="70"/>
      <c r="G47" s="73"/>
      <c r="H47" s="76"/>
      <c r="I47" s="76"/>
      <c r="J47" s="95" t="s">
        <v>2842</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c r="AM47" s="469"/>
      <c r="AN47" s="469"/>
    </row>
    <row r="48" spans="1:40"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2843</v>
      </c>
      <c r="Q48" s="76"/>
      <c r="R48" s="76"/>
      <c r="S48" s="76"/>
      <c r="T48" s="76"/>
      <c r="U48" s="76"/>
      <c r="V48" s="76"/>
      <c r="W48" s="76"/>
      <c r="X48" s="76"/>
      <c r="Y48" s="76"/>
      <c r="Z48" s="76"/>
      <c r="AA48" s="76"/>
      <c r="AB48" s="76"/>
      <c r="AC48" s="76"/>
      <c r="AD48" s="76"/>
      <c r="AE48" s="76"/>
      <c r="AF48" s="76"/>
      <c r="AG48" s="76"/>
      <c r="AH48" s="73"/>
      <c r="AI48" s="57"/>
      <c r="AJ48" s="45"/>
      <c r="AK48" s="45"/>
      <c r="AL48" s="45"/>
      <c r="AM48" s="469"/>
      <c r="AN48" s="469"/>
    </row>
    <row r="49" spans="1:40"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c r="AM49" s="469"/>
      <c r="AN49" s="469"/>
    </row>
    <row r="50" spans="1:40"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c r="AM50" s="469"/>
      <c r="AN50" s="469"/>
    </row>
    <row r="51" spans="1:40"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c r="AM51" s="469"/>
      <c r="AN51" s="469"/>
    </row>
    <row r="52" spans="1:40"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c r="AM52" s="469"/>
      <c r="AN52" s="469"/>
    </row>
    <row r="53" spans="1:40"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c r="AM53" s="469"/>
      <c r="AN53" s="469"/>
    </row>
    <row r="54" spans="1:40" hidden="1" outlineLevel="2" x14ac:dyDescent="0.25">
      <c r="A54" s="45"/>
      <c r="B54" s="54"/>
      <c r="C54" s="87">
        <f t="shared" si="2"/>
        <v>3</v>
      </c>
      <c r="D54" s="73"/>
      <c r="E54" s="70"/>
      <c r="F54" s="70"/>
      <c r="G54" s="73"/>
      <c r="H54" s="76" t="s">
        <v>2259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c r="AM54" s="469"/>
      <c r="AN54" s="469"/>
    </row>
    <row r="55" spans="1:40"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c r="AM55" s="469"/>
      <c r="AN55" s="469"/>
    </row>
    <row r="56" spans="1:40"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c r="AM56" s="469"/>
      <c r="AN56" s="469"/>
    </row>
    <row r="57" spans="1:40"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c r="AM57" s="469"/>
      <c r="AN57" s="469"/>
    </row>
    <row r="58" spans="1:40"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c r="AM58" s="469"/>
      <c r="AN58" s="469"/>
    </row>
    <row r="59" spans="1:40"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c r="AM59" s="469"/>
      <c r="AN59" s="469"/>
    </row>
    <row r="60" spans="1:40"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c r="AM60" s="469"/>
      <c r="AN60" s="469"/>
    </row>
    <row r="61" spans="1:40"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c r="AM61" s="469"/>
      <c r="AN61" s="469"/>
    </row>
    <row r="62" spans="1:40"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c r="AM62" s="469"/>
      <c r="AN62" s="469"/>
    </row>
    <row r="63" spans="1:40"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c r="AM63" s="469"/>
      <c r="AN63" s="469"/>
    </row>
    <row r="64" spans="1:40"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c r="AM64" s="469"/>
      <c r="AN64" s="469"/>
    </row>
    <row r="65" spans="1:40"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c r="AM65" s="469"/>
      <c r="AN65" s="469"/>
    </row>
    <row r="66" spans="1:40"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c r="AM66" s="469"/>
      <c r="AN66" s="469"/>
    </row>
    <row r="67" spans="1:40"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c r="AM67" s="469"/>
      <c r="AN67" s="469"/>
    </row>
    <row r="68" spans="1:40"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c r="AM68" s="469"/>
      <c r="AN68" s="469"/>
    </row>
    <row r="69" spans="1:40"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c r="AM69" s="469"/>
      <c r="AN69" s="469"/>
    </row>
    <row r="70" spans="1:40"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c r="AM70" s="469"/>
      <c r="AN70" s="469"/>
    </row>
    <row r="71" spans="1:40"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c r="AM71" s="469"/>
      <c r="AN71" s="469"/>
    </row>
    <row r="72" spans="1:40"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c r="AM72" s="469"/>
      <c r="AN72" s="469"/>
    </row>
    <row r="73" spans="1:40"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c r="AM73" s="469"/>
      <c r="AN73" s="469"/>
    </row>
    <row r="74" spans="1:40"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c r="AM74" s="469"/>
      <c r="AN74" s="469"/>
    </row>
    <row r="75" spans="1:40"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c r="AM75" s="469"/>
      <c r="AN75" s="469"/>
    </row>
    <row r="76" spans="1:40"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69"/>
      <c r="AN76" s="469"/>
    </row>
    <row r="77" spans="1:40"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69"/>
      <c r="AN77" s="469"/>
    </row>
    <row r="78" spans="1:40"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c r="AM78" s="469"/>
      <c r="AN78" s="469"/>
    </row>
    <row r="79" spans="1:40"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c r="AM79" s="469"/>
      <c r="AN79" s="469"/>
    </row>
    <row r="80" spans="1:40"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c r="AM80" s="469"/>
      <c r="AN80" s="469"/>
    </row>
    <row r="81" spans="1:59"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c r="AM81" s="469"/>
      <c r="AN81" s="469"/>
    </row>
    <row r="82" spans="1:59"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c r="AM82" s="469"/>
      <c r="AN82" s="469"/>
    </row>
    <row r="83" spans="1:59"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c r="AM83" s="469"/>
      <c r="AN83" s="469"/>
    </row>
    <row r="84" spans="1:59"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c r="AM84" s="469"/>
      <c r="AN84" s="469"/>
    </row>
    <row r="85" spans="1:59"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c r="AM85" s="469"/>
      <c r="AN85" s="469"/>
    </row>
    <row r="86" spans="1:59"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c r="AM86" s="469"/>
      <c r="AN86" s="469"/>
    </row>
    <row r="87" spans="1:59"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c r="AM87" s="469"/>
      <c r="AN87" s="469"/>
    </row>
    <row r="88" spans="1:59"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c r="AM88" s="469"/>
      <c r="AN88" s="469"/>
    </row>
    <row r="89" spans="1:59"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c r="AM89" s="469"/>
      <c r="AN89" s="469"/>
    </row>
    <row r="90" spans="1:59"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c r="AM90" s="469"/>
      <c r="AN90" s="469"/>
    </row>
    <row r="91" spans="1:59"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c r="AM91" s="469"/>
      <c r="AN91" s="469"/>
    </row>
    <row r="92" spans="1:59"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c r="AM92" s="469"/>
      <c r="AN92" s="469"/>
    </row>
    <row r="93" spans="1:59" hidden="1" outlineLevel="2" x14ac:dyDescent="0.25">
      <c r="A93" s="45"/>
      <c r="B93" s="54"/>
      <c r="C93" s="87">
        <f>INT($C$81)+2</f>
        <v>3</v>
      </c>
      <c r="D93" s="73"/>
      <c r="E93" s="70"/>
      <c r="F93" s="70"/>
      <c r="G93" s="73"/>
      <c r="H93" s="105"/>
      <c r="I93" s="106" t="s">
        <v>2311</v>
      </c>
      <c r="J93" s="107"/>
      <c r="K93" s="107"/>
      <c r="L93" s="106" t="s">
        <v>219</v>
      </c>
      <c r="M93" s="107"/>
      <c r="N93" s="107"/>
      <c r="O93" s="106" t="s">
        <v>220</v>
      </c>
      <c r="P93" s="107"/>
      <c r="Q93" s="107"/>
      <c r="R93" s="107"/>
      <c r="S93" s="107" t="s">
        <v>221</v>
      </c>
      <c r="T93" s="107"/>
      <c r="U93" s="107" t="s">
        <v>222</v>
      </c>
      <c r="V93" s="107"/>
      <c r="W93" s="106" t="s">
        <v>2811</v>
      </c>
      <c r="X93" s="107"/>
      <c r="Y93" s="107"/>
      <c r="Z93" s="107"/>
      <c r="AA93" s="107"/>
      <c r="AB93" s="107"/>
      <c r="AC93" s="76"/>
      <c r="AD93" s="76" t="s">
        <v>2810</v>
      </c>
      <c r="AE93" s="76"/>
      <c r="AF93" s="76"/>
      <c r="AG93" s="76"/>
      <c r="AH93" s="73"/>
      <c r="AI93" s="57"/>
      <c r="AJ93" s="45"/>
      <c r="AK93" s="45"/>
      <c r="AL93" s="45"/>
      <c r="AM93" s="469"/>
      <c r="AN93" s="469"/>
      <c r="AR93" s="446" t="s">
        <v>2287</v>
      </c>
      <c r="AX93" t="s">
        <v>2342</v>
      </c>
    </row>
    <row r="94" spans="1:59" hidden="1" outlineLevel="2" x14ac:dyDescent="0.25">
      <c r="A94" s="45"/>
      <c r="B94" s="54"/>
      <c r="C94" s="87">
        <f>INT($C$81)+2</f>
        <v>3</v>
      </c>
      <c r="D94" s="73"/>
      <c r="E94" s="70"/>
      <c r="F94" s="70"/>
      <c r="G94" s="73"/>
      <c r="H94" s="76"/>
      <c r="I94" s="95" t="s">
        <v>2423</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M94" s="469"/>
      <c r="AN94" s="469"/>
      <c r="AP94" s="76" t="s">
        <v>230</v>
      </c>
      <c r="AR94" s="446" t="str">
        <f>"Calculated from "&amp;$AD$110</f>
        <v>Calculated from Inputs from Mecardo (Andrew Wood) Nov 2020</v>
      </c>
      <c r="AX94" t="s">
        <v>2343</v>
      </c>
    </row>
    <row r="95" spans="1:59" hidden="1" outlineLevel="3" x14ac:dyDescent="0.25">
      <c r="A95" s="45"/>
      <c r="B95" s="54"/>
      <c r="C95" s="87">
        <f t="shared" ref="C95:C108" si="5">INT($C$81)+3</f>
        <v>4</v>
      </c>
      <c r="D95" s="73"/>
      <c r="E95" s="70"/>
      <c r="F95" s="70" t="s">
        <v>232</v>
      </c>
      <c r="G95" s="73"/>
      <c r="H95" s="108" t="s">
        <v>2288</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M95" s="469"/>
      <c r="AN95" s="469"/>
      <c r="AP95" s="109"/>
      <c r="AR95">
        <f>AD95</f>
        <v>20</v>
      </c>
      <c r="AS95">
        <f>AE95</f>
        <v>50</v>
      </c>
      <c r="AT95">
        <f>AF95</f>
        <v>80</v>
      </c>
      <c r="AX95" t="s">
        <v>2344</v>
      </c>
      <c r="AY95" s="160">
        <v>70</v>
      </c>
      <c r="AZ95">
        <f>IFERROR(MIN(2,MATCH($AY95,i_woolp_mpg_range_w5,1)),1)-1</f>
        <v>1</v>
      </c>
      <c r="BA95" t="s">
        <v>2345</v>
      </c>
      <c r="BB95" s="97">
        <v>50</v>
      </c>
      <c r="BC95">
        <f>IFERROR(MIN(2,MATCH($BB95,i_woolp_fdprem_range_w5,1)),1)-1</f>
        <v>1</v>
      </c>
      <c r="BE95" s="325" t="s">
        <v>2425</v>
      </c>
      <c r="BF95" s="325"/>
      <c r="BG95" s="325"/>
    </row>
    <row r="96" spans="1:59"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3"/>
      <c r="AI96" s="57"/>
      <c r="AJ96" s="45"/>
      <c r="AK96" s="294"/>
      <c r="AL96" s="45"/>
      <c r="AM96" s="469"/>
      <c r="AN96" s="469"/>
      <c r="AP96" s="292">
        <f ca="1">AP97</f>
        <v>0.91920371999999984</v>
      </c>
      <c r="AR96" s="119"/>
      <c r="AS96" s="119"/>
      <c r="AT96" s="119"/>
      <c r="AW96" s="333" t="s">
        <v>2346</v>
      </c>
      <c r="AX96" s="333" t="s">
        <v>2347</v>
      </c>
      <c r="AY96" s="333" t="s">
        <v>2345</v>
      </c>
      <c r="AZ96" s="342" t="s">
        <v>2351</v>
      </c>
      <c r="BA96" s="435" t="s">
        <v>2796</v>
      </c>
      <c r="BE96" s="331" t="s">
        <v>2424</v>
      </c>
      <c r="BF96" s="331" t="s">
        <v>2344</v>
      </c>
      <c r="BG96" s="331" t="s">
        <v>2345</v>
      </c>
    </row>
    <row r="97" spans="1:59"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73"/>
      <c r="AI97" s="57"/>
      <c r="AJ97" s="45"/>
      <c r="AK97" s="294"/>
      <c r="AL97" s="45"/>
      <c r="AM97" s="469"/>
      <c r="AN97" s="469"/>
      <c r="AP97" s="297">
        <f t="shared" ref="AP97:AP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R97" s="119">
        <f>((1+AD97)/(1+AD98))^(1/($H98-$H97))-1</f>
        <v>5.3097345132743445E-2</v>
      </c>
      <c r="AS97" s="119">
        <f>((1+AE97)/(1+AE98))^(1/($H98-$H97))-1</f>
        <v>0.13636363636363624</v>
      </c>
      <c r="AT97" s="119">
        <f>((1+AF97)/(1+AF98))^(1/($H98-$H97))-1</f>
        <v>0.13291139240506333</v>
      </c>
      <c r="AW97" s="324">
        <f>$H97</f>
        <v>16</v>
      </c>
      <c r="AX97" s="325">
        <f t="shared" ref="AX97:AX109" ca="1" si="10">IF($AW97=i_woolp_fd_std,_xlfn.FORECAST.LINEAR($AY$95,OFFSET($I97:$K97,0,$AZ$95,1,2),OFFSET(i_woolp_mpg_range_w5,0,$AZ$95,1,2)),0)</f>
        <v>0</v>
      </c>
      <c r="AY97" s="326">
        <f t="shared" ref="AY97:AY109" ca="1" si="11">_xlfn.FORECAST.LINEAR($BB$95,OFFSET($AD97:$AF97,0,$BC$95,1,2),OFFSET(i_woolp_fdprem_range_w5,0,$BC$95,1,2))</f>
        <v>0.49999999999999994</v>
      </c>
      <c r="AZ97" s="432">
        <f t="shared" ref="AZ97:AZ109" ca="1" si="12">SUM($AX$97:$AX$108)*(1+$AY97)*$W97</f>
        <v>2106.5360000000001</v>
      </c>
      <c r="BA97" s="432">
        <f t="shared" ref="BA97:BA104" ca="1" si="13">(SUM($AX$97:$AX$108)*(1+$AY97)*$AP97*(1-i_wool_cost_pc)-i_wool_cost_kg)*$K$139</f>
        <v>1290.4952291409238</v>
      </c>
      <c r="BE97" s="4">
        <v>44551</v>
      </c>
      <c r="BF97">
        <v>60</v>
      </c>
      <c r="BG97">
        <v>85</v>
      </c>
    </row>
    <row r="98" spans="1:59"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73"/>
      <c r="AI98" s="57"/>
      <c r="AJ98" s="45"/>
      <c r="AK98" s="441"/>
      <c r="AL98" s="45"/>
      <c r="AM98" s="469"/>
      <c r="AN98" s="469"/>
      <c r="AP98" s="297">
        <f t="shared" ca="1" si="9"/>
        <v>0.92125318181818183</v>
      </c>
      <c r="AR98" s="119">
        <f>((1+AD98)/(1+AD99))^(1/($H99-$H98))-1</f>
        <v>4.6296296296296058E-2</v>
      </c>
      <c r="AS98" s="119">
        <f>((1+AE98)/(1+AE99))^(1/($H99-$H98))-1</f>
        <v>0.10000000000000009</v>
      </c>
      <c r="AT98" s="119">
        <f>((1+AF98)/(1+AF99))^(1/($H99-$H98))-1</f>
        <v>0.14492753623188426</v>
      </c>
      <c r="AW98" s="327">
        <f t="shared" ref="AW98:AW109" si="14">$H98</f>
        <v>17</v>
      </c>
      <c r="AX98">
        <f t="shared" ca="1" si="10"/>
        <v>0</v>
      </c>
      <c r="AY98" s="328">
        <f t="shared" ca="1" si="11"/>
        <v>0.3199999999999999</v>
      </c>
      <c r="AZ98" s="329">
        <f t="shared" ca="1" si="12"/>
        <v>1853.7516799999996</v>
      </c>
      <c r="BA98" s="329">
        <f t="shared" ca="1" si="13"/>
        <v>1138.1150853481711</v>
      </c>
    </row>
    <row r="99" spans="1:59"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4"/>
      <c r="AL99" s="45"/>
      <c r="AM99" s="469"/>
      <c r="AN99" s="469"/>
      <c r="AP99" s="297">
        <f t="shared" ca="1" si="9"/>
        <v>0.91863570000000017</v>
      </c>
      <c r="AR99" s="119">
        <f>((1+AD99)/(1+AD100))^(1/($H100-$H99))-1</f>
        <v>3.8461538461538547E-2</v>
      </c>
      <c r="AS99" s="119">
        <f>((1+AE99)/(1+AE100))^(1/($H100-$H99))-1</f>
        <v>8.1081081081080919E-2</v>
      </c>
      <c r="AT99" s="119">
        <f>((1+AF99)/(1+AF100))^(1/($H100-$H99))-1</f>
        <v>0.13114754098360648</v>
      </c>
      <c r="AW99" s="327">
        <f t="shared" si="14"/>
        <v>18</v>
      </c>
      <c r="AX99">
        <f t="shared" ca="1" si="10"/>
        <v>0</v>
      </c>
      <c r="AY99" s="328">
        <f t="shared" ca="1" si="11"/>
        <v>0.2</v>
      </c>
      <c r="AZ99" s="329">
        <f t="shared" ca="1" si="12"/>
        <v>1685.2287999999999</v>
      </c>
      <c r="BA99" s="329">
        <f t="shared" ca="1" si="13"/>
        <v>1031.6686405635335</v>
      </c>
    </row>
    <row r="100" spans="1:59"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5">L99</f>
        <v>0</v>
      </c>
      <c r="M100" s="298">
        <f t="shared" si="15"/>
        <v>-2.2771633051398829E-2</v>
      </c>
      <c r="N100" s="298">
        <f t="shared" si="15"/>
        <v>-6.5061808718282363E-2</v>
      </c>
      <c r="O100" s="299">
        <f t="shared" si="15"/>
        <v>-3.2530904359141188E-2</v>
      </c>
      <c r="P100" s="299">
        <f t="shared" si="15"/>
        <v>-1.3012361743656473E-2</v>
      </c>
      <c r="Q100" s="299">
        <f t="shared" si="15"/>
        <v>0</v>
      </c>
      <c r="R100" s="299">
        <f t="shared" si="15"/>
        <v>4.8796356538711779E-3</v>
      </c>
      <c r="S100" s="299">
        <f t="shared" si="15"/>
        <v>0</v>
      </c>
      <c r="T100" s="299">
        <f t="shared" si="15"/>
        <v>0</v>
      </c>
      <c r="U100" s="299">
        <f t="shared" si="15"/>
        <v>0</v>
      </c>
      <c r="V100" s="299">
        <f t="shared" si="15"/>
        <v>0</v>
      </c>
      <c r="W100" s="298">
        <f t="shared" si="15"/>
        <v>0.94399999999999995</v>
      </c>
      <c r="X100" s="300">
        <f t="shared" si="15"/>
        <v>0.82499999999999996</v>
      </c>
      <c r="Y100" s="300">
        <f t="shared" si="15"/>
        <v>0.82499999999999996</v>
      </c>
      <c r="Z100" s="300">
        <f t="shared" si="15"/>
        <v>0.57499999999999996</v>
      </c>
      <c r="AA100" s="300">
        <f t="shared" si="15"/>
        <v>0.60499999999999998</v>
      </c>
      <c r="AB100" s="300">
        <f t="shared" si="15"/>
        <v>0.9</v>
      </c>
      <c r="AC100" s="76"/>
      <c r="AD100" s="116">
        <v>0.04</v>
      </c>
      <c r="AE100" s="116">
        <v>0.11</v>
      </c>
      <c r="AF100" s="116">
        <v>0.22</v>
      </c>
      <c r="AG100" s="117"/>
      <c r="AH100" s="73"/>
      <c r="AI100" s="57"/>
      <c r="AJ100" s="45"/>
      <c r="AK100" s="294"/>
      <c r="AL100" s="45"/>
      <c r="AM100" s="469"/>
      <c r="AN100" s="469"/>
      <c r="AP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R100" s="119">
        <f>((1+AD100)/(1+AD101))^(1/($H101-$H100))-1</f>
        <v>2.9702970297029729E-2</v>
      </c>
      <c r="AS100" s="119">
        <f>((1+AE100)/(1+AE101))^(1/($H101-$H100))-1</f>
        <v>8.8235294117647189E-2</v>
      </c>
      <c r="AT100" s="119">
        <f>((1+AF100)/(1+AF101))^(1/($H101-$H100))-1</f>
        <v>0.16190476190476177</v>
      </c>
      <c r="AW100" s="327">
        <f t="shared" si="14"/>
        <v>19</v>
      </c>
      <c r="AX100">
        <f t="shared" ca="1" si="10"/>
        <v>0</v>
      </c>
      <c r="AY100" s="328">
        <f t="shared" ca="1" si="11"/>
        <v>0.10999999999999999</v>
      </c>
      <c r="AZ100" s="329">
        <f t="shared" ca="1" si="12"/>
        <v>1558.8366399999998</v>
      </c>
      <c r="BA100" s="329">
        <f t="shared" ca="1" si="13"/>
        <v>952.48593228393406</v>
      </c>
    </row>
    <row r="101" spans="1:59" hidden="1" outlineLevel="3" x14ac:dyDescent="0.25">
      <c r="A101" s="45"/>
      <c r="B101" s="54"/>
      <c r="C101" s="87">
        <f t="shared" si="5"/>
        <v>4</v>
      </c>
      <c r="D101" s="73"/>
      <c r="E101" s="70"/>
      <c r="F101" s="70">
        <f t="shared" si="6"/>
        <v>-45</v>
      </c>
      <c r="G101" s="73"/>
      <c r="H101" s="79">
        <v>20</v>
      </c>
      <c r="I101" s="120">
        <v>1152</v>
      </c>
      <c r="J101" s="120">
        <v>1344</v>
      </c>
      <c r="K101" s="120">
        <v>1653</v>
      </c>
      <c r="L101" s="298">
        <f t="shared" si="15"/>
        <v>0</v>
      </c>
      <c r="M101" s="298">
        <f t="shared" si="15"/>
        <v>-2.2771633051398829E-2</v>
      </c>
      <c r="N101" s="298">
        <f t="shared" si="15"/>
        <v>-6.5061808718282363E-2</v>
      </c>
      <c r="O101" s="299">
        <f t="shared" si="15"/>
        <v>-3.2530904359141188E-2</v>
      </c>
      <c r="P101" s="299">
        <f t="shared" si="15"/>
        <v>-1.3012361743656473E-2</v>
      </c>
      <c r="Q101" s="299">
        <f t="shared" si="15"/>
        <v>0</v>
      </c>
      <c r="R101" s="299">
        <f t="shared" si="15"/>
        <v>4.8796356538711779E-3</v>
      </c>
      <c r="S101" s="299">
        <f t="shared" si="15"/>
        <v>0</v>
      </c>
      <c r="T101" s="299">
        <f t="shared" si="15"/>
        <v>0</v>
      </c>
      <c r="U101" s="299">
        <f t="shared" si="15"/>
        <v>0</v>
      </c>
      <c r="V101" s="299">
        <f t="shared" si="15"/>
        <v>0</v>
      </c>
      <c r="W101" s="298">
        <f t="shared" si="15"/>
        <v>0.94399999999999995</v>
      </c>
      <c r="X101" s="300">
        <f t="shared" si="15"/>
        <v>0.82499999999999996</v>
      </c>
      <c r="Y101" s="300">
        <f t="shared" si="15"/>
        <v>0.82499999999999996</v>
      </c>
      <c r="Z101" s="300">
        <f t="shared" si="15"/>
        <v>0.57499999999999996</v>
      </c>
      <c r="AA101" s="300">
        <f t="shared" si="15"/>
        <v>0.60499999999999998</v>
      </c>
      <c r="AB101" s="300">
        <f t="shared" si="15"/>
        <v>0.9</v>
      </c>
      <c r="AC101" s="76"/>
      <c r="AD101" s="116">
        <v>0.01</v>
      </c>
      <c r="AE101" s="116">
        <v>0.02</v>
      </c>
      <c r="AF101" s="116">
        <v>0.05</v>
      </c>
      <c r="AG101" s="117"/>
      <c r="AH101" s="73"/>
      <c r="AI101" s="57"/>
      <c r="AJ101" s="45"/>
      <c r="AK101" s="294"/>
      <c r="AL101" s="45"/>
      <c r="AM101" s="469"/>
      <c r="AN101" s="469"/>
      <c r="AP101" s="297">
        <f t="shared" ca="1" si="9"/>
        <v>0.91899696078431359</v>
      </c>
      <c r="AR101" s="119">
        <f>((1+AD101)/(1+AD102))^(1/($H102-$H101))-1</f>
        <v>1.0000000000000009E-2</v>
      </c>
      <c r="AS101" s="119">
        <f>((1+AE101)/(1+AE102))^(1/($H102-$H101))-1</f>
        <v>2.0000000000000018E-2</v>
      </c>
      <c r="AT101" s="119">
        <f>((1+AF101)/(1+AF102))^(1/($H102-$H101))-1</f>
        <v>5.0000000000000044E-2</v>
      </c>
      <c r="AW101" s="327">
        <f t="shared" si="14"/>
        <v>20</v>
      </c>
      <c r="AX101">
        <f t="shared" ca="1" si="10"/>
        <v>0</v>
      </c>
      <c r="AY101" s="328">
        <f t="shared" ca="1" si="11"/>
        <v>2.0000000000000004E-2</v>
      </c>
      <c r="AZ101" s="329">
        <f t="shared" ca="1" si="12"/>
        <v>1432.4444799999999</v>
      </c>
      <c r="BA101" s="329">
        <f t="shared" ca="1" si="13"/>
        <v>877.19633279580501</v>
      </c>
    </row>
    <row r="102" spans="1:59" hidden="1" outlineLevel="3" x14ac:dyDescent="0.25">
      <c r="A102" s="45"/>
      <c r="B102" s="54"/>
      <c r="C102" s="87">
        <f t="shared" si="5"/>
        <v>4</v>
      </c>
      <c r="D102" s="73"/>
      <c r="E102" s="70"/>
      <c r="F102" s="70">
        <f t="shared" si="6"/>
        <v>-59</v>
      </c>
      <c r="G102" s="73"/>
      <c r="H102" s="79">
        <v>21</v>
      </c>
      <c r="I102" s="97">
        <v>1140</v>
      </c>
      <c r="J102" s="97">
        <v>1299</v>
      </c>
      <c r="K102" s="97">
        <v>1582</v>
      </c>
      <c r="L102" s="298">
        <f t="shared" si="15"/>
        <v>0</v>
      </c>
      <c r="M102" s="298">
        <f t="shared" si="15"/>
        <v>-2.2771633051398829E-2</v>
      </c>
      <c r="N102" s="298">
        <f t="shared" si="15"/>
        <v>-6.5061808718282363E-2</v>
      </c>
      <c r="O102" s="299">
        <f t="shared" si="15"/>
        <v>-3.2530904359141188E-2</v>
      </c>
      <c r="P102" s="299">
        <f t="shared" si="15"/>
        <v>-1.3012361743656473E-2</v>
      </c>
      <c r="Q102" s="299">
        <f t="shared" si="15"/>
        <v>0</v>
      </c>
      <c r="R102" s="299">
        <f t="shared" si="15"/>
        <v>4.8796356538711779E-3</v>
      </c>
      <c r="S102" s="299">
        <f t="shared" si="15"/>
        <v>0</v>
      </c>
      <c r="T102" s="299">
        <f t="shared" si="15"/>
        <v>0</v>
      </c>
      <c r="U102" s="299">
        <f t="shared" si="15"/>
        <v>0</v>
      </c>
      <c r="V102" s="299">
        <f t="shared" si="15"/>
        <v>0</v>
      </c>
      <c r="W102" s="298">
        <f t="shared" si="15"/>
        <v>0.94399999999999995</v>
      </c>
      <c r="X102" s="300">
        <f t="shared" si="15"/>
        <v>0.82499999999999996</v>
      </c>
      <c r="Y102" s="300">
        <f t="shared" si="15"/>
        <v>0.82499999999999996</v>
      </c>
      <c r="Z102" s="300">
        <f t="shared" si="15"/>
        <v>0.57499999999999996</v>
      </c>
      <c r="AA102" s="300">
        <f t="shared" si="15"/>
        <v>0.60499999999999998</v>
      </c>
      <c r="AB102" s="300">
        <f t="shared" si="15"/>
        <v>0.9</v>
      </c>
      <c r="AC102" s="76"/>
      <c r="AD102" s="116">
        <v>0</v>
      </c>
      <c r="AE102" s="116">
        <v>0</v>
      </c>
      <c r="AF102" s="116">
        <v>0</v>
      </c>
      <c r="AG102" s="76"/>
      <c r="AH102" s="73"/>
      <c r="AI102" s="57"/>
      <c r="AJ102" s="45"/>
      <c r="AK102" s="294"/>
      <c r="AL102" s="45"/>
      <c r="AM102" s="469"/>
      <c r="AN102" s="469"/>
      <c r="AP102" s="301">
        <f t="shared" ca="1" si="9"/>
        <v>0.91335811999999983</v>
      </c>
      <c r="AR102" s="119"/>
      <c r="AS102" s="119"/>
      <c r="AT102" s="119"/>
      <c r="AW102" s="327">
        <f t="shared" si="14"/>
        <v>21</v>
      </c>
      <c r="AX102">
        <f t="shared" ca="1" si="10"/>
        <v>1487.6666666666667</v>
      </c>
      <c r="AY102" s="328">
        <f t="shared" ca="1" si="11"/>
        <v>0</v>
      </c>
      <c r="AZ102" s="329">
        <f t="shared" ca="1" si="12"/>
        <v>1404.3573333333334</v>
      </c>
      <c r="BA102" s="329">
        <f t="shared" ca="1" si="13"/>
        <v>854.70813545992667</v>
      </c>
    </row>
    <row r="103" spans="1:59"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5"/>
        <v>0</v>
      </c>
      <c r="M103" s="298">
        <f t="shared" si="15"/>
        <v>-2.2771633051398829E-2</v>
      </c>
      <c r="N103" s="298">
        <f t="shared" si="15"/>
        <v>-6.5061808718282363E-2</v>
      </c>
      <c r="O103" s="299">
        <f t="shared" si="15"/>
        <v>-3.2530904359141188E-2</v>
      </c>
      <c r="P103" s="299">
        <f t="shared" si="15"/>
        <v>-1.3012361743656473E-2</v>
      </c>
      <c r="Q103" s="299">
        <f t="shared" si="15"/>
        <v>0</v>
      </c>
      <c r="R103" s="299">
        <f t="shared" si="15"/>
        <v>4.8796356538711779E-3</v>
      </c>
      <c r="S103" s="299">
        <f t="shared" si="15"/>
        <v>0</v>
      </c>
      <c r="T103" s="299">
        <f t="shared" si="15"/>
        <v>0</v>
      </c>
      <c r="U103" s="299">
        <f t="shared" si="15"/>
        <v>0</v>
      </c>
      <c r="V103" s="299">
        <f t="shared" si="15"/>
        <v>0</v>
      </c>
      <c r="W103" s="298">
        <f t="shared" si="15"/>
        <v>0.94399999999999995</v>
      </c>
      <c r="X103" s="300">
        <f t="shared" si="15"/>
        <v>0.82499999999999996</v>
      </c>
      <c r="Y103" s="300">
        <f t="shared" si="15"/>
        <v>0.82499999999999996</v>
      </c>
      <c r="Z103" s="300">
        <f t="shared" si="15"/>
        <v>0.57499999999999996</v>
      </c>
      <c r="AA103" s="300">
        <f t="shared" si="15"/>
        <v>0.60499999999999998</v>
      </c>
      <c r="AB103" s="300">
        <f t="shared" si="15"/>
        <v>0.9</v>
      </c>
      <c r="AC103" s="76"/>
      <c r="AD103" s="116">
        <v>-0.01</v>
      </c>
      <c r="AE103" s="116">
        <v>-0.02</v>
      </c>
      <c r="AF103" s="116">
        <v>-0.04</v>
      </c>
      <c r="AG103" s="117"/>
      <c r="AH103" s="73"/>
      <c r="AI103" s="57"/>
      <c r="AJ103" s="45"/>
      <c r="AK103" s="294"/>
      <c r="AL103" s="45"/>
      <c r="AM103" s="469"/>
      <c r="AN103" s="469"/>
      <c r="AP103" s="301">
        <f t="shared" ca="1" si="9"/>
        <v>0.91276861224489791</v>
      </c>
      <c r="AR103" s="119">
        <f>1-((1+AD103)/(1+AD102))^(1/($H102-$H103))</f>
        <v>-1.0101010101010166E-2</v>
      </c>
      <c r="AS103" s="119">
        <f>1-((1+AE103)/(1+AE102))^(1/($H102-$H103))</f>
        <v>-2.0408163265306145E-2</v>
      </c>
      <c r="AT103" s="119">
        <f>1-((1+AF103)/(1+AF102))^(1/($H102-$H103))</f>
        <v>-4.1666666666666741E-2</v>
      </c>
      <c r="AW103" s="327">
        <f t="shared" si="14"/>
        <v>22</v>
      </c>
      <c r="AX103">
        <f t="shared" ca="1" si="10"/>
        <v>0</v>
      </c>
      <c r="AY103" s="328">
        <f t="shared" ca="1" si="11"/>
        <v>-1.9999999999999997E-2</v>
      </c>
      <c r="AZ103" s="329">
        <f t="shared" ca="1" si="12"/>
        <v>1376.2701866666666</v>
      </c>
      <c r="BA103" s="329">
        <f t="shared" ca="1" si="13"/>
        <v>837.06413438198092</v>
      </c>
    </row>
    <row r="104" spans="1:59"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5"/>
        <v>0</v>
      </c>
      <c r="M104" s="298">
        <f t="shared" si="15"/>
        <v>-2.2771633051398829E-2</v>
      </c>
      <c r="N104" s="298">
        <f t="shared" si="15"/>
        <v>-6.5061808718282363E-2</v>
      </c>
      <c r="O104" s="299">
        <f t="shared" si="15"/>
        <v>-3.2530904359141188E-2</v>
      </c>
      <c r="P104" s="299">
        <f t="shared" si="15"/>
        <v>-1.3012361743656473E-2</v>
      </c>
      <c r="Q104" s="299">
        <f t="shared" si="15"/>
        <v>0</v>
      </c>
      <c r="R104" s="299">
        <f t="shared" si="15"/>
        <v>4.8796356538711779E-3</v>
      </c>
      <c r="S104" s="299">
        <f t="shared" si="15"/>
        <v>0</v>
      </c>
      <c r="T104" s="299">
        <f t="shared" si="15"/>
        <v>0</v>
      </c>
      <c r="U104" s="299">
        <f t="shared" si="15"/>
        <v>0</v>
      </c>
      <c r="V104" s="299">
        <f t="shared" si="15"/>
        <v>0</v>
      </c>
      <c r="W104" s="298">
        <f t="shared" si="15"/>
        <v>0.94399999999999995</v>
      </c>
      <c r="X104" s="300">
        <f t="shared" si="15"/>
        <v>0.82499999999999996</v>
      </c>
      <c r="Y104" s="300">
        <f t="shared" si="15"/>
        <v>0.82499999999999996</v>
      </c>
      <c r="Z104" s="300">
        <f t="shared" si="15"/>
        <v>0.57499999999999996</v>
      </c>
      <c r="AA104" s="300">
        <f t="shared" si="15"/>
        <v>0.60499999999999998</v>
      </c>
      <c r="AB104" s="300">
        <f t="shared" si="15"/>
        <v>0.9</v>
      </c>
      <c r="AC104" s="76"/>
      <c r="AD104" s="116">
        <v>-7.0000000000000007E-2</v>
      </c>
      <c r="AE104" s="116">
        <v>-0.11</v>
      </c>
      <c r="AF104" s="116">
        <v>-0.16</v>
      </c>
      <c r="AG104" s="117"/>
      <c r="AH104" s="73"/>
      <c r="AI104" s="57"/>
      <c r="AJ104" s="45"/>
      <c r="AK104" s="294"/>
      <c r="AL104" s="45"/>
      <c r="AM104" s="469"/>
      <c r="AN104" s="469"/>
      <c r="AP104" s="301">
        <f t="shared" ca="1" si="9"/>
        <v>0.91352369662921362</v>
      </c>
      <c r="AR104" s="119">
        <f>1-((1+AD104)/(1+AD103))^(1/($H103-$H104))</f>
        <v>-3.1753909143191983E-2</v>
      </c>
      <c r="AS104" s="119">
        <f>1-((1+AE104)/(1+AE103))^(1/($H103-$H104))</f>
        <v>-4.9344364594205992E-2</v>
      </c>
      <c r="AT104" s="119">
        <f>1-((1+AF104)/(1+AF103))^(1/($H103-$H104))</f>
        <v>-6.9044967649697586E-2</v>
      </c>
      <c r="AW104" s="327">
        <f t="shared" si="14"/>
        <v>24</v>
      </c>
      <c r="AX104">
        <f t="shared" ca="1" si="10"/>
        <v>0</v>
      </c>
      <c r="AY104" s="328">
        <f t="shared" ca="1" si="11"/>
        <v>-0.11000000000000001</v>
      </c>
      <c r="AZ104" s="329">
        <f t="shared" ca="1" si="12"/>
        <v>1249.8780266666665</v>
      </c>
      <c r="BA104" s="329">
        <f t="shared" ca="1" si="13"/>
        <v>760.77906796457989</v>
      </c>
    </row>
    <row r="105" spans="1:59" hidden="1" outlineLevel="3" x14ac:dyDescent="0.25">
      <c r="A105" s="45"/>
      <c r="B105" s="54"/>
      <c r="C105" s="87">
        <f t="shared" si="5"/>
        <v>4</v>
      </c>
      <c r="D105" s="73"/>
      <c r="E105" s="70"/>
      <c r="F105" s="70">
        <f t="shared" si="6"/>
        <v>-91.5</v>
      </c>
      <c r="G105" s="73"/>
      <c r="H105" s="79">
        <v>26</v>
      </c>
      <c r="I105" s="120">
        <v>766</v>
      </c>
      <c r="J105" s="120">
        <v>857</v>
      </c>
      <c r="K105" s="120">
        <v>1114</v>
      </c>
      <c r="L105" s="298">
        <f t="shared" si="15"/>
        <v>0</v>
      </c>
      <c r="M105" s="298">
        <f t="shared" si="15"/>
        <v>-2.2771633051398829E-2</v>
      </c>
      <c r="N105" s="298">
        <f t="shared" si="15"/>
        <v>-6.5061808718282363E-2</v>
      </c>
      <c r="O105" s="299">
        <f t="shared" si="15"/>
        <v>-3.2530904359141188E-2</v>
      </c>
      <c r="P105" s="299">
        <f t="shared" si="15"/>
        <v>-1.3012361743656473E-2</v>
      </c>
      <c r="Q105" s="299">
        <f t="shared" si="15"/>
        <v>0</v>
      </c>
      <c r="R105" s="299">
        <f t="shared" si="15"/>
        <v>4.8796356538711779E-3</v>
      </c>
      <c r="S105" s="299">
        <f t="shared" si="15"/>
        <v>0</v>
      </c>
      <c r="T105" s="299">
        <f t="shared" si="15"/>
        <v>0</v>
      </c>
      <c r="U105" s="299">
        <f t="shared" si="15"/>
        <v>0</v>
      </c>
      <c r="V105" s="299">
        <f t="shared" si="15"/>
        <v>0</v>
      </c>
      <c r="W105" s="121">
        <v>0.86099999999999999</v>
      </c>
      <c r="X105" s="123">
        <v>0.61299999999999999</v>
      </c>
      <c r="Y105" s="123">
        <v>0.59399999999999997</v>
      </c>
      <c r="Z105" s="123">
        <v>0.42599999999999999</v>
      </c>
      <c r="AA105" s="123">
        <v>0.41499999999999998</v>
      </c>
      <c r="AB105" s="123">
        <f t="shared" si="15"/>
        <v>0.9</v>
      </c>
      <c r="AC105" s="76"/>
      <c r="AD105" s="116">
        <v>-0.25</v>
      </c>
      <c r="AE105" s="116">
        <v>-0.32</v>
      </c>
      <c r="AF105" s="116">
        <v>-0.37</v>
      </c>
      <c r="AG105" s="117"/>
      <c r="AH105" s="73"/>
      <c r="AI105" s="57"/>
      <c r="AJ105" s="45"/>
      <c r="AK105" s="294"/>
      <c r="AL105" s="45"/>
      <c r="AM105" s="469"/>
      <c r="AN105" s="469"/>
      <c r="AP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R105" s="119">
        <f>1-((1+AD105)/(1+AD104))^(1/($H104-$H105))</f>
        <v>-0.11355287256600421</v>
      </c>
      <c r="AS105" s="119">
        <f>1-((1+AE105)/(1+AE104))^(1/($H104-$H105))</f>
        <v>-0.14403825522216041</v>
      </c>
      <c r="AT105" s="119">
        <f>1-((1+AF105)/(1+AF104))^(1/($H104-$H105))</f>
        <v>-0.15470053837925168</v>
      </c>
      <c r="AW105" s="327">
        <f t="shared" si="14"/>
        <v>26</v>
      </c>
      <c r="AX105">
        <f t="shared" ca="1" si="10"/>
        <v>0</v>
      </c>
      <c r="AY105" s="328">
        <f t="shared" ca="1" si="11"/>
        <v>-0.32</v>
      </c>
      <c r="AZ105" s="329">
        <f t="shared" ca="1" si="12"/>
        <v>870.99908000000005</v>
      </c>
      <c r="BA105" s="433">
        <f ca="1">(SUM($AX$97:$AX$108)*(1+$AY105)*$AP105*(1-i_wool_cost_pc)-i_wool_cost_kg)*$N$139</f>
        <v>534.76446991648197</v>
      </c>
    </row>
    <row r="106" spans="1:59"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5"/>
        <v>0</v>
      </c>
      <c r="M106" s="298">
        <f t="shared" si="15"/>
        <v>-2.2771633051398829E-2</v>
      </c>
      <c r="N106" s="298">
        <f t="shared" si="15"/>
        <v>-6.5061808718282363E-2</v>
      </c>
      <c r="O106" s="299">
        <f t="shared" si="15"/>
        <v>-3.2530904359141188E-2</v>
      </c>
      <c r="P106" s="299">
        <f t="shared" si="15"/>
        <v>-1.3012361743656473E-2</v>
      </c>
      <c r="Q106" s="299">
        <f t="shared" si="15"/>
        <v>0</v>
      </c>
      <c r="R106" s="299">
        <f t="shared" si="15"/>
        <v>4.8796356538711779E-3</v>
      </c>
      <c r="S106" s="299">
        <f t="shared" si="15"/>
        <v>0</v>
      </c>
      <c r="T106" s="299">
        <f t="shared" si="15"/>
        <v>0</v>
      </c>
      <c r="U106" s="299">
        <f t="shared" si="15"/>
        <v>0</v>
      </c>
      <c r="V106" s="299">
        <f t="shared" si="15"/>
        <v>0</v>
      </c>
      <c r="W106" s="298">
        <f t="shared" si="15"/>
        <v>0.86099999999999999</v>
      </c>
      <c r="X106" s="300">
        <f t="shared" si="15"/>
        <v>0.61299999999999999</v>
      </c>
      <c r="Y106" s="300">
        <f t="shared" si="15"/>
        <v>0.59399999999999997</v>
      </c>
      <c r="Z106" s="300">
        <f t="shared" si="15"/>
        <v>0.42599999999999999</v>
      </c>
      <c r="AA106" s="300">
        <f t="shared" si="15"/>
        <v>0.41499999999999998</v>
      </c>
      <c r="AB106" s="300">
        <f t="shared" si="15"/>
        <v>0.9</v>
      </c>
      <c r="AC106" s="76"/>
      <c r="AD106" s="116">
        <v>-0.4</v>
      </c>
      <c r="AE106" s="116">
        <v>-0.49</v>
      </c>
      <c r="AF106" s="116">
        <v>-0.52</v>
      </c>
      <c r="AG106" s="117"/>
      <c r="AH106" s="73"/>
      <c r="AI106" s="57"/>
      <c r="AJ106" s="45"/>
      <c r="AK106" s="294"/>
      <c r="AL106" s="45"/>
      <c r="AM106" s="469"/>
      <c r="AN106" s="469"/>
      <c r="AP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R106" s="119">
        <f>1-((1+AD106)/(1+AD105))^(1/($H105-$H106))</f>
        <v>-0.1180339887498949</v>
      </c>
      <c r="AS106" s="119">
        <f>1-((1+AE106)/(1+AE105))^(1/($H105-$H106))</f>
        <v>-0.15470053837925146</v>
      </c>
      <c r="AT106" s="119">
        <f>1-((1+AF106)/(1+AF105))^(1/($H105-$H106))</f>
        <v>-0.14564392373896018</v>
      </c>
      <c r="AW106" s="327">
        <f t="shared" si="14"/>
        <v>28</v>
      </c>
      <c r="AX106">
        <f t="shared" ca="1" si="10"/>
        <v>0</v>
      </c>
      <c r="AY106" s="328">
        <f t="shared" ca="1" si="11"/>
        <v>-0.49</v>
      </c>
      <c r="AZ106" s="329">
        <f t="shared" ca="1" si="12"/>
        <v>653.24931000000004</v>
      </c>
      <c r="BA106" s="433">
        <f ca="1">(SUM($AX$97:$AX$108)*(1+$AY106)*$AP106*(1-i_wool_cost_pc)-i_wool_cost_kg)*$N$139</f>
        <v>401.61527740851596</v>
      </c>
    </row>
    <row r="107" spans="1:59" hidden="1" outlineLevel="3" x14ac:dyDescent="0.25">
      <c r="A107" s="45"/>
      <c r="B107" s="54"/>
      <c r="C107" s="87">
        <f t="shared" si="5"/>
        <v>4</v>
      </c>
      <c r="D107" s="73"/>
      <c r="E107" s="70"/>
      <c r="F107" s="70"/>
      <c r="G107" s="73"/>
      <c r="H107" s="79">
        <v>32</v>
      </c>
      <c r="I107" s="120">
        <v>389</v>
      </c>
      <c r="J107" s="120">
        <v>485</v>
      </c>
      <c r="K107" s="120">
        <v>585</v>
      </c>
      <c r="L107" s="298">
        <f t="shared" ref="L107:AB109" si="16">L105</f>
        <v>0</v>
      </c>
      <c r="M107" s="298">
        <f t="shared" si="16"/>
        <v>-2.2771633051398829E-2</v>
      </c>
      <c r="N107" s="298">
        <f t="shared" si="16"/>
        <v>-6.5061808718282363E-2</v>
      </c>
      <c r="O107" s="299">
        <f t="shared" si="16"/>
        <v>-3.2530904359141188E-2</v>
      </c>
      <c r="P107" s="299">
        <f t="shared" si="16"/>
        <v>-1.3012361743656473E-2</v>
      </c>
      <c r="Q107" s="299">
        <f t="shared" si="16"/>
        <v>0</v>
      </c>
      <c r="R107" s="299">
        <f t="shared" si="16"/>
        <v>4.8796356538711779E-3</v>
      </c>
      <c r="S107" s="299">
        <f t="shared" si="16"/>
        <v>0</v>
      </c>
      <c r="T107" s="299">
        <f t="shared" si="16"/>
        <v>0</v>
      </c>
      <c r="U107" s="299">
        <f t="shared" si="16"/>
        <v>0</v>
      </c>
      <c r="V107" s="299">
        <f t="shared" si="16"/>
        <v>0</v>
      </c>
      <c r="W107" s="298">
        <f t="shared" si="16"/>
        <v>0.86099999999999999</v>
      </c>
      <c r="X107" s="300">
        <f t="shared" si="16"/>
        <v>0.61299999999999999</v>
      </c>
      <c r="Y107" s="300">
        <f t="shared" si="16"/>
        <v>0.59399999999999997</v>
      </c>
      <c r="Z107" s="300">
        <f t="shared" si="16"/>
        <v>0.42599999999999999</v>
      </c>
      <c r="AA107" s="300">
        <f t="shared" si="16"/>
        <v>0.41499999999999998</v>
      </c>
      <c r="AB107" s="300">
        <f t="shared" si="16"/>
        <v>0.9</v>
      </c>
      <c r="AC107" s="76"/>
      <c r="AD107" s="116">
        <v>-0.48</v>
      </c>
      <c r="AE107" s="116">
        <v>-0.64</v>
      </c>
      <c r="AF107" s="116">
        <v>-0.71</v>
      </c>
      <c r="AG107" s="76" t="s">
        <v>240</v>
      </c>
      <c r="AH107" s="73"/>
      <c r="AI107" s="57"/>
      <c r="AJ107" s="45"/>
      <c r="AK107" s="294"/>
      <c r="AL107" s="45"/>
      <c r="AM107" s="469"/>
      <c r="AN107" s="469"/>
      <c r="AP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R107" s="119">
        <f>1-((1+AD107)/(1+AD106))^(1/($H106-$H107))</f>
        <v>-3.6422843755939738E-2</v>
      </c>
      <c r="AS107" s="119">
        <f>1-((1+AE107)/(1+AE106))^(1/($H106-$H107))</f>
        <v>-9.098032586468241E-2</v>
      </c>
      <c r="AT107" s="119">
        <f>1-((1+AF107)/(1+AF106))^(1/($H106-$H107))</f>
        <v>-0.13425528070419568</v>
      </c>
      <c r="AW107" s="327">
        <f t="shared" si="14"/>
        <v>32</v>
      </c>
      <c r="AX107">
        <f t="shared" ca="1" si="10"/>
        <v>0</v>
      </c>
      <c r="AY107" s="328">
        <f t="shared" ca="1" si="11"/>
        <v>-0.64</v>
      </c>
      <c r="AZ107" s="329">
        <f t="shared" ca="1" si="12"/>
        <v>461.11716000000007</v>
      </c>
      <c r="BA107" s="433">
        <f ca="1">(SUM($AX$97:$AX$108)*(1+$AY107)*$AP107*(1-i_wool_cost_pc)-i_wool_cost_kg)*$N$139</f>
        <v>281.00408801134591</v>
      </c>
    </row>
    <row r="108" spans="1:59" hidden="1" outlineLevel="3" x14ac:dyDescent="0.25">
      <c r="A108" s="45"/>
      <c r="B108" s="54"/>
      <c r="C108" s="87">
        <f t="shared" si="5"/>
        <v>4</v>
      </c>
      <c r="D108" s="73"/>
      <c r="E108" s="70"/>
      <c r="F108" s="70"/>
      <c r="G108" s="73"/>
      <c r="H108" s="79">
        <v>34</v>
      </c>
      <c r="I108" s="120"/>
      <c r="J108" s="120"/>
      <c r="K108" s="120"/>
      <c r="L108" s="298">
        <f t="shared" si="16"/>
        <v>0</v>
      </c>
      <c r="M108" s="298">
        <f t="shared" si="16"/>
        <v>-2.2771633051398829E-2</v>
      </c>
      <c r="N108" s="298">
        <f t="shared" si="16"/>
        <v>-6.5061808718282363E-2</v>
      </c>
      <c r="O108" s="299">
        <f t="shared" si="16"/>
        <v>-3.2530904359141188E-2</v>
      </c>
      <c r="P108" s="299">
        <f t="shared" si="16"/>
        <v>-1.3012361743656473E-2</v>
      </c>
      <c r="Q108" s="299">
        <f t="shared" si="16"/>
        <v>0</v>
      </c>
      <c r="R108" s="299">
        <f t="shared" si="16"/>
        <v>4.8796356538711779E-3</v>
      </c>
      <c r="S108" s="299">
        <f t="shared" si="16"/>
        <v>0</v>
      </c>
      <c r="T108" s="299">
        <f t="shared" si="16"/>
        <v>0</v>
      </c>
      <c r="U108" s="299">
        <f t="shared" si="16"/>
        <v>0</v>
      </c>
      <c r="V108" s="299">
        <f t="shared" si="16"/>
        <v>0</v>
      </c>
      <c r="W108" s="298">
        <f t="shared" si="16"/>
        <v>0.86099999999999999</v>
      </c>
      <c r="X108" s="300">
        <f t="shared" si="16"/>
        <v>0.61299999999999999</v>
      </c>
      <c r="Y108" s="300">
        <f t="shared" si="16"/>
        <v>0.59399999999999997</v>
      </c>
      <c r="Z108" s="300">
        <f t="shared" si="16"/>
        <v>0.42599999999999999</v>
      </c>
      <c r="AA108" s="300">
        <f t="shared" si="16"/>
        <v>0.41499999999999998</v>
      </c>
      <c r="AB108" s="300">
        <f t="shared" si="16"/>
        <v>0.9</v>
      </c>
      <c r="AC108" s="76"/>
      <c r="AD108" s="116">
        <v>-0.55000000000000004</v>
      </c>
      <c r="AE108" s="116">
        <v>-0.67</v>
      </c>
      <c r="AF108" s="116">
        <v>-0.83</v>
      </c>
      <c r="AG108" s="76" t="s">
        <v>241</v>
      </c>
      <c r="AH108" s="73"/>
      <c r="AI108" s="57"/>
      <c r="AJ108" s="45"/>
      <c r="AK108" s="294"/>
      <c r="AL108" s="45"/>
      <c r="AM108" s="469"/>
      <c r="AN108" s="469"/>
      <c r="AP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R108" s="119">
        <f>1-((1+AD108)/(1+AD107))^(1/($H107-$H108))</f>
        <v>-7.4967699773140106E-2</v>
      </c>
      <c r="AS108" s="119">
        <f>1-((1+AE108)/(1+AE107))^(1/($H107-$H108))</f>
        <v>-4.4465935734187001E-2</v>
      </c>
      <c r="AT108" s="119">
        <f>1-((1+AF108)/(1+AF107))^(1/($H107-$H108))</f>
        <v>-0.30609431242203033</v>
      </c>
      <c r="AW108" s="327">
        <f t="shared" si="14"/>
        <v>34</v>
      </c>
      <c r="AX108">
        <f t="shared" ca="1" si="10"/>
        <v>0</v>
      </c>
      <c r="AY108" s="328">
        <f t="shared" ca="1" si="11"/>
        <v>-0.67</v>
      </c>
      <c r="AZ108" s="329">
        <f t="shared" ca="1" si="12"/>
        <v>422.69072999999997</v>
      </c>
      <c r="BA108" s="433">
        <f ca="1">(SUM($AX$97:$AX$108)*(1+$AY108)*$AP108*(1-i_wool_cost_pc)-i_wool_cost_kg)*$N$139</f>
        <v>255.52031256004747</v>
      </c>
    </row>
    <row r="109" spans="1:59" hidden="1" outlineLevel="3" x14ac:dyDescent="0.25">
      <c r="A109" s="45"/>
      <c r="B109" s="54"/>
      <c r="C109" s="87"/>
      <c r="D109" s="73"/>
      <c r="E109" s="70"/>
      <c r="F109" s="70"/>
      <c r="G109" s="73"/>
      <c r="H109" s="79">
        <v>38</v>
      </c>
      <c r="I109" s="125"/>
      <c r="J109" s="125"/>
      <c r="K109" s="125"/>
      <c r="L109" s="303">
        <f t="shared" si="16"/>
        <v>0</v>
      </c>
      <c r="M109" s="303">
        <f t="shared" si="16"/>
        <v>-2.2771633051398829E-2</v>
      </c>
      <c r="N109" s="303">
        <f t="shared" si="16"/>
        <v>-6.5061808718282363E-2</v>
      </c>
      <c r="O109" s="304">
        <f t="shared" si="16"/>
        <v>-3.2530904359141188E-2</v>
      </c>
      <c r="P109" s="304">
        <f t="shared" si="16"/>
        <v>-1.3012361743656473E-2</v>
      </c>
      <c r="Q109" s="304">
        <f t="shared" si="16"/>
        <v>0</v>
      </c>
      <c r="R109" s="304">
        <f t="shared" si="16"/>
        <v>4.8796356538711779E-3</v>
      </c>
      <c r="S109" s="304">
        <f t="shared" si="16"/>
        <v>0</v>
      </c>
      <c r="T109" s="304">
        <f t="shared" si="16"/>
        <v>0</v>
      </c>
      <c r="U109" s="304">
        <f t="shared" si="16"/>
        <v>0</v>
      </c>
      <c r="V109" s="304">
        <f t="shared" si="16"/>
        <v>0</v>
      </c>
      <c r="W109" s="303">
        <f t="shared" si="16"/>
        <v>0.86099999999999999</v>
      </c>
      <c r="X109" s="305">
        <f t="shared" si="16"/>
        <v>0.61299999999999999</v>
      </c>
      <c r="Y109" s="305">
        <f t="shared" si="16"/>
        <v>0.59399999999999997</v>
      </c>
      <c r="Z109" s="305">
        <f t="shared" si="16"/>
        <v>0.42599999999999999</v>
      </c>
      <c r="AA109" s="305">
        <f t="shared" si="16"/>
        <v>0.41499999999999998</v>
      </c>
      <c r="AB109" s="305">
        <f t="shared" si="16"/>
        <v>0.9</v>
      </c>
      <c r="AC109" s="76"/>
      <c r="AD109" s="445">
        <f>MAX(-0.95,AD108+($H108-$H109)/($H107-$H108)*(AD108-AD107))</f>
        <v>-0.69000000000000017</v>
      </c>
      <c r="AE109" s="445">
        <f>MAX(-0.95,AE108+($H108-$H109)/($H107-$H108)*(AE108-AE107))</f>
        <v>-0.73000000000000009</v>
      </c>
      <c r="AF109" s="445">
        <f>MAX(-0.95,AF108+($H108-$H109)/($H107-$H108)*(AF108-AF107))</f>
        <v>-0.95</v>
      </c>
      <c r="AG109" s="76"/>
      <c r="AH109" s="73"/>
      <c r="AI109" s="57"/>
      <c r="AJ109" s="45"/>
      <c r="AK109" s="294"/>
      <c r="AL109" s="45"/>
      <c r="AM109" s="469"/>
      <c r="AN109" s="469"/>
      <c r="AP109" s="444">
        <f ca="1">AP108</f>
        <v>0.821353</v>
      </c>
      <c r="AR109" s="119">
        <f>1-((1+AD109)/(1+AD108))^(1/($H108-$H109))</f>
        <v>-9.764702584835927E-2</v>
      </c>
      <c r="AS109" s="119">
        <f>1-((1+AE109)/(1+AE108))^(1/($H108-$H109))</f>
        <v>-5.1447381843301443E-2</v>
      </c>
      <c r="AT109" s="119">
        <f>1-((1+AF109)/(1+AF108))^(1/($H108-$H109))</f>
        <v>-0.35790606871704389</v>
      </c>
      <c r="AW109" s="330">
        <f t="shared" si="14"/>
        <v>38</v>
      </c>
      <c r="AX109" s="331">
        <f t="shared" ca="1" si="10"/>
        <v>0</v>
      </c>
      <c r="AY109" s="332">
        <f t="shared" ca="1" si="11"/>
        <v>-0.7300000000000002</v>
      </c>
      <c r="AZ109" s="442">
        <f t="shared" ca="1" si="12"/>
        <v>345.83786999999978</v>
      </c>
      <c r="BA109" s="434">
        <f ca="1">(SUM($AX$97:$AX$108)*(1+$AY109)*$AP109*(1-i_wool_cost_pc)-i_wool_cost_kg)*$N$139</f>
        <v>208.9801390764502</v>
      </c>
    </row>
    <row r="110" spans="1:59" hidden="1" outlineLevel="3" x14ac:dyDescent="0.25">
      <c r="A110" s="45"/>
      <c r="B110" s="54"/>
      <c r="C110" s="87">
        <f>INT($C$81+3)</f>
        <v>4</v>
      </c>
      <c r="D110" s="73"/>
      <c r="E110" s="70"/>
      <c r="F110" s="70"/>
      <c r="G110" s="73"/>
      <c r="H110" s="76" t="s">
        <v>242</v>
      </c>
      <c r="I110" s="97" t="s">
        <v>2422</v>
      </c>
      <c r="J110" s="97"/>
      <c r="K110" s="97"/>
      <c r="L110" s="126" t="s">
        <v>243</v>
      </c>
      <c r="M110" s="126"/>
      <c r="N110" s="126"/>
      <c r="O110" s="126" t="s">
        <v>244</v>
      </c>
      <c r="P110" s="126"/>
      <c r="Q110" s="126"/>
      <c r="R110" s="126"/>
      <c r="S110" s="126"/>
      <c r="T110" s="126"/>
      <c r="U110" s="126"/>
      <c r="V110" s="126"/>
      <c r="W110" s="126" t="s">
        <v>2289</v>
      </c>
      <c r="X110" s="126"/>
      <c r="Y110" s="126"/>
      <c r="Z110" s="126"/>
      <c r="AA110" s="126"/>
      <c r="AB110" s="126"/>
      <c r="AC110" s="76"/>
      <c r="AD110" s="126" t="s">
        <v>239</v>
      </c>
      <c r="AE110" s="126"/>
      <c r="AF110" s="126"/>
      <c r="AG110" s="76"/>
      <c r="AH110" s="73"/>
      <c r="AI110" s="57"/>
      <c r="AJ110" s="45"/>
      <c r="AK110" s="45"/>
      <c r="AL110" s="45"/>
      <c r="AM110" s="469"/>
      <c r="AN110" s="469"/>
    </row>
    <row r="111" spans="1:59"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M111" s="469"/>
      <c r="AN111" s="469"/>
      <c r="AP111" t="s">
        <v>2812</v>
      </c>
    </row>
    <row r="112" spans="1:59"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M112" s="469"/>
      <c r="AN112" s="469"/>
      <c r="AP112" t="s">
        <v>2814</v>
      </c>
    </row>
    <row r="113" spans="1:42" hidden="1" outlineLevel="3" x14ac:dyDescent="0.25">
      <c r="A113" s="45"/>
      <c r="B113" s="54"/>
      <c r="C113" s="87">
        <f>INT($C$81+3)</f>
        <v>4</v>
      </c>
      <c r="D113" s="73"/>
      <c r="E113" s="70"/>
      <c r="F113" s="70"/>
      <c r="G113" s="73"/>
      <c r="H113" s="76" t="s">
        <v>248</v>
      </c>
      <c r="I113" s="97">
        <v>70</v>
      </c>
      <c r="J113" s="76" t="s">
        <v>2310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M113" s="469"/>
      <c r="AN113" s="469"/>
      <c r="AP113" t="s">
        <v>2813</v>
      </c>
    </row>
    <row r="114" spans="1:42" hidden="1" outlineLevel="3" x14ac:dyDescent="0.25">
      <c r="A114" s="45"/>
      <c r="B114" s="54"/>
      <c r="C114" s="87">
        <f>INT($C$81+3)</f>
        <v>4</v>
      </c>
      <c r="D114" s="73"/>
      <c r="E114" s="70"/>
      <c r="F114" s="70"/>
      <c r="G114" s="73"/>
      <c r="H114" s="76" t="s">
        <v>249</v>
      </c>
      <c r="I114" s="97">
        <v>50</v>
      </c>
      <c r="J114" s="76" t="s">
        <v>2802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c r="AM114" s="469"/>
      <c r="AN114" s="469"/>
    </row>
    <row r="115" spans="1:42"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c r="AM115" s="469"/>
      <c r="AN115" s="469"/>
    </row>
    <row r="116" spans="1:42"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c r="AM116" s="469"/>
      <c r="AN116" s="469"/>
    </row>
    <row r="117" spans="1:42"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c r="AM117" s="469"/>
      <c r="AN117" s="469"/>
    </row>
    <row r="118" spans="1:42"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c r="AM118" s="469"/>
      <c r="AN118" s="469"/>
    </row>
    <row r="119" spans="1:42" hidden="1" outlineLevel="2" x14ac:dyDescent="0.25">
      <c r="A119" s="45"/>
      <c r="B119" s="54"/>
      <c r="C119" s="87">
        <f>INT($C$81)+2</f>
        <v>3</v>
      </c>
      <c r="D119" s="73"/>
      <c r="E119" s="70"/>
      <c r="F119" s="70"/>
      <c r="G119" s="73"/>
      <c r="H119" s="76" t="s">
        <v>2290</v>
      </c>
      <c r="I119" s="76"/>
      <c r="J119" s="76" t="str">
        <f t="shared" ref="J119:O119" si="17">W95</f>
        <v>Fleece</v>
      </c>
      <c r="K119" s="76" t="str">
        <f t="shared" si="17"/>
        <v>Pieces</v>
      </c>
      <c r="L119" s="76" t="str">
        <f t="shared" si="17"/>
        <v>Bellies</v>
      </c>
      <c r="M119" s="76" t="str">
        <f t="shared" si="17"/>
        <v>Locks</v>
      </c>
      <c r="N119" s="76" t="str">
        <f t="shared" si="17"/>
        <v>Stains</v>
      </c>
      <c r="O119" s="76" t="str">
        <f t="shared" si="17"/>
        <v>Off types</v>
      </c>
      <c r="P119" s="76" t="s">
        <v>2291</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c r="AM119" s="469"/>
      <c r="AN119" s="469"/>
    </row>
    <row r="120" spans="1:42" hidden="1" outlineLevel="3" x14ac:dyDescent="0.25">
      <c r="A120" s="45"/>
      <c r="B120" s="54"/>
      <c r="C120" s="87">
        <f>INT($C$81+3)</f>
        <v>4</v>
      </c>
      <c r="D120" s="73"/>
      <c r="E120" s="70"/>
      <c r="F120" s="70"/>
      <c r="G120" s="73"/>
      <c r="H120" s="76"/>
      <c r="I120" s="78" t="s">
        <v>2292</v>
      </c>
      <c r="J120" s="116">
        <v>0.68</v>
      </c>
      <c r="K120" s="116">
        <v>0.55000000000000004</v>
      </c>
      <c r="L120" s="116">
        <v>0.5</v>
      </c>
      <c r="M120" s="116">
        <v>0.65</v>
      </c>
      <c r="N120" s="116">
        <v>0.65</v>
      </c>
      <c r="O120" s="131">
        <f>J120</f>
        <v>0.68</v>
      </c>
      <c r="P120" s="131">
        <v>0.4</v>
      </c>
      <c r="Q120" s="97" t="s">
        <v>2293</v>
      </c>
      <c r="R120" s="76"/>
      <c r="S120" s="76"/>
      <c r="T120" s="76"/>
      <c r="U120" s="76"/>
      <c r="V120" s="76"/>
      <c r="W120" s="76"/>
      <c r="X120" s="76"/>
      <c r="Y120" s="76"/>
      <c r="Z120" s="76"/>
      <c r="AA120" s="76"/>
      <c r="AB120" s="76"/>
      <c r="AC120" s="76"/>
      <c r="AD120" s="76"/>
      <c r="AE120" s="76"/>
      <c r="AF120" s="76"/>
      <c r="AG120" s="76"/>
      <c r="AH120" s="73"/>
      <c r="AI120" s="57"/>
      <c r="AJ120" s="45"/>
      <c r="AK120" s="45"/>
      <c r="AL120" s="45"/>
      <c r="AM120" s="469"/>
      <c r="AN120" s="469"/>
    </row>
    <row r="121" spans="1:42" hidden="1" outlineLevel="3" x14ac:dyDescent="0.25">
      <c r="A121" s="45"/>
      <c r="B121" s="54"/>
      <c r="C121" s="87">
        <f>INT($C$81+3)</f>
        <v>4</v>
      </c>
      <c r="D121" s="73"/>
      <c r="E121" s="70"/>
      <c r="F121" s="70"/>
      <c r="G121" s="73"/>
      <c r="H121" s="76"/>
      <c r="I121" s="78" t="s">
        <v>2294</v>
      </c>
      <c r="J121" s="320">
        <f>(J122/J$120)/SUMPRODUCT($J122:$P122,(1/$J$120:$P$120))</f>
        <v>0.750407617373261</v>
      </c>
      <c r="K121" s="306">
        <f t="shared" ref="K121:P121" si="18">(K122/K$120)/SUMPRODUCT($J122:$P122,(1/$J$120:$P$120))</f>
        <v>0.1131434988500704</v>
      </c>
      <c r="L121" s="306">
        <f t="shared" si="18"/>
        <v>4.1071090082575555E-2</v>
      </c>
      <c r="M121" s="306">
        <f t="shared" si="18"/>
        <v>1.2445784873507741E-2</v>
      </c>
      <c r="N121" s="306">
        <f t="shared" si="18"/>
        <v>3.1593146217365808E-2</v>
      </c>
      <c r="O121" s="306">
        <f t="shared" si="18"/>
        <v>0</v>
      </c>
      <c r="P121" s="306">
        <f t="shared" si="18"/>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c r="AM121" s="469"/>
      <c r="AN121" s="469"/>
    </row>
    <row r="122" spans="1:42" hidden="1" outlineLevel="3" x14ac:dyDescent="0.25">
      <c r="A122" s="45"/>
      <c r="B122" s="54"/>
      <c r="C122" s="87">
        <f>INT($C$81+3)</f>
        <v>4</v>
      </c>
      <c r="D122" s="73"/>
      <c r="E122" s="70"/>
      <c r="F122" s="70"/>
      <c r="G122" s="73"/>
      <c r="H122" s="76"/>
      <c r="I122" s="78" t="s">
        <v>2295</v>
      </c>
      <c r="J122" s="131">
        <v>0.82</v>
      </c>
      <c r="K122" s="131">
        <v>0.1</v>
      </c>
      <c r="L122" s="131">
        <v>3.3000000000000002E-2</v>
      </c>
      <c r="M122" s="131">
        <v>1.2999999999999999E-2</v>
      </c>
      <c r="N122" s="131">
        <v>3.3000000000000002E-2</v>
      </c>
      <c r="O122" s="131">
        <v>0</v>
      </c>
      <c r="P122" s="131">
        <v>3.3000000000000002E-2</v>
      </c>
      <c r="Q122" s="97" t="s">
        <v>2296</v>
      </c>
      <c r="R122" s="76"/>
      <c r="S122" s="76"/>
      <c r="T122" s="76"/>
      <c r="U122" s="76"/>
      <c r="V122" s="76"/>
      <c r="W122" s="76"/>
      <c r="X122" s="76"/>
      <c r="Y122" s="76"/>
      <c r="Z122" s="76"/>
      <c r="AA122" s="76"/>
      <c r="AB122" s="76"/>
      <c r="AC122" s="76"/>
      <c r="AD122" s="76"/>
      <c r="AE122" s="76"/>
      <c r="AF122" s="76"/>
      <c r="AG122" s="76"/>
      <c r="AH122" s="73"/>
      <c r="AI122" s="57"/>
      <c r="AJ122" s="45"/>
      <c r="AK122" s="45"/>
      <c r="AL122" s="45"/>
      <c r="AM122" s="469"/>
      <c r="AN122" s="469"/>
    </row>
    <row r="123" spans="1:42" hidden="1" outlineLevel="3" x14ac:dyDescent="0.25">
      <c r="A123" s="45"/>
      <c r="B123" s="54"/>
      <c r="C123" s="87">
        <f>INT($C$81+3)</f>
        <v>4</v>
      </c>
      <c r="D123" s="73"/>
      <c r="E123" s="70"/>
      <c r="F123" s="70"/>
      <c r="G123" s="73"/>
      <c r="H123" s="76"/>
      <c r="I123" s="78" t="s">
        <v>2297</v>
      </c>
      <c r="J123" s="307">
        <f>1-SUM(K123:O123)</f>
        <v>0.82099999999999995</v>
      </c>
      <c r="K123" s="308">
        <f>K122/(1-($P$122-$N$122))</f>
        <v>0.1</v>
      </c>
      <c r="L123" s="308">
        <f>L122/(1-($P$122-$N$122))</f>
        <v>3.3000000000000002E-2</v>
      </c>
      <c r="M123" s="308">
        <f t="shared" ref="M123:O123" si="19">M122/(1-($P$122-$N$122))</f>
        <v>1.2999999999999999E-2</v>
      </c>
      <c r="N123" s="308">
        <f t="shared" si="19"/>
        <v>3.3000000000000002E-2</v>
      </c>
      <c r="O123" s="308">
        <f t="shared" si="19"/>
        <v>0</v>
      </c>
      <c r="P123" s="76"/>
      <c r="Q123" s="76" t="s">
        <v>2298</v>
      </c>
      <c r="R123" s="76"/>
      <c r="S123" s="76"/>
      <c r="T123" s="76"/>
      <c r="U123" s="76"/>
      <c r="V123" s="76"/>
      <c r="W123" s="76"/>
      <c r="X123" s="76"/>
      <c r="Y123" s="76"/>
      <c r="Z123" s="76"/>
      <c r="AA123" s="76"/>
      <c r="AB123" s="76"/>
      <c r="AC123" s="76"/>
      <c r="AD123" s="76"/>
      <c r="AE123" s="76"/>
      <c r="AF123" s="76"/>
      <c r="AG123" s="76"/>
      <c r="AH123" s="73"/>
      <c r="AI123" s="57"/>
      <c r="AJ123" s="45"/>
      <c r="AK123" s="45"/>
      <c r="AL123" s="45"/>
      <c r="AM123" s="469"/>
      <c r="AN123" s="469"/>
    </row>
    <row r="124" spans="1:42" hidden="1" outlineLevel="3" x14ac:dyDescent="0.25">
      <c r="A124" s="45"/>
      <c r="B124" s="54"/>
      <c r="C124" s="87">
        <f>INT($C$81+3)</f>
        <v>4</v>
      </c>
      <c r="D124" s="73"/>
      <c r="E124" s="70"/>
      <c r="F124" s="70"/>
      <c r="G124" s="73"/>
      <c r="H124" s="76"/>
      <c r="I124" s="128" t="s">
        <v>2299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c r="AM124" s="469"/>
      <c r="AN124" s="469"/>
    </row>
    <row r="125" spans="1:42" hidden="1" outlineLevel="2" x14ac:dyDescent="0.25">
      <c r="A125" s="45"/>
      <c r="B125" s="54"/>
      <c r="C125" s="87">
        <f>INT($C$81)+2</f>
        <v>3</v>
      </c>
      <c r="D125" s="73"/>
      <c r="E125" s="70"/>
      <c r="F125" s="70"/>
      <c r="G125" s="73"/>
      <c r="H125" s="76" t="s">
        <v>2300</v>
      </c>
      <c r="I125" s="76"/>
      <c r="J125" s="76" t="str">
        <f>J119</f>
        <v>Fleece</v>
      </c>
      <c r="K125" s="76" t="str">
        <f t="shared" ref="K125:P125" si="20">K119</f>
        <v>Pieces</v>
      </c>
      <c r="L125" s="76" t="str">
        <f t="shared" si="20"/>
        <v>Bellies</v>
      </c>
      <c r="M125" s="76" t="str">
        <f t="shared" si="20"/>
        <v>Locks</v>
      </c>
      <c r="N125" s="76" t="str">
        <f t="shared" si="20"/>
        <v>Stains</v>
      </c>
      <c r="O125" s="76" t="str">
        <f t="shared" si="20"/>
        <v>Off types</v>
      </c>
      <c r="P125" s="76" t="str">
        <f t="shared" si="20"/>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c r="AM125" s="469"/>
      <c r="AN125" s="469"/>
    </row>
    <row r="126" spans="1:42" hidden="1" outlineLevel="3" x14ac:dyDescent="0.25">
      <c r="A126" s="45"/>
      <c r="B126" s="54"/>
      <c r="C126" s="87">
        <f>INT($C$81+3)</f>
        <v>4</v>
      </c>
      <c r="D126" s="73"/>
      <c r="E126" s="70"/>
      <c r="F126" s="70"/>
      <c r="G126" s="73"/>
      <c r="H126" s="76"/>
      <c r="I126" s="78" t="s">
        <v>2294</v>
      </c>
      <c r="J126" s="320">
        <f t="shared" ref="J126:P126" si="21">(J127/J$120)/SUMPRODUCT($J127:$P127,(1/$J$120:$P$120))</f>
        <v>0.78918322295805732</v>
      </c>
      <c r="K126" s="306">
        <f t="shared" si="21"/>
        <v>9.1832229580573951E-2</v>
      </c>
      <c r="L126" s="306">
        <f t="shared" si="21"/>
        <v>3.7880794701986756E-2</v>
      </c>
      <c r="M126" s="306">
        <f t="shared" si="21"/>
        <v>9.7130242825607064E-3</v>
      </c>
      <c r="N126" s="306">
        <f t="shared" si="21"/>
        <v>2.7196467991169981E-2</v>
      </c>
      <c r="O126" s="306">
        <f t="shared" si="21"/>
        <v>0</v>
      </c>
      <c r="P126" s="306">
        <f t="shared" si="21"/>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c r="AM126" s="469"/>
      <c r="AN126" s="469"/>
    </row>
    <row r="127" spans="1:42" hidden="1" outlineLevel="3" x14ac:dyDescent="0.25">
      <c r="A127" s="45"/>
      <c r="B127" s="54"/>
      <c r="C127" s="87">
        <f>INT($C$81+3)</f>
        <v>4</v>
      </c>
      <c r="D127" s="73"/>
      <c r="E127" s="70"/>
      <c r="F127" s="70"/>
      <c r="G127" s="73"/>
      <c r="H127" s="76"/>
      <c r="I127" s="78" t="s">
        <v>2295</v>
      </c>
      <c r="J127" s="131">
        <v>0.85</v>
      </c>
      <c r="K127" s="131">
        <v>0.08</v>
      </c>
      <c r="L127" s="131">
        <v>0.03</v>
      </c>
      <c r="M127" s="131">
        <v>0.01</v>
      </c>
      <c r="N127" s="131">
        <v>2.8000000000000001E-2</v>
      </c>
      <c r="O127" s="131">
        <v>0</v>
      </c>
      <c r="P127" s="131">
        <v>2.8000000000000001E-2</v>
      </c>
      <c r="Q127" s="97" t="s">
        <v>2301</v>
      </c>
      <c r="R127" s="76"/>
      <c r="S127" s="76"/>
      <c r="T127" s="76"/>
      <c r="U127" s="76"/>
      <c r="V127" s="76"/>
      <c r="W127" s="76"/>
      <c r="X127" s="76"/>
      <c r="Y127" s="76"/>
      <c r="Z127" s="76"/>
      <c r="AA127" s="76"/>
      <c r="AB127" s="76"/>
      <c r="AC127" s="76"/>
      <c r="AD127" s="76"/>
      <c r="AE127" s="76"/>
      <c r="AF127" s="76"/>
      <c r="AG127" s="76"/>
      <c r="AH127" s="73"/>
      <c r="AI127" s="57"/>
      <c r="AJ127" s="45"/>
      <c r="AK127" s="45"/>
      <c r="AL127" s="45"/>
      <c r="AM127" s="469"/>
      <c r="AN127" s="469"/>
    </row>
    <row r="128" spans="1:42" hidden="1" outlineLevel="3" x14ac:dyDescent="0.25">
      <c r="A128" s="45"/>
      <c r="B128" s="54"/>
      <c r="C128" s="87">
        <f>INT($C$81+3)</f>
        <v>4</v>
      </c>
      <c r="D128" s="73"/>
      <c r="E128" s="70"/>
      <c r="F128" s="70"/>
      <c r="G128" s="73"/>
      <c r="H128" s="76"/>
      <c r="I128" s="78" t="s">
        <v>2297</v>
      </c>
      <c r="J128" s="307">
        <f>1-SUM(K128:O128)</f>
        <v>0.85199999999999998</v>
      </c>
      <c r="K128" s="308">
        <f>K127/(1-($P$127-$N$127))</f>
        <v>0.08</v>
      </c>
      <c r="L128" s="308">
        <f t="shared" ref="L128:O128" si="22">L127/(1-($P$127-$N$127))</f>
        <v>0.03</v>
      </c>
      <c r="M128" s="308">
        <f t="shared" si="22"/>
        <v>0.01</v>
      </c>
      <c r="N128" s="308">
        <f t="shared" si="22"/>
        <v>2.8000000000000001E-2</v>
      </c>
      <c r="O128" s="308">
        <f t="shared" si="22"/>
        <v>0</v>
      </c>
      <c r="P128" s="76"/>
      <c r="Q128" s="76" t="s">
        <v>2298</v>
      </c>
      <c r="R128" s="76"/>
      <c r="S128" s="76"/>
      <c r="T128" s="76"/>
      <c r="U128" s="76"/>
      <c r="V128" s="76"/>
      <c r="W128" s="76"/>
      <c r="X128" s="76"/>
      <c r="Y128" s="76"/>
      <c r="Z128" s="76"/>
      <c r="AA128" s="76"/>
      <c r="AB128" s="76"/>
      <c r="AC128" s="76"/>
      <c r="AD128" s="76"/>
      <c r="AE128" s="76"/>
      <c r="AF128" s="76"/>
      <c r="AG128" s="76"/>
      <c r="AH128" s="73"/>
      <c r="AI128" s="57"/>
      <c r="AJ128" s="45"/>
      <c r="AK128" s="45"/>
      <c r="AL128" s="45"/>
      <c r="AM128" s="469"/>
      <c r="AN128" s="469"/>
    </row>
    <row r="129" spans="1:40" hidden="1" outlineLevel="3" x14ac:dyDescent="0.25">
      <c r="A129" s="45"/>
      <c r="B129" s="54"/>
      <c r="C129" s="87">
        <f>INT($C$81+3)</f>
        <v>4</v>
      </c>
      <c r="D129" s="73"/>
      <c r="E129" s="70"/>
      <c r="F129" s="70"/>
      <c r="G129" s="73"/>
      <c r="H129" s="76"/>
      <c r="I129" s="128" t="s">
        <v>2299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c r="AM129" s="469"/>
      <c r="AN129" s="469"/>
    </row>
    <row r="130" spans="1:40"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c r="AM130" s="469"/>
      <c r="AN130" s="469"/>
    </row>
    <row r="131" spans="1:40"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c r="AM131" s="469"/>
      <c r="AN131" s="469"/>
    </row>
    <row r="132" spans="1:40"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c r="AM132" s="469"/>
      <c r="AN132" s="469"/>
    </row>
    <row r="133" spans="1:40"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c r="AM133" s="469"/>
      <c r="AN133" s="469"/>
    </row>
    <row r="134" spans="1:40" hidden="1" outlineLevel="3" x14ac:dyDescent="0.25">
      <c r="A134" s="45"/>
      <c r="B134" s="54"/>
      <c r="C134" s="87">
        <f t="shared" ref="C134:C140" si="23">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c r="AM134" s="469"/>
      <c r="AN134" s="469"/>
    </row>
    <row r="135" spans="1:40" hidden="1" outlineLevel="3" x14ac:dyDescent="0.25">
      <c r="A135" s="45"/>
      <c r="B135" s="54"/>
      <c r="C135" s="87">
        <f t="shared" si="23"/>
        <v>4</v>
      </c>
      <c r="D135" s="73"/>
      <c r="E135" s="70"/>
      <c r="F135" s="70"/>
      <c r="G135" s="73"/>
      <c r="H135" s="76" t="s">
        <v>2302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c r="AM135" s="469"/>
      <c r="AN135" s="469"/>
    </row>
    <row r="136" spans="1:40" hidden="1" outlineLevel="3" x14ac:dyDescent="0.25">
      <c r="A136" s="45"/>
      <c r="B136" s="54"/>
      <c r="C136" s="87">
        <f t="shared" si="23"/>
        <v>4</v>
      </c>
      <c r="D136" s="73"/>
      <c r="E136" s="70"/>
      <c r="F136" s="70"/>
      <c r="G136" s="73"/>
      <c r="H136" s="76" t="s">
        <v>2303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c r="AM136" s="469"/>
      <c r="AN136" s="469"/>
    </row>
    <row r="137" spans="1:40" hidden="1" outlineLevel="3" x14ac:dyDescent="0.25">
      <c r="A137" s="45"/>
      <c r="B137" s="54"/>
      <c r="C137" s="87">
        <f t="shared" si="23"/>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c r="AM137" s="469"/>
      <c r="AN137" s="469"/>
    </row>
    <row r="138" spans="1:40" hidden="1" outlineLevel="3" x14ac:dyDescent="0.25">
      <c r="A138" s="45"/>
      <c r="B138" s="54"/>
      <c r="C138" s="87">
        <f t="shared" si="23"/>
        <v>4</v>
      </c>
      <c r="D138" s="73"/>
      <c r="E138" s="70"/>
      <c r="F138" s="70"/>
      <c r="G138" s="73"/>
      <c r="H138" s="132" t="s">
        <v>2304</v>
      </c>
      <c r="I138" s="133"/>
      <c r="J138" s="133"/>
      <c r="K138" s="309">
        <f>SUM(K134:K137)</f>
        <v>0.4467741935483871</v>
      </c>
      <c r="L138" s="134"/>
      <c r="M138" s="76"/>
      <c r="N138" s="76" t="s">
        <v>2797</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c r="AM138" s="469"/>
      <c r="AN138" s="469"/>
    </row>
    <row r="139" spans="1:40" hidden="1" outlineLevel="3" x14ac:dyDescent="0.25">
      <c r="A139" s="45"/>
      <c r="B139" s="54"/>
      <c r="C139" s="87">
        <f t="shared" si="23"/>
        <v>4</v>
      </c>
      <c r="D139" s="73"/>
      <c r="E139" s="70"/>
      <c r="F139" s="70"/>
      <c r="G139" s="73"/>
      <c r="H139" s="76" t="s">
        <v>2305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c r="AM139" s="469"/>
      <c r="AN139" s="469"/>
    </row>
    <row r="140" spans="1:40" hidden="1" outlineLevel="3" x14ac:dyDescent="0.25">
      <c r="A140" s="45"/>
      <c r="B140" s="54"/>
      <c r="C140" s="87">
        <f t="shared" si="23"/>
        <v>4</v>
      </c>
      <c r="D140" s="73"/>
      <c r="E140" s="70"/>
      <c r="F140" s="70"/>
      <c r="G140" s="73"/>
      <c r="H140" s="132" t="s">
        <v>2306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c r="AM140" s="469"/>
      <c r="AN140" s="469"/>
    </row>
    <row r="141" spans="1:40"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c r="AM141" s="469"/>
      <c r="AN141" s="469"/>
    </row>
    <row r="142" spans="1:40"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c r="AM142" s="469"/>
      <c r="AN142" s="469"/>
    </row>
    <row r="143" spans="1:40"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c r="AM143" s="469"/>
      <c r="AN143" s="469"/>
    </row>
    <row r="144" spans="1:40"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c r="AM144" s="469"/>
      <c r="AN144" s="469"/>
    </row>
    <row r="145" spans="1:40"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69"/>
      <c r="AN145" s="469"/>
    </row>
    <row r="146" spans="1:40"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69"/>
      <c r="AN146" s="469"/>
    </row>
    <row r="147" spans="1:40"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c r="AM147" s="469"/>
      <c r="AN147" s="469"/>
    </row>
    <row r="148" spans="1:40"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c r="AM148" s="469"/>
      <c r="AN148" s="469"/>
    </row>
    <row r="149" spans="1:40"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c r="AM149" s="469"/>
      <c r="AN149" s="469"/>
    </row>
    <row r="150" spans="1:40"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c r="AM150" s="469"/>
      <c r="AN150" s="469"/>
    </row>
    <row r="151" spans="1:40"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c r="AM151" s="469"/>
      <c r="AN151" s="469"/>
    </row>
    <row r="152" spans="1:40"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c r="AM152" s="469"/>
      <c r="AN152" s="469"/>
    </row>
    <row r="153" spans="1:40"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c r="AM153" s="469"/>
      <c r="AN153" s="469"/>
    </row>
    <row r="154" spans="1:40"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c r="AM154" s="469"/>
      <c r="AN154" s="469"/>
    </row>
    <row r="155" spans="1:40"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c r="AM155" s="469"/>
      <c r="AN155" s="469"/>
    </row>
    <row r="156" spans="1:40"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c r="AM156" s="469"/>
      <c r="AN156" s="469"/>
    </row>
    <row r="157" spans="1:40"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c r="AM157" s="469"/>
      <c r="AN157" s="469"/>
    </row>
    <row r="158" spans="1:40"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c r="AM158" s="469"/>
      <c r="AN158" s="469"/>
    </row>
    <row r="159" spans="1:40"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c r="AM159" s="469"/>
      <c r="AN159" s="469"/>
    </row>
    <row r="160" spans="1:40"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c r="AM160" s="469"/>
      <c r="AN160" s="469"/>
    </row>
    <row r="161" spans="1:52"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c r="AM161" s="469"/>
      <c r="AN161" s="469"/>
    </row>
    <row r="162" spans="1:52"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c r="AM162" s="469"/>
      <c r="AN162" s="469"/>
    </row>
    <row r="163" spans="1:52"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M163" s="469"/>
      <c r="AN163" s="469"/>
      <c r="AP163" t="s">
        <v>2348</v>
      </c>
    </row>
    <row r="164" spans="1:52"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2666</v>
      </c>
      <c r="AG164" s="95"/>
      <c r="AH164" s="73"/>
      <c r="AI164" s="57"/>
      <c r="AJ164" s="45"/>
      <c r="AK164" s="45"/>
      <c r="AL164" s="45"/>
      <c r="AM164" s="469"/>
      <c r="AN164" s="469"/>
      <c r="AP164" t="s">
        <v>2801</v>
      </c>
    </row>
    <row r="165" spans="1:52"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2798</v>
      </c>
      <c r="S165" s="140" t="s">
        <v>2799</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M165" s="469"/>
      <c r="AN165" s="469"/>
      <c r="AP165" t="s">
        <v>298</v>
      </c>
      <c r="AQ165" t="s">
        <v>2349</v>
      </c>
      <c r="AR165" t="s">
        <v>2350</v>
      </c>
      <c r="AS165" t="s">
        <v>1252</v>
      </c>
      <c r="AT165" s="5" t="s">
        <v>2800</v>
      </c>
      <c r="AU165" s="439" t="s">
        <v>319</v>
      </c>
      <c r="AX165" t="s">
        <v>2394</v>
      </c>
    </row>
    <row r="166" spans="1:52" outlineLevel="3" x14ac:dyDescent="0.25">
      <c r="A166" s="45"/>
      <c r="B166" s="54"/>
      <c r="C166" s="87">
        <f>INT($C$150+3)</f>
        <v>4</v>
      </c>
      <c r="D166" s="73"/>
      <c r="E166" s="70">
        <v>0</v>
      </c>
      <c r="F166" s="70"/>
      <c r="G166" s="73"/>
      <c r="H166" s="142" t="s">
        <v>2909</v>
      </c>
      <c r="I166" s="143" t="b">
        <v>1</v>
      </c>
      <c r="J166" s="143" t="b">
        <v>1</v>
      </c>
      <c r="K166" s="143" t="b">
        <v>1</v>
      </c>
      <c r="L166" s="144">
        <v>0</v>
      </c>
      <c r="M166" s="144">
        <v>0</v>
      </c>
      <c r="N166" s="144">
        <v>12</v>
      </c>
      <c r="O166" s="145">
        <v>0.12</v>
      </c>
      <c r="P166" s="145">
        <v>0.12</v>
      </c>
      <c r="Q166" s="145">
        <v>0</v>
      </c>
      <c r="R166" s="405">
        <v>4.76</v>
      </c>
      <c r="S166" s="436">
        <f>R166/(1+AVERAGEIF(INDEX(i_salep_months_priceadj_s7s9p4,1+$E166*2,0),"&lt;&gt;-1"))</f>
        <v>4.386806570249119</v>
      </c>
      <c r="T166" s="321">
        <f>290/($R166*100)</f>
        <v>0.60924369747899154</v>
      </c>
      <c r="U166" s="321">
        <f>363/($R166*100)</f>
        <v>0.76260504201680668</v>
      </c>
      <c r="V166" s="146">
        <v>1</v>
      </c>
      <c r="W166" s="321">
        <f>585/($R166*100)</f>
        <v>1.2289915966386555</v>
      </c>
      <c r="X166" s="321">
        <f>712/($R166*100)</f>
        <v>1.4957983193277311</v>
      </c>
      <c r="Y166" s="148" t="s">
        <v>285</v>
      </c>
      <c r="Z166" s="144">
        <v>3</v>
      </c>
      <c r="AA166" s="149">
        <v>0.05</v>
      </c>
      <c r="AB166" s="144">
        <v>0.17</v>
      </c>
      <c r="AC166" s="144"/>
      <c r="AD166" s="149">
        <v>0.02</v>
      </c>
      <c r="AE166" s="150">
        <v>4.4999999999999997E-3</v>
      </c>
      <c r="AF166" s="146">
        <f t="shared" ref="AF166:AG173" si="24">SUMIFS($Z166:$AE166,$Z$165:$AE$165,AF$165)</f>
        <v>3.17</v>
      </c>
      <c r="AG166" s="151">
        <f t="shared" si="24"/>
        <v>7.4500000000000011E-2</v>
      </c>
      <c r="AH166" s="73"/>
      <c r="AI166" s="57"/>
      <c r="AJ166" s="45"/>
      <c r="AK166" s="45"/>
      <c r="AL166" s="45"/>
      <c r="AM166" s="469"/>
      <c r="AN166" s="469"/>
      <c r="AP166" s="334" t="str">
        <f>$H166</f>
        <v>Lamb grid (0)</v>
      </c>
      <c r="AQ166" s="335">
        <v>80</v>
      </c>
      <c r="AR166" s="325">
        <f>IFERROR(MIN(COUNT(i_salep_percentile_range_s4)-1,MATCH($AQ166,i_salep_percentile_range_s4,1)),1)-1</f>
        <v>3</v>
      </c>
      <c r="AS166" s="326">
        <f ca="1">_xlfn.FORECAST.LINEAR($AQ$166,OFFSET($T166:$X166,0,$AR$166,1,2),OFFSET(i_salep_percentile_range_s4,0,$AR$166,1,2))</f>
        <v>1.3623949579831933</v>
      </c>
      <c r="AT166" s="336">
        <f t="shared" ref="AT166:AT173" ca="1" si="25">$S166*$AS166</f>
        <v>5.9765631529549452</v>
      </c>
      <c r="AU166" s="336">
        <f t="shared" ref="AU166:AU173" ca="1" si="26">AT166*(1+INDEX(i_salep_months_priceadj_s7s9p4,1+$E166*2,MATCH(AU$165,$J$250:$U$250,0)))</f>
        <v>5.9765631529549452</v>
      </c>
    </row>
    <row r="167" spans="1:52" outlineLevel="3" x14ac:dyDescent="0.25">
      <c r="A167" s="45"/>
      <c r="B167" s="54"/>
      <c r="C167" s="87">
        <f t="shared" ref="C167:C174" si="27">INT($C$150)+3</f>
        <v>4</v>
      </c>
      <c r="D167" s="73"/>
      <c r="E167" s="70">
        <v>1</v>
      </c>
      <c r="F167" s="70"/>
      <c r="G167" s="73"/>
      <c r="H167" s="76" t="s">
        <v>2910</v>
      </c>
      <c r="I167" s="97" t="b">
        <v>1</v>
      </c>
      <c r="J167" s="97" t="b">
        <v>1</v>
      </c>
      <c r="K167" s="97" t="b">
        <v>1</v>
      </c>
      <c r="L167" s="99">
        <v>0</v>
      </c>
      <c r="M167" s="99">
        <v>0</v>
      </c>
      <c r="N167" s="152">
        <v>12</v>
      </c>
      <c r="O167" s="153">
        <v>0.12</v>
      </c>
      <c r="P167" s="153">
        <v>0.12</v>
      </c>
      <c r="Q167" s="153">
        <v>0</v>
      </c>
      <c r="R167" s="408">
        <v>0</v>
      </c>
      <c r="S167" s="129">
        <f>R167/(1+AVERAGEIF(INDEX(i_salep_months_priceadj_s7s9p4,1+$E167*2,0),"&lt;&gt;-1"))</f>
        <v>0</v>
      </c>
      <c r="T167" s="199">
        <v>0.59757236227824462</v>
      </c>
      <c r="U167" s="199">
        <v>0.78197945845004668</v>
      </c>
      <c r="V167" s="96">
        <v>1</v>
      </c>
      <c r="W167" s="199">
        <v>1.3025210084033614</v>
      </c>
      <c r="X167" s="199">
        <v>1.6339869281045754</v>
      </c>
      <c r="Y167" s="154" t="s">
        <v>285</v>
      </c>
      <c r="Z167" s="155">
        <v>3</v>
      </c>
      <c r="AA167" s="156">
        <v>0.05</v>
      </c>
      <c r="AB167" s="155">
        <v>0.17</v>
      </c>
      <c r="AC167" s="155"/>
      <c r="AD167" s="156">
        <v>0.02</v>
      </c>
      <c r="AE167" s="157">
        <v>4.4999999999999997E-3</v>
      </c>
      <c r="AF167" s="158">
        <f t="shared" si="24"/>
        <v>3.17</v>
      </c>
      <c r="AG167" s="159">
        <f t="shared" si="24"/>
        <v>7.4500000000000011E-2</v>
      </c>
      <c r="AH167" s="73"/>
      <c r="AI167" s="57"/>
      <c r="AJ167" s="45"/>
      <c r="AK167" s="45"/>
      <c r="AL167" s="45"/>
      <c r="AM167" s="469"/>
      <c r="AN167" s="469"/>
      <c r="AP167" s="337" t="str">
        <f t="shared" ref="AP167:AP173" si="28">$H167</f>
        <v>empty grid (1)</v>
      </c>
      <c r="AS167" s="328">
        <f ca="1">_xlfn.FORECAST.LINEAR($AQ$166,OFFSET($T167:$X167,0,$AR$166,1,2),OFFSET(i_salep_percentile_range_s4,0,$AR$166,1,2))</f>
        <v>1.4682539682539684</v>
      </c>
      <c r="AT167" s="338">
        <f t="shared" ca="1" si="25"/>
        <v>0</v>
      </c>
      <c r="AU167" s="338">
        <f t="shared" ca="1" si="26"/>
        <v>0</v>
      </c>
    </row>
    <row r="168" spans="1:52" outlineLevel="3" x14ac:dyDescent="0.25">
      <c r="A168" s="45"/>
      <c r="B168" s="54"/>
      <c r="C168" s="87">
        <f t="shared" si="27"/>
        <v>4</v>
      </c>
      <c r="D168" s="73"/>
      <c r="E168" s="70">
        <v>2</v>
      </c>
      <c r="F168" s="70"/>
      <c r="G168" s="73"/>
      <c r="H168" s="76" t="s">
        <v>2911</v>
      </c>
      <c r="I168" s="97" t="b">
        <v>1</v>
      </c>
      <c r="J168" s="97" t="b">
        <v>1</v>
      </c>
      <c r="K168" s="97" t="b">
        <v>1</v>
      </c>
      <c r="L168" s="99">
        <v>0</v>
      </c>
      <c r="M168" s="99">
        <v>0</v>
      </c>
      <c r="N168" s="99">
        <v>12</v>
      </c>
      <c r="O168" s="153">
        <v>0.12</v>
      </c>
      <c r="P168" s="153">
        <v>0.12</v>
      </c>
      <c r="Q168" s="153">
        <v>0</v>
      </c>
      <c r="R168" s="408">
        <v>0</v>
      </c>
      <c r="S168" s="129">
        <f>R168/(1+AVERAGEIF(INDEX(i_salep_months_priceadj_s7s9p4,1+$E168*2,0),"&lt;&gt;-1"))</f>
        <v>0</v>
      </c>
      <c r="T168" s="199">
        <v>0.55504587155963292</v>
      </c>
      <c r="U168" s="199">
        <v>0.72706422018348615</v>
      </c>
      <c r="V168" s="96">
        <v>1</v>
      </c>
      <c r="W168" s="199">
        <v>1.1972477064220182</v>
      </c>
      <c r="X168" s="199">
        <v>1.4587155963302751</v>
      </c>
      <c r="Y168" s="154" t="s">
        <v>285</v>
      </c>
      <c r="Z168" s="155">
        <v>3</v>
      </c>
      <c r="AA168" s="156">
        <v>0.05</v>
      </c>
      <c r="AB168" s="155">
        <v>0.17</v>
      </c>
      <c r="AC168" s="155"/>
      <c r="AD168" s="156">
        <v>0.02</v>
      </c>
      <c r="AE168" s="157">
        <v>4.4999999999999997E-3</v>
      </c>
      <c r="AF168" s="158">
        <f t="shared" si="24"/>
        <v>3.17</v>
      </c>
      <c r="AG168" s="159">
        <f t="shared" si="24"/>
        <v>7.4500000000000011E-2</v>
      </c>
      <c r="AH168" s="73"/>
      <c r="AI168" s="57"/>
      <c r="AJ168" s="45"/>
      <c r="AK168" s="45"/>
      <c r="AL168" s="45"/>
      <c r="AM168" s="469"/>
      <c r="AN168" s="469"/>
      <c r="AP168" s="337" t="str">
        <f t="shared" si="28"/>
        <v>empty grid (2)</v>
      </c>
      <c r="AS168" s="328">
        <f ca="1">_xlfn.FORECAST.LINEAR($AQ$166,OFFSET($T168:$X168,0,$AR$166,1,2),OFFSET(i_salep_percentile_range_s4,0,$AR$166,1,2))</f>
        <v>1.3279816513761467</v>
      </c>
      <c r="AT168" s="338">
        <f ca="1">$S168*$AS168</f>
        <v>0</v>
      </c>
      <c r="AU168" s="338">
        <f t="shared" ca="1" si="26"/>
        <v>0</v>
      </c>
    </row>
    <row r="169" spans="1:52" outlineLevel="3" x14ac:dyDescent="0.25">
      <c r="A169" s="45"/>
      <c r="B169" s="54"/>
      <c r="C169" s="87">
        <f t="shared" si="27"/>
        <v>4</v>
      </c>
      <c r="D169" s="73"/>
      <c r="E169" s="70">
        <v>3</v>
      </c>
      <c r="F169" s="70"/>
      <c r="G169" s="73"/>
      <c r="H169" s="76" t="s">
        <v>287</v>
      </c>
      <c r="I169" s="97" t="b">
        <v>0</v>
      </c>
      <c r="J169" s="97" t="b">
        <v>1</v>
      </c>
      <c r="K169" s="97" t="b">
        <v>1</v>
      </c>
      <c r="L169" s="99">
        <v>0</v>
      </c>
      <c r="M169" s="99">
        <v>0</v>
      </c>
      <c r="N169" s="99" t="s">
        <v>286</v>
      </c>
      <c r="O169" s="153">
        <v>0.12</v>
      </c>
      <c r="P169" s="153">
        <v>0.12</v>
      </c>
      <c r="Q169" s="153">
        <v>-0.01</v>
      </c>
      <c r="R169" s="408">
        <v>2.81</v>
      </c>
      <c r="S169" s="129">
        <f>R169/(1+AVERAGEIF(INDEX(i_salep_months_priceadj_s7s9p4,1+$E169*2,0),"&lt;&gt;-1"))</f>
        <v>2.4241552839683682</v>
      </c>
      <c r="T169" s="350">
        <f>T172</f>
        <v>0.41637010676156583</v>
      </c>
      <c r="U169" s="350">
        <f>U172</f>
        <v>0.63345195729537362</v>
      </c>
      <c r="V169" s="96">
        <v>1</v>
      </c>
      <c r="W169" s="350">
        <f>W172</f>
        <v>1.3629893238434163</v>
      </c>
      <c r="X169" s="350">
        <f>X172</f>
        <v>1.7971530249110321</v>
      </c>
      <c r="Y169" s="154" t="s">
        <v>285</v>
      </c>
      <c r="Z169" s="155">
        <v>3</v>
      </c>
      <c r="AA169" s="156">
        <v>0.05</v>
      </c>
      <c r="AB169" s="155">
        <v>0.17</v>
      </c>
      <c r="AC169" s="155">
        <v>0.2</v>
      </c>
      <c r="AD169" s="155"/>
      <c r="AE169" s="157">
        <v>4.4999999999999997E-3</v>
      </c>
      <c r="AF169" s="158">
        <f t="shared" si="24"/>
        <v>3.37</v>
      </c>
      <c r="AG169" s="159">
        <f t="shared" si="24"/>
        <v>5.45E-2</v>
      </c>
      <c r="AH169" s="73"/>
      <c r="AI169" s="57"/>
      <c r="AJ169" s="45"/>
      <c r="AK169" s="45"/>
      <c r="AL169" s="45"/>
      <c r="AM169" s="469"/>
      <c r="AN169" s="469"/>
      <c r="AP169" s="337" t="str">
        <f t="shared" si="28"/>
        <v>Yearling grid (3)</v>
      </c>
      <c r="AS169" s="328">
        <f ca="1">_xlfn.FORECAST.LINEAR($AQ$166,OFFSET($T169:$X169,0,$AR$166,1,2),OFFSET(i_salep_percentile_range_s4,0,$AR$166,1,2))</f>
        <v>1.5800711743772242</v>
      </c>
      <c r="AT169" s="338">
        <f t="shared" ca="1" si="25"/>
        <v>3.8303378864126532</v>
      </c>
      <c r="AU169" s="338">
        <f t="shared" ca="1" si="26"/>
        <v>3.8303378864126532</v>
      </c>
      <c r="AX169" s="338">
        <f ca="1">50*0.44*AT169</f>
        <v>84.267433501078372</v>
      </c>
      <c r="AY169" t="s">
        <v>2395</v>
      </c>
    </row>
    <row r="170" spans="1:52" outlineLevel="3" x14ac:dyDescent="0.25">
      <c r="A170" s="45"/>
      <c r="B170" s="54"/>
      <c r="C170" s="87">
        <f t="shared" si="27"/>
        <v>4</v>
      </c>
      <c r="D170" s="73"/>
      <c r="E170" s="70">
        <v>4</v>
      </c>
      <c r="F170" s="70"/>
      <c r="G170" s="73"/>
      <c r="H170" s="76" t="s">
        <v>288</v>
      </c>
      <c r="I170" s="97" t="b">
        <v>0</v>
      </c>
      <c r="J170" s="97" t="b">
        <v>0</v>
      </c>
      <c r="K170" s="97" t="b">
        <v>1</v>
      </c>
      <c r="L170" s="99">
        <v>1</v>
      </c>
      <c r="M170" s="99">
        <v>2</v>
      </c>
      <c r="N170" s="99" t="s">
        <v>286</v>
      </c>
      <c r="O170" s="153">
        <v>0.12</v>
      </c>
      <c r="P170" s="153">
        <v>0.12</v>
      </c>
      <c r="Q170" s="153">
        <v>-0.02</v>
      </c>
      <c r="R170" s="408">
        <v>90</v>
      </c>
      <c r="S170" s="129">
        <f>R170/(1+AVERAGEIF(INDEX(i_salep_months_priceadj_s7s9p4,1+$E170*2,0),"&lt;&gt;-1"))</f>
        <v>84.551412300874446</v>
      </c>
      <c r="T170" s="350">
        <f>AVERAGE(T$166:T$168,T$172)</f>
        <v>0.54455800951960875</v>
      </c>
      <c r="U170" s="350">
        <f>AVERAGE(U$166:U$168,U$172)</f>
        <v>0.72627516948642823</v>
      </c>
      <c r="V170" s="96">
        <v>1</v>
      </c>
      <c r="W170" s="350">
        <f>AVERAGE(W$166:W$168,W$172)</f>
        <v>1.2729374088268628</v>
      </c>
      <c r="X170" s="350">
        <f>AVERAGE(X$166:X$168,X$172)</f>
        <v>1.5964134671684034</v>
      </c>
      <c r="Y170" s="154" t="s">
        <v>289</v>
      </c>
      <c r="Z170" s="155">
        <v>5</v>
      </c>
      <c r="AA170" s="156">
        <v>0.05</v>
      </c>
      <c r="AB170" s="155">
        <v>0.17</v>
      </c>
      <c r="AC170" s="155">
        <v>0.2</v>
      </c>
      <c r="AD170" s="155"/>
      <c r="AE170" s="157">
        <v>4.4999999999999997E-3</v>
      </c>
      <c r="AF170" s="158">
        <f t="shared" si="24"/>
        <v>5.37</v>
      </c>
      <c r="AG170" s="159">
        <f t="shared" si="24"/>
        <v>5.45E-2</v>
      </c>
      <c r="AH170" s="73"/>
      <c r="AI170" s="57"/>
      <c r="AJ170" s="45"/>
      <c r="AK170" s="45"/>
      <c r="AL170" s="45"/>
      <c r="AM170" s="469"/>
      <c r="AN170" s="469"/>
      <c r="AP170" s="337" t="str">
        <f t="shared" si="28"/>
        <v>Export wether grid (4)</v>
      </c>
      <c r="AS170" s="328">
        <f ca="1">_xlfn.FORECAST.LINEAR($AQ$166,OFFSET($T170:$X170,0,$AR$166,1,2),OFFSET(i_salep_percentile_range_s4,0,$AR$166,1,2))</f>
        <v>1.4346754379976332</v>
      </c>
      <c r="AT170" s="338">
        <f t="shared" ca="1" si="25"/>
        <v>121.30383447607552</v>
      </c>
      <c r="AU170" s="338">
        <f t="shared" ca="1" si="26"/>
        <v>121.30383447607552</v>
      </c>
    </row>
    <row r="171" spans="1:52" outlineLevel="3" x14ac:dyDescent="0.25">
      <c r="A171" s="45"/>
      <c r="B171" s="54"/>
      <c r="C171" s="87">
        <f t="shared" si="27"/>
        <v>4</v>
      </c>
      <c r="D171" s="73"/>
      <c r="E171" s="70">
        <v>5</v>
      </c>
      <c r="F171" s="70"/>
      <c r="G171" s="73"/>
      <c r="H171" s="76" t="s">
        <v>290</v>
      </c>
      <c r="I171" s="97" t="b">
        <v>0</v>
      </c>
      <c r="J171" s="97" t="b">
        <v>1</v>
      </c>
      <c r="K171" s="97" t="b">
        <v>0</v>
      </c>
      <c r="L171" s="99">
        <v>1</v>
      </c>
      <c r="M171" s="99">
        <v>2</v>
      </c>
      <c r="N171" s="99">
        <v>19</v>
      </c>
      <c r="O171" s="153">
        <v>0.12</v>
      </c>
      <c r="P171" s="153">
        <v>0.12</v>
      </c>
      <c r="Q171" s="153">
        <v>-0.02</v>
      </c>
      <c r="R171" s="408"/>
      <c r="S171" s="408">
        <f>MROUND(1.33*26.5*S$172,5)</f>
        <v>90</v>
      </c>
      <c r="T171" s="350">
        <f>AVERAGE(T$166:T$168,T$172)</f>
        <v>0.54455800951960875</v>
      </c>
      <c r="U171" s="350">
        <f>AVERAGE(U$166:U$168,U$172)</f>
        <v>0.72627516948642823</v>
      </c>
      <c r="V171" s="96">
        <v>1</v>
      </c>
      <c r="W171" s="350">
        <f>AVERAGE(W$166:W$168,W$172)</f>
        <v>1.2729374088268628</v>
      </c>
      <c r="X171" s="350">
        <f>AVERAGE(X$166:X$168,X$172)</f>
        <v>1.5964134671684034</v>
      </c>
      <c r="Y171" s="154" t="s">
        <v>291</v>
      </c>
      <c r="Z171" s="155">
        <v>3</v>
      </c>
      <c r="AA171" s="156">
        <v>0.05</v>
      </c>
      <c r="AB171" s="155">
        <f>0.17+0.79</f>
        <v>0.96000000000000008</v>
      </c>
      <c r="AC171" s="155">
        <v>0.2</v>
      </c>
      <c r="AD171" s="155"/>
      <c r="AE171" s="157">
        <v>4.4999999999999997E-3</v>
      </c>
      <c r="AF171" s="158">
        <f t="shared" si="24"/>
        <v>4.16</v>
      </c>
      <c r="AG171" s="159">
        <f t="shared" si="24"/>
        <v>5.45E-2</v>
      </c>
      <c r="AH171" s="73"/>
      <c r="AI171" s="57"/>
      <c r="AJ171" s="45"/>
      <c r="AK171" s="45"/>
      <c r="AL171" s="45"/>
      <c r="AM171" s="469"/>
      <c r="AN171" s="469"/>
      <c r="AP171" s="337" t="str">
        <f t="shared" si="28"/>
        <v>Breeder grid (5)</v>
      </c>
      <c r="AS171" s="328">
        <f ca="1">_xlfn.FORECAST.LINEAR($AQ$166,OFFSET($T171:$X171,0,$AR$166,1,2),OFFSET(i_salep_percentile_range_s4,0,$AR$166,1,2))</f>
        <v>1.4346754379976332</v>
      </c>
      <c r="AT171" s="338">
        <f t="shared" ca="1" si="25"/>
        <v>129.120789419787</v>
      </c>
      <c r="AU171" s="338">
        <f t="shared" ca="1" si="26"/>
        <v>129.120789419787</v>
      </c>
      <c r="AX171" s="338">
        <f ca="1">AT171*(1+AVERAGE($J$262:$U$262))*($M$221/$N$221)</f>
        <v>108.7113743179497</v>
      </c>
      <c r="AY171" t="s">
        <v>2396</v>
      </c>
    </row>
    <row r="172" spans="1:52" outlineLevel="3" x14ac:dyDescent="0.25">
      <c r="A172" s="45"/>
      <c r="B172" s="54"/>
      <c r="C172" s="87">
        <f t="shared" si="27"/>
        <v>4</v>
      </c>
      <c r="D172" s="73"/>
      <c r="E172" s="70">
        <v>6</v>
      </c>
      <c r="F172" s="70"/>
      <c r="G172" s="73"/>
      <c r="H172" s="109" t="s">
        <v>292</v>
      </c>
      <c r="I172" s="160" t="b">
        <v>0</v>
      </c>
      <c r="J172" s="160" t="b">
        <v>1</v>
      </c>
      <c r="K172" s="160" t="b">
        <v>1</v>
      </c>
      <c r="L172" s="161">
        <v>0</v>
      </c>
      <c r="M172" s="161">
        <v>0</v>
      </c>
      <c r="N172" s="161" t="s">
        <v>286</v>
      </c>
      <c r="O172" s="153">
        <v>0.12</v>
      </c>
      <c r="P172" s="153">
        <v>0.12</v>
      </c>
      <c r="Q172" s="153">
        <v>-0.02</v>
      </c>
      <c r="R172" s="408">
        <v>2.81</v>
      </c>
      <c r="S172" s="437">
        <f>R172/(1+AVERAGEIF(INDEX(i_salep_months_priceadj_s7s9p4,1+$E172*2,0),"&lt;&gt;-1"))</f>
        <v>2.5819053721669749</v>
      </c>
      <c r="T172" s="322">
        <f>117/($R172*100)</f>
        <v>0.41637010676156583</v>
      </c>
      <c r="U172" s="322">
        <f>178/($R172*100)</f>
        <v>0.63345195729537362</v>
      </c>
      <c r="V172" s="139">
        <v>1</v>
      </c>
      <c r="W172" s="322">
        <f>383/($R172*100)</f>
        <v>1.3629893238434163</v>
      </c>
      <c r="X172" s="322">
        <f>505/($R172*100)</f>
        <v>1.7971530249110321</v>
      </c>
      <c r="Y172" s="163" t="s">
        <v>291</v>
      </c>
      <c r="Z172" s="164">
        <v>3</v>
      </c>
      <c r="AA172" s="165">
        <v>0.05</v>
      </c>
      <c r="AB172" s="164">
        <f t="shared" ref="AB172:AB173" si="29">0.17+0.79</f>
        <v>0.96000000000000008</v>
      </c>
      <c r="AC172" s="164">
        <v>0.2</v>
      </c>
      <c r="AD172" s="164"/>
      <c r="AE172" s="166">
        <v>4.4999999999999997E-3</v>
      </c>
      <c r="AF172" s="167">
        <f t="shared" si="24"/>
        <v>4.16</v>
      </c>
      <c r="AG172" s="168">
        <f t="shared" si="24"/>
        <v>5.45E-2</v>
      </c>
      <c r="AH172" s="73"/>
      <c r="AI172" s="57"/>
      <c r="AJ172" s="45"/>
      <c r="AK172" s="45"/>
      <c r="AL172" s="45"/>
      <c r="AM172" s="469"/>
      <c r="AN172" s="469"/>
      <c r="AP172" s="337" t="str">
        <f t="shared" si="28"/>
        <v>Mutton grid (6)</v>
      </c>
      <c r="AS172" s="328">
        <f ca="1">_xlfn.FORECAST.LINEAR($AQ$166,OFFSET($T172:$X172,0,$AR$166,1,2),OFFSET(i_salep_percentile_range_s4,0,$AR$166,1,2))</f>
        <v>1.5800711743772242</v>
      </c>
      <c r="AT172" s="338">
        <f t="shared" ca="1" si="25"/>
        <v>4.0795942535307361</v>
      </c>
      <c r="AU172" s="338">
        <f t="shared" ca="1" si="26"/>
        <v>4.0795942535307361</v>
      </c>
      <c r="AX172" s="338">
        <f ca="1">AY172*0.42*AU172</f>
        <v>85.671479324145452</v>
      </c>
      <c r="AY172">
        <v>50</v>
      </c>
      <c r="AZ172" t="s">
        <v>2907</v>
      </c>
    </row>
    <row r="173" spans="1:52" outlineLevel="3" x14ac:dyDescent="0.25">
      <c r="A173" s="45"/>
      <c r="B173" s="54"/>
      <c r="C173" s="87">
        <f t="shared" si="27"/>
        <v>4</v>
      </c>
      <c r="D173" s="73"/>
      <c r="E173" s="70">
        <v>7</v>
      </c>
      <c r="F173" s="70"/>
      <c r="G173" s="73"/>
      <c r="H173" s="169" t="s">
        <v>293</v>
      </c>
      <c r="I173" s="170" t="b">
        <v>1</v>
      </c>
      <c r="J173" s="170" t="b">
        <v>0</v>
      </c>
      <c r="K173" s="170" t="b">
        <v>0</v>
      </c>
      <c r="L173" s="171">
        <v>0</v>
      </c>
      <c r="M173" s="171">
        <v>0</v>
      </c>
      <c r="N173" s="171" t="s">
        <v>286</v>
      </c>
      <c r="O173" s="172">
        <v>0.12</v>
      </c>
      <c r="P173" s="172">
        <v>0.12</v>
      </c>
      <c r="Q173" s="172">
        <v>-0.02</v>
      </c>
      <c r="R173" s="411">
        <v>1.5</v>
      </c>
      <c r="S173" s="438">
        <f>R173/(1+AVERAGEIF(INDEX(i_salep_months_priceadj_s7s9p4,1+$E173*2,0),"&lt;&gt;-1"))</f>
        <v>1.5</v>
      </c>
      <c r="T173" s="402">
        <f>AVERAGE(T$166:T$168,T$172)</f>
        <v>0.54455800951960875</v>
      </c>
      <c r="U173" s="402">
        <f>AVERAGE(U$166:U$168,U$172)</f>
        <v>0.72627516948642823</v>
      </c>
      <c r="V173" s="173">
        <v>1</v>
      </c>
      <c r="W173" s="402">
        <f>AVERAGE(W$166:W$168,W$172)</f>
        <v>1.2729374088268628</v>
      </c>
      <c r="X173" s="402">
        <f>AVERAGE(X$166:X$168,X$172)</f>
        <v>1.5964134671684034</v>
      </c>
      <c r="Y173" s="174" t="s">
        <v>291</v>
      </c>
      <c r="Z173" s="171">
        <v>3</v>
      </c>
      <c r="AA173" s="175">
        <v>0.05</v>
      </c>
      <c r="AB173" s="171">
        <f t="shared" si="29"/>
        <v>0.96000000000000008</v>
      </c>
      <c r="AC173" s="171">
        <v>0.2</v>
      </c>
      <c r="AD173" s="171"/>
      <c r="AE173" s="176">
        <v>4.4999999999999997E-3</v>
      </c>
      <c r="AF173" s="173">
        <f t="shared" si="24"/>
        <v>4.16</v>
      </c>
      <c r="AG173" s="177">
        <f t="shared" si="24"/>
        <v>5.45E-2</v>
      </c>
      <c r="AH173" s="73"/>
      <c r="AI173" s="57"/>
      <c r="AJ173" s="45"/>
      <c r="AK173" s="45"/>
      <c r="AL173" s="45"/>
      <c r="AM173" s="469"/>
      <c r="AN173" s="469"/>
      <c r="AP173" s="339" t="str">
        <f t="shared" si="28"/>
        <v>Ram grid (7)</v>
      </c>
      <c r="AQ173" s="331"/>
      <c r="AR173" s="331"/>
      <c r="AS173" s="332">
        <f ca="1">_xlfn.FORECAST.LINEAR($AQ$166,OFFSET($T173:$X173,0,$AR$166,1,2),OFFSET(i_salep_percentile_range_s4,0,$AR$166,1,2))</f>
        <v>1.4346754379976332</v>
      </c>
      <c r="AT173" s="340">
        <f t="shared" ca="1" si="25"/>
        <v>2.1520131569964498</v>
      </c>
      <c r="AU173" s="340">
        <f t="shared" ca="1" si="26"/>
        <v>2.1520131569964498</v>
      </c>
    </row>
    <row r="174" spans="1:52" outlineLevel="3" x14ac:dyDescent="0.25">
      <c r="A174" s="45"/>
      <c r="B174" s="54"/>
      <c r="C174" s="87">
        <f t="shared" si="27"/>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c r="AM174" s="469"/>
      <c r="AN174" s="469"/>
    </row>
    <row r="175" spans="1:52"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c r="AM175" s="469"/>
      <c r="AN175" s="469"/>
      <c r="AQ175" t="s">
        <v>280</v>
      </c>
      <c r="AR175" s="466">
        <v>3</v>
      </c>
    </row>
    <row r="176" spans="1:52"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c r="AM176" s="469"/>
      <c r="AN176" s="469"/>
    </row>
    <row r="177" spans="1:50"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c r="AM177" s="469"/>
      <c r="AN177" s="469" t="s">
        <v>2912</v>
      </c>
      <c r="AQ177" s="467" t="str" cm="1">
        <f t="array" ref="AQ177:AX177">TRANSPOSE(AP166:AP173)</f>
        <v>Lamb grid (0)</v>
      </c>
      <c r="AR177" s="467" t="str">
        <v>empty grid (1)</v>
      </c>
      <c r="AS177" s="467" t="str">
        <v>empty grid (2)</v>
      </c>
      <c r="AT177" s="467" t="str">
        <v>Yearling grid (3)</v>
      </c>
      <c r="AU177" s="467" t="str">
        <v>Export wether grid (4)</v>
      </c>
      <c r="AV177" s="468" t="str">
        <v>Breeder grid (5)</v>
      </c>
      <c r="AW177" s="468" t="str">
        <v>Mutton grid (6)</v>
      </c>
      <c r="AX177" s="468" t="str">
        <v>Ram grid (7)</v>
      </c>
    </row>
    <row r="178" spans="1:50"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2667</v>
      </c>
      <c r="R178" s="109"/>
      <c r="S178" s="109"/>
      <c r="T178" s="109"/>
      <c r="U178" s="109"/>
      <c r="V178" s="76"/>
      <c r="W178" s="76"/>
      <c r="X178" s="109"/>
      <c r="Y178" s="109"/>
      <c r="Z178" s="109"/>
      <c r="AA178" s="109"/>
      <c r="AB178" s="109"/>
      <c r="AC178" s="76"/>
      <c r="AD178" s="76"/>
      <c r="AE178" s="76"/>
      <c r="AF178" s="76"/>
      <c r="AG178" s="76"/>
      <c r="AH178" s="73"/>
      <c r="AI178" s="57"/>
      <c r="AJ178" s="45"/>
      <c r="AK178" s="45"/>
      <c r="AL178" s="45"/>
      <c r="AM178" s="469"/>
      <c r="AN178" s="469"/>
      <c r="AQ178" s="465">
        <v>0.44</v>
      </c>
      <c r="AR178" s="465">
        <v>0.42</v>
      </c>
      <c r="AS178" s="465">
        <v>0.42</v>
      </c>
      <c r="AT178" s="465">
        <v>0.42</v>
      </c>
      <c r="AU178" s="465">
        <v>1</v>
      </c>
      <c r="AV178" s="465">
        <v>1</v>
      </c>
      <c r="AW178" s="465">
        <v>0.42</v>
      </c>
      <c r="AX178" s="465">
        <v>0.42</v>
      </c>
    </row>
    <row r="179" spans="1:50"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2314</v>
      </c>
      <c r="R179" s="76"/>
      <c r="S179" s="76"/>
      <c r="T179" s="76"/>
      <c r="U179" s="76"/>
      <c r="V179" s="76"/>
      <c r="W179" s="76"/>
      <c r="X179" s="76"/>
      <c r="Y179" s="76"/>
      <c r="Z179" s="76"/>
      <c r="AA179" s="109"/>
      <c r="AB179" s="109"/>
      <c r="AC179" s="76"/>
      <c r="AD179" s="76"/>
      <c r="AE179" s="76"/>
      <c r="AF179" s="76"/>
      <c r="AG179" s="76"/>
      <c r="AH179" s="73"/>
      <c r="AI179" s="57"/>
      <c r="AJ179" s="45"/>
      <c r="AK179" s="45"/>
      <c r="AL179" s="45"/>
      <c r="AM179" s="469"/>
      <c r="AN179" s="469"/>
      <c r="AP179" s="180">
        <v>25</v>
      </c>
      <c r="AQ179" s="472" cm="1">
        <f t="array" aca="1" ref="AQ179" ca="1">AQ193*AQ206*INDEX($AU$166:$AU$173,AQ$190,1)*$AP179*AQ$178</f>
        <v>46.551834538128126</v>
      </c>
      <c r="AR179" s="472" cm="1">
        <f t="array" aca="1" ref="AR179" ca="1">AR193*AR206*INDEX($AU$166:$AU$173,AR$190,1)*$AP179*AR$178</f>
        <v>0</v>
      </c>
      <c r="AS179" s="472" cm="1">
        <f t="array" aca="1" ref="AS179" ca="1">AS193*AS206*INDEX($AU$166:$AU$173,AS$190,1)*$AP179*AS$178</f>
        <v>0</v>
      </c>
      <c r="AT179" s="472" cm="1">
        <f t="array" aca="1" ref="AT179" ca="1">AT193*AT206*INDEX($AU$166:$AU$173,AT$190,1)*$AP179*AT$178</f>
        <v>23.203008350384337</v>
      </c>
      <c r="AU179" s="472" cm="1">
        <f t="array" aca="1" ref="AU179" ca="1">AU193*AU206*INDEX($AU$166:$AU$173,AU$190,1)</f>
        <v>26.479179420097694</v>
      </c>
      <c r="AV179" s="472" cm="1">
        <f t="array" aca="1" ref="AV179" ca="1">AV193*AV206*INDEX($AU$166:$AU$173,AV$190,1)</f>
        <v>120.790415908833</v>
      </c>
      <c r="AW179" s="472" cm="1">
        <f t="array" aca="1" ref="AW179" ca="1">AW193*AW206*INDEX($AU$166:$AU$173,AW$190,1)*$AP179*AW$178</f>
        <v>24.71292672811888</v>
      </c>
      <c r="AX179" s="472" cm="1">
        <f t="array" aca="1" ref="AX179" ca="1">AX193*AX206*INDEX($AU$166:$AU$173,AX$190,1)*$AP179*AX$178</f>
        <v>11.298069074231364</v>
      </c>
    </row>
    <row r="180" spans="1:50"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73"/>
      <c r="AI180" s="57"/>
      <c r="AJ180" s="45"/>
      <c r="AK180" s="45"/>
      <c r="AL180" s="45"/>
      <c r="AM180" s="469"/>
      <c r="AN180" s="469"/>
      <c r="AP180" s="180">
        <v>35</v>
      </c>
      <c r="AQ180" s="472" cm="1">
        <f t="array" aca="1" ref="AQ180" ca="1">AQ194*AQ207*INDEX($AU$166:$AU$173,AQ$190,1)*$AP180*AQ$178</f>
        <v>65.172568353379376</v>
      </c>
      <c r="AR180" s="472" cm="1">
        <f t="array" aca="1" ref="AR180" ca="1">AR194*AR207*INDEX($AU$166:$AU$173,AR$190,1)*$AP180*AR$178</f>
        <v>0</v>
      </c>
      <c r="AS180" s="472" cm="1">
        <f t="array" aca="1" ref="AS180" ca="1">AS194*AS207*INDEX($AU$166:$AU$173,AS$190,1)*$AP180*AS$178</f>
        <v>0</v>
      </c>
      <c r="AT180" s="472" cm="1">
        <f t="array" aca="1" ref="AT180" ca="1">AT194*AT207*INDEX($AU$166:$AU$173,AT$190,1)*$AP180*AT$178</f>
        <v>47.643510479455841</v>
      </c>
      <c r="AU180" s="472" cm="1">
        <f t="array" aca="1" ref="AU180" ca="1">AU194*AU207*INDEX($AU$166:$AU$173,AU$190,1)</f>
        <v>84.912684133252867</v>
      </c>
      <c r="AV180" s="472" cm="1">
        <f t="array" aca="1" ref="AV180" ca="1">AV194*AV207*INDEX($AU$166:$AU$173,AV$190,1)</f>
        <v>120.790415908833</v>
      </c>
      <c r="AW180" s="472" cm="1">
        <f t="array" aca="1" ref="AW180" ca="1">AW194*AW207*INDEX($AU$166:$AU$173,AW$190,1)*$AP180*AW$178</f>
        <v>50.74387621507077</v>
      </c>
      <c r="AX180" s="472" cm="1">
        <f t="array" aca="1" ref="AX180" ca="1">AX194*AX207*INDEX($AU$166:$AU$173,AX$190,1)*$AP180*AX$178</f>
        <v>15.817296703923908</v>
      </c>
    </row>
    <row r="181" spans="1:50" outlineLevel="2" x14ac:dyDescent="0.25">
      <c r="A181" s="45"/>
      <c r="B181" s="54"/>
      <c r="C181" s="87">
        <f>INT($C$150)+2</f>
        <v>3</v>
      </c>
      <c r="D181" s="73"/>
      <c r="E181" s="70">
        <v>0</v>
      </c>
      <c r="F181" s="70">
        <f>E181</f>
        <v>0</v>
      </c>
      <c r="G181" s="73"/>
      <c r="H181" s="96" t="str">
        <f>INDEX($H$166:$H$173,$E181+1,1)</f>
        <v>Lamb grid (0)</v>
      </c>
      <c r="I181" s="180">
        <v>10</v>
      </c>
      <c r="J181" s="473">
        <v>3.6</v>
      </c>
      <c r="K181" s="474">
        <v>5</v>
      </c>
      <c r="L181" s="474">
        <v>5</v>
      </c>
      <c r="M181" s="474">
        <v>5</v>
      </c>
      <c r="N181" s="475">
        <v>3.6</v>
      </c>
      <c r="O181" s="476">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71"/>
      <c r="AF181" s="471"/>
      <c r="AG181" s="76"/>
      <c r="AH181" s="73"/>
      <c r="AI181" s="57"/>
      <c r="AJ181" s="45"/>
      <c r="AK181" s="45"/>
      <c r="AL181" s="45"/>
      <c r="AM181" s="469"/>
      <c r="AN181" s="469"/>
      <c r="AP181" s="180">
        <v>40</v>
      </c>
      <c r="AQ181" s="472" cm="1">
        <f t="array" aca="1" ref="AQ181" ca="1">AQ195*AQ208*INDEX($AU$166:$AU$173,AQ$190,1)*$AP181*AQ$178</f>
        <v>94.668760342806337</v>
      </c>
      <c r="AR181" s="472" cm="1">
        <f t="array" aca="1" ref="AR181" ca="1">AR195*AR208*INDEX($AU$166:$AU$173,AR$190,1)*$AP181*AR$178</f>
        <v>0</v>
      </c>
      <c r="AS181" s="472" cm="1">
        <f t="array" aca="1" ref="AS181" ca="1">AS195*AS208*INDEX($AU$166:$AU$173,AS$190,1)*$AP181*AS$178</f>
        <v>0</v>
      </c>
      <c r="AT181" s="472" cm="1">
        <f t="array" aca="1" ref="AT181" ca="1">AT195*AT208*INDEX($AU$166:$AU$173,AT$190,1)*$AP181*AT$178</f>
        <v>54.449726262235252</v>
      </c>
      <c r="AU181" s="472" cm="1">
        <f t="array" aca="1" ref="AU181" ca="1">AU195*AU208*INDEX($AU$166:$AU$173,AU$190,1)</f>
        <v>92.999606431657895</v>
      </c>
      <c r="AV181" s="472" cm="1">
        <f t="array" aca="1" ref="AV181" ca="1">AV195*AV208*INDEX($AU$166:$AU$173,AV$190,1)</f>
        <v>120.790415908833</v>
      </c>
      <c r="AW181" s="472" cm="1">
        <f t="array" aca="1" ref="AW181" ca="1">AW195*AW208*INDEX($AU$166:$AU$173,AW$190,1)*$AP181*AW$178</f>
        <v>57.993001388652303</v>
      </c>
      <c r="AX181" s="472" cm="1">
        <f t="array" aca="1" ref="AX181" ca="1">AX195*AX208*INDEX($AU$166:$AU$173,AX$190,1)*$AP181*AX$178</f>
        <v>18.076910518770177</v>
      </c>
    </row>
    <row r="182" spans="1:50" outlineLevel="3" x14ac:dyDescent="0.25">
      <c r="A182" s="45"/>
      <c r="B182" s="54"/>
      <c r="C182" s="87">
        <f t="shared" ref="C182:C188" si="30">INT($C$150)+3</f>
        <v>4</v>
      </c>
      <c r="D182" s="73"/>
      <c r="E182" s="70">
        <f>E181</f>
        <v>0</v>
      </c>
      <c r="F182" s="70">
        <f>F181</f>
        <v>0</v>
      </c>
      <c r="G182" s="73"/>
      <c r="H182" s="183" t="str">
        <f>INDEX($M$158:$M$160,INDEX(i_salep_price_type_s7,$F182+1,1)+1,1)&amp;INDEX($L$158:$L$160,INDEX(ia_s8_s7,$F182+1,1)+1,1)</f>
        <v>$/kg DW, DW - Fat score</v>
      </c>
      <c r="I182" s="180">
        <v>16.100000000000001</v>
      </c>
      <c r="J182" s="477">
        <v>4.4000000000000004</v>
      </c>
      <c r="K182" s="478">
        <v>5.6</v>
      </c>
      <c r="L182" s="478">
        <v>5.6</v>
      </c>
      <c r="M182" s="478">
        <v>5.6</v>
      </c>
      <c r="N182" s="479">
        <v>3.6</v>
      </c>
      <c r="O182" s="476">
        <v>0</v>
      </c>
      <c r="P182" s="181"/>
      <c r="Q182" s="407">
        <f>Q183*0.9</f>
        <v>0.86159999999999992</v>
      </c>
      <c r="R182" s="408">
        <f t="shared" ref="R182:U182" si="31">R183*0.9</f>
        <v>0.9</v>
      </c>
      <c r="S182" s="408">
        <f t="shared" si="31"/>
        <v>0.9</v>
      </c>
      <c r="T182" s="408">
        <f t="shared" si="31"/>
        <v>0.9</v>
      </c>
      <c r="U182" s="409">
        <f t="shared" si="31"/>
        <v>0.85620437956204376</v>
      </c>
      <c r="V182" s="182">
        <v>0</v>
      </c>
      <c r="W182" s="181"/>
      <c r="X182" s="407">
        <v>0.8040891961755271</v>
      </c>
      <c r="Y182" s="408">
        <v>1</v>
      </c>
      <c r="Z182" s="408">
        <v>1</v>
      </c>
      <c r="AA182" s="408">
        <v>1</v>
      </c>
      <c r="AB182" s="409">
        <v>0.76100470273132148</v>
      </c>
      <c r="AC182" s="182">
        <v>0</v>
      </c>
      <c r="AD182" s="76"/>
      <c r="AE182" s="471"/>
      <c r="AF182" s="471"/>
      <c r="AG182" s="76"/>
      <c r="AH182" s="73"/>
      <c r="AI182" s="57"/>
      <c r="AJ182" s="45"/>
      <c r="AK182" s="45"/>
      <c r="AL182" s="45"/>
      <c r="AM182" s="469"/>
      <c r="AN182" s="469"/>
      <c r="AP182" s="180">
        <v>45</v>
      </c>
      <c r="AQ182" s="472" cm="1">
        <f t="array" aca="1" ref="AQ182" ca="1">AQ196*AQ209*INDEX($AU$166:$AU$173,AQ$190,1)*$AP182*AQ$178</f>
        <v>118.3359504285079</v>
      </c>
      <c r="AR182" s="472" cm="1">
        <f t="array" aca="1" ref="AR182" ca="1">AR196*AR209*INDEX($AU$166:$AU$173,AR$190,1)*$AP182*AR$178</f>
        <v>0</v>
      </c>
      <c r="AS182" s="472" cm="1">
        <f t="array" aca="1" ref="AS182" ca="1">AS196*AS209*INDEX($AU$166:$AU$173,AS$190,1)*$AP182*AS$178</f>
        <v>0</v>
      </c>
      <c r="AT182" s="472" cm="1">
        <f t="array" aca="1" ref="AT182" ca="1">AT196*AT209*INDEX($AU$166:$AU$173,AT$190,1)*$AP182*AT$178</f>
        <v>72.393386053199137</v>
      </c>
      <c r="AU182" s="472" cm="1">
        <f t="array" aca="1" ref="AU182" ca="1">AU196*AU209*INDEX($AU$166:$AU$173,AU$190,1)</f>
        <v>100.07566344276233</v>
      </c>
      <c r="AV182" s="472" cm="1">
        <f t="array" aca="1" ref="AV182" ca="1">AV196*AV209*INDEX($AU$166:$AU$173,AV$190,1)</f>
        <v>120.790415908833</v>
      </c>
      <c r="AW182" s="472" cm="1">
        <f t="array" aca="1" ref="AW182" ca="1">AW196*AW209*INDEX($AU$166:$AU$173,AW$190,1)*$AP182*AW$178</f>
        <v>77.104331391730909</v>
      </c>
      <c r="AX182" s="472" cm="1">
        <f t="array" aca="1" ref="AX182" ca="1">AX196*AX209*INDEX($AU$166:$AU$173,AX$190,1)*$AP182*AX$178</f>
        <v>20.336524333616449</v>
      </c>
    </row>
    <row r="183" spans="1:50" outlineLevel="3" x14ac:dyDescent="0.25">
      <c r="A183" s="45"/>
      <c r="B183" s="54"/>
      <c r="C183" s="87">
        <f t="shared" si="30"/>
        <v>4</v>
      </c>
      <c r="D183" s="73"/>
      <c r="E183" s="70">
        <f t="shared" ref="E183:F188" si="32">E182</f>
        <v>0</v>
      </c>
      <c r="F183" s="70">
        <f t="shared" si="32"/>
        <v>0</v>
      </c>
      <c r="G183" s="73"/>
      <c r="H183" s="97" t="s">
        <v>2668</v>
      </c>
      <c r="I183" s="180">
        <v>18.100000000000001</v>
      </c>
      <c r="J183" s="477">
        <v>4.8</v>
      </c>
      <c r="K183" s="478">
        <v>6.8</v>
      </c>
      <c r="L183" s="478">
        <v>6.8</v>
      </c>
      <c r="M183" s="478">
        <v>6.8</v>
      </c>
      <c r="N183" s="479">
        <v>3.6</v>
      </c>
      <c r="O183" s="476">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71"/>
      <c r="AF183" s="471"/>
      <c r="AG183" s="76"/>
      <c r="AH183" s="73"/>
      <c r="AI183" s="57"/>
      <c r="AJ183" s="45"/>
      <c r="AK183" s="45"/>
      <c r="AL183" s="45"/>
      <c r="AM183" s="469"/>
      <c r="AN183" s="469"/>
      <c r="AP183" s="180">
        <v>50</v>
      </c>
      <c r="AQ183" s="472" cm="1">
        <f t="array" aca="1" ref="AQ183" ca="1">AQ197*AQ210*INDEX($AU$166:$AU$173,AQ$190,1)*$AP183*AQ$178</f>
        <v>131.48438936500881</v>
      </c>
      <c r="AR183" s="472" cm="1">
        <f t="array" aca="1" ref="AR183" ca="1">AR197*AR210*INDEX($AU$166:$AU$173,AR$190,1)*$AP183*AR$178</f>
        <v>0</v>
      </c>
      <c r="AS183" s="472" cm="1">
        <f t="array" aca="1" ref="AS183" ca="1">AS197*AS210*INDEX($AU$166:$AU$173,AS$190,1)*$AP183*AS$178</f>
        <v>0</v>
      </c>
      <c r="AT183" s="472" cm="1">
        <f t="array" aca="1" ref="AT183" ca="1">AT197*AT210*INDEX($AU$166:$AU$173,AT$190,1)*$AP183*AT$178</f>
        <v>80.437095614665708</v>
      </c>
      <c r="AU183" s="472" cm="1">
        <f t="array" aca="1" ref="AU183" ca="1">AU197*AU210*INDEX($AU$166:$AU$173,AU$190,1)</f>
        <v>106.14085516656608</v>
      </c>
      <c r="AV183" s="472" cm="1">
        <f t="array" aca="1" ref="AV183" ca="1">AV197*AV210*INDEX($AU$166:$AU$173,AV$190,1)</f>
        <v>120.790415908833</v>
      </c>
      <c r="AW183" s="472" cm="1">
        <f t="array" aca="1" ref="AW183" ca="1">AW197*AW210*INDEX($AU$166:$AU$173,AW$190,1)*$AP183*AW$178</f>
        <v>85.671479324145452</v>
      </c>
      <c r="AX183" s="472" cm="1">
        <f t="array" aca="1" ref="AX183" ca="1">AX197*AX210*INDEX($AU$166:$AU$173,AX$190,1)*$AP183*AX$178</f>
        <v>22.596138148462721</v>
      </c>
    </row>
    <row r="184" spans="1:50" outlineLevel="3" x14ac:dyDescent="0.25">
      <c r="A184" s="45"/>
      <c r="B184" s="54"/>
      <c r="C184" s="87">
        <f t="shared" si="30"/>
        <v>4</v>
      </c>
      <c r="D184" s="73"/>
      <c r="E184" s="70">
        <f t="shared" si="32"/>
        <v>0</v>
      </c>
      <c r="F184" s="70">
        <f t="shared" si="32"/>
        <v>0</v>
      </c>
      <c r="G184" s="73"/>
      <c r="H184" s="97" t="s">
        <v>302</v>
      </c>
      <c r="I184" s="180">
        <v>28.1</v>
      </c>
      <c r="J184" s="477">
        <v>4.3</v>
      </c>
      <c r="K184" s="478">
        <v>5.3</v>
      </c>
      <c r="L184" s="478">
        <v>5.3</v>
      </c>
      <c r="M184" s="478">
        <v>5.3</v>
      </c>
      <c r="N184" s="479">
        <v>3.6</v>
      </c>
      <c r="O184" s="476">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71"/>
      <c r="AF184" s="471"/>
      <c r="AG184" s="76"/>
      <c r="AH184" s="73"/>
      <c r="AI184" s="57"/>
      <c r="AJ184" s="45"/>
      <c r="AK184" s="45"/>
      <c r="AL184" s="45"/>
      <c r="AM184" s="469"/>
      <c r="AN184" s="469"/>
      <c r="AP184" s="180">
        <v>55</v>
      </c>
      <c r="AQ184" s="472" cm="1">
        <f t="array" aca="1" ref="AQ184" ca="1">AQ198*AQ211*INDEX($AU$166:$AU$173,AQ$190,1)*$AP184*AQ$178</f>
        <v>144.63282830150968</v>
      </c>
      <c r="AR184" s="472" cm="1">
        <f t="array" aca="1" ref="AR184" ca="1">AR198*AR211*INDEX($AU$166:$AU$173,AR$190,1)*$AP184*AR$178</f>
        <v>0</v>
      </c>
      <c r="AS184" s="472" cm="1">
        <f t="array" aca="1" ref="AS184" ca="1">AS198*AS211*INDEX($AU$166:$AU$173,AS$190,1)*$AP184*AS$178</f>
        <v>0</v>
      </c>
      <c r="AT184" s="472" cm="1">
        <f t="array" aca="1" ref="AT184" ca="1">AT198*AT211*INDEX($AU$166:$AU$173,AT$190,1)*$AP184*AT$178</f>
        <v>88.480805176132279</v>
      </c>
      <c r="AU184" s="472" cm="1">
        <f t="array" aca="1" ref="AU184" ca="1">AU198*AU211*INDEX($AU$166:$AU$173,AU$190,1)</f>
        <v>111.19518160306923</v>
      </c>
      <c r="AV184" s="472" cm="1">
        <f t="array" aca="1" ref="AV184" ca="1">AV198*AV211*INDEX($AU$166:$AU$173,AV$190,1)</f>
        <v>120.790415908833</v>
      </c>
      <c r="AW184" s="472" cm="1">
        <f t="array" aca="1" ref="AW184" ca="1">AW198*AW211*INDEX($AU$166:$AU$173,AW$190,1)*$AP184*AW$178</f>
        <v>94.238627256560008</v>
      </c>
      <c r="AX184" s="472" cm="1">
        <f t="array" aca="1" ref="AX184" ca="1">AX198*AX211*INDEX($AU$166:$AU$173,AX$190,1)*$AP184*AX$178</f>
        <v>24.855751963308997</v>
      </c>
    </row>
    <row r="185" spans="1:50" outlineLevel="3" x14ac:dyDescent="0.25">
      <c r="A185" s="45"/>
      <c r="B185" s="54"/>
      <c r="C185" s="87">
        <f t="shared" si="30"/>
        <v>4</v>
      </c>
      <c r="D185" s="73"/>
      <c r="E185" s="70">
        <f t="shared" si="32"/>
        <v>0</v>
      </c>
      <c r="F185" s="70">
        <f t="shared" si="32"/>
        <v>0</v>
      </c>
      <c r="G185" s="73"/>
      <c r="H185" s="76"/>
      <c r="I185" s="180">
        <v>31.1</v>
      </c>
      <c r="J185" s="477">
        <v>4</v>
      </c>
      <c r="K185" s="478">
        <v>5</v>
      </c>
      <c r="L185" s="478">
        <v>5</v>
      </c>
      <c r="M185" s="478">
        <v>5</v>
      </c>
      <c r="N185" s="479">
        <v>3.6</v>
      </c>
      <c r="O185" s="476">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71"/>
      <c r="AF185" s="471"/>
      <c r="AG185" s="76"/>
      <c r="AH185" s="73"/>
      <c r="AI185" s="57"/>
      <c r="AJ185" s="45"/>
      <c r="AK185" s="45"/>
      <c r="AL185" s="45"/>
      <c r="AM185" s="469"/>
      <c r="AN185" s="469"/>
      <c r="AP185" s="180">
        <v>60</v>
      </c>
      <c r="AQ185" s="472" cm="1">
        <f t="array" aca="1" ref="AQ185" ca="1">AQ199*AQ212*INDEX($AU$166:$AU$173,AQ$190,1)*$AP185*AQ$178</f>
        <v>157.78126723801054</v>
      </c>
      <c r="AR185" s="472" cm="1">
        <f t="array" aca="1" ref="AR185" ca="1">AR199*AR212*INDEX($AU$166:$AU$173,AR$190,1)*$AP185*AR$178</f>
        <v>0</v>
      </c>
      <c r="AS185" s="472" cm="1">
        <f t="array" aca="1" ref="AS185" ca="1">AS199*AS212*INDEX($AU$166:$AU$173,AS$190,1)*$AP185*AS$178</f>
        <v>0</v>
      </c>
      <c r="AT185" s="472" cm="1">
        <f t="array" aca="1" ref="AT185" ca="1">AT199*AT212*INDEX($AU$166:$AU$173,AT$190,1)*$AP185*AT$178</f>
        <v>96.524514737598864</v>
      </c>
      <c r="AU185" s="472" cm="1">
        <f t="array" aca="1" ref="AU185" ca="1">AU199*AU212*INDEX($AU$166:$AU$173,AU$190,1)</f>
        <v>121.30383447607552</v>
      </c>
      <c r="AV185" s="472" cm="1">
        <f t="array" aca="1" ref="AV185" ca="1">AV199*AV212*INDEX($AU$166:$AU$173,AV$190,1)</f>
        <v>120.790415908833</v>
      </c>
      <c r="AW185" s="472" cm="1">
        <f t="array" aca="1" ref="AW185" ca="1">AW199*AW212*INDEX($AU$166:$AU$173,AW$190,1)*$AP185*AW$178</f>
        <v>102.80577518897455</v>
      </c>
      <c r="AX185" s="472" cm="1">
        <f t="array" aca="1" ref="AX185" ca="1">AX199*AX212*INDEX($AU$166:$AU$173,AX$190,1)*$AP185*AX$178</f>
        <v>27.115365778155269</v>
      </c>
    </row>
    <row r="186" spans="1:50" outlineLevel="3" x14ac:dyDescent="0.25">
      <c r="A186" s="45"/>
      <c r="B186" s="54"/>
      <c r="C186" s="87">
        <f t="shared" si="30"/>
        <v>4</v>
      </c>
      <c r="D186" s="73"/>
      <c r="E186" s="70">
        <f t="shared" si="32"/>
        <v>0</v>
      </c>
      <c r="F186" s="70">
        <f t="shared" si="32"/>
        <v>0</v>
      </c>
      <c r="G186" s="73"/>
      <c r="H186" s="76"/>
      <c r="I186" s="180">
        <f t="shared" ref="I186:N187" si="33">I185</f>
        <v>31.1</v>
      </c>
      <c r="J186" s="477">
        <f t="shared" si="33"/>
        <v>4</v>
      </c>
      <c r="K186" s="478">
        <f t="shared" si="33"/>
        <v>5</v>
      </c>
      <c r="L186" s="478">
        <f t="shared" si="33"/>
        <v>5</v>
      </c>
      <c r="M186" s="478">
        <f t="shared" si="33"/>
        <v>5</v>
      </c>
      <c r="N186" s="479">
        <f t="shared" si="33"/>
        <v>3.6</v>
      </c>
      <c r="O186" s="476">
        <v>0</v>
      </c>
      <c r="P186" s="181"/>
      <c r="Q186" s="407">
        <f>Q185</f>
        <v>0.87644444444444447</v>
      </c>
      <c r="R186" s="408">
        <f t="shared" ref="R186:R187" si="34">R185</f>
        <v>0.75088954500719218</v>
      </c>
      <c r="S186" s="408">
        <f t="shared" ref="S186:S187" si="35">S185</f>
        <v>0.75088954500719218</v>
      </c>
      <c r="T186" s="408">
        <f t="shared" ref="T186:T187" si="36">T185</f>
        <v>0.75088954500719218</v>
      </c>
      <c r="U186" s="409">
        <f t="shared" ref="U186:U187" si="37">U185</f>
        <v>0.94890510948905105</v>
      </c>
      <c r="V186" s="182">
        <v>0</v>
      </c>
      <c r="W186" s="181"/>
      <c r="X186" s="407">
        <f>X185</f>
        <v>0.8666666666666667</v>
      </c>
      <c r="Y186" s="408">
        <f t="shared" ref="Y186:Y187" si="38">Y185</f>
        <v>1</v>
      </c>
      <c r="Z186" s="408">
        <f t="shared" ref="Z186:Z187" si="39">Z185</f>
        <v>1</v>
      </c>
      <c r="AA186" s="408">
        <f t="shared" ref="AA186:AA187" si="40">AA185</f>
        <v>1</v>
      </c>
      <c r="AB186" s="409">
        <f t="shared" ref="AB186:AB187" si="41">AB185</f>
        <v>0.84952380952380946</v>
      </c>
      <c r="AC186" s="182">
        <v>0</v>
      </c>
      <c r="AD186" s="76"/>
      <c r="AE186" s="471"/>
      <c r="AF186" s="471"/>
      <c r="AG186" s="76"/>
      <c r="AH186" s="73"/>
      <c r="AI186" s="57"/>
      <c r="AJ186" s="45"/>
      <c r="AK186" s="45"/>
      <c r="AL186" s="45"/>
      <c r="AM186" s="469"/>
      <c r="AN186" s="469"/>
      <c r="AP186" s="180">
        <v>65</v>
      </c>
      <c r="AQ186" s="472" cm="1">
        <f t="array" aca="1" ref="AQ186" ca="1">AQ200*AQ213*INDEX($AU$166:$AU$173,AQ$190,1)*$AP186*AQ$178</f>
        <v>149.72075467382018</v>
      </c>
      <c r="AR186" s="472" cm="1">
        <f t="array" aca="1" ref="AR186" ca="1">AR200*AR213*INDEX($AU$166:$AU$173,AR$190,1)*$AP186*AR$178</f>
        <v>0</v>
      </c>
      <c r="AS186" s="472" cm="1">
        <f t="array" aca="1" ref="AS186" ca="1">AS200*AS213*INDEX($AU$166:$AU$173,AS$190,1)*$AP186*AS$178</f>
        <v>0</v>
      </c>
      <c r="AT186" s="472" cm="1">
        <f t="array" aca="1" ref="AT186" ca="1">AT200*AT213*INDEX($AU$166:$AU$173,AT$190,1)*$AP186*AT$178</f>
        <v>104.56822429906542</v>
      </c>
      <c r="AU186" s="472" cm="1">
        <f t="array" aca="1" ref="AU186" ca="1">AU200*AU213*INDEX($AU$166:$AU$173,AU$190,1)</f>
        <v>121.30383447607552</v>
      </c>
      <c r="AV186" s="472" cm="1">
        <f t="array" aca="1" ref="AV186" ca="1">AV200*AV213*INDEX($AU$166:$AU$173,AV$190,1)</f>
        <v>120.790415908833</v>
      </c>
      <c r="AW186" s="472" cm="1">
        <f t="array" aca="1" ref="AW186" ca="1">AW200*AW213*INDEX($AU$166:$AU$173,AW$190,1)*$AP186*AW$178</f>
        <v>111.37292312138909</v>
      </c>
      <c r="AX186" s="472" cm="1">
        <f t="array" aca="1" ref="AX186" ca="1">AX200*AX213*INDEX($AU$166:$AU$173,AX$190,1)*$AP186*AX$178</f>
        <v>29.374979593001537</v>
      </c>
    </row>
    <row r="187" spans="1:50" outlineLevel="3" x14ac:dyDescent="0.25">
      <c r="A187" s="45"/>
      <c r="B187" s="54"/>
      <c r="C187" s="87">
        <f t="shared" si="30"/>
        <v>4</v>
      </c>
      <c r="D187" s="73"/>
      <c r="E187" s="70">
        <f t="shared" si="32"/>
        <v>0</v>
      </c>
      <c r="F187" s="70">
        <f t="shared" si="32"/>
        <v>0</v>
      </c>
      <c r="G187" s="73"/>
      <c r="H187" s="76"/>
      <c r="I187" s="180">
        <f t="shared" si="33"/>
        <v>31.1</v>
      </c>
      <c r="J187" s="480">
        <f t="shared" si="33"/>
        <v>4</v>
      </c>
      <c r="K187" s="481">
        <f t="shared" si="33"/>
        <v>5</v>
      </c>
      <c r="L187" s="481">
        <f t="shared" si="33"/>
        <v>5</v>
      </c>
      <c r="M187" s="481">
        <f t="shared" si="33"/>
        <v>5</v>
      </c>
      <c r="N187" s="482">
        <f t="shared" si="33"/>
        <v>3.6</v>
      </c>
      <c r="O187" s="476">
        <v>0</v>
      </c>
      <c r="P187" s="181"/>
      <c r="Q187" s="410">
        <f t="shared" ref="Q187" si="42">Q186</f>
        <v>0.87644444444444447</v>
      </c>
      <c r="R187" s="411">
        <f t="shared" si="34"/>
        <v>0.75088954500719218</v>
      </c>
      <c r="S187" s="411">
        <f t="shared" si="35"/>
        <v>0.75088954500719218</v>
      </c>
      <c r="T187" s="411">
        <f t="shared" si="36"/>
        <v>0.75088954500719218</v>
      </c>
      <c r="U187" s="412">
        <f t="shared" si="37"/>
        <v>0.94890510948905105</v>
      </c>
      <c r="V187" s="182">
        <v>0</v>
      </c>
      <c r="W187" s="181"/>
      <c r="X187" s="410">
        <f t="shared" ref="X187" si="43">X186</f>
        <v>0.8666666666666667</v>
      </c>
      <c r="Y187" s="411">
        <f t="shared" si="38"/>
        <v>1</v>
      </c>
      <c r="Z187" s="411">
        <f t="shared" si="39"/>
        <v>1</v>
      </c>
      <c r="AA187" s="411">
        <f t="shared" si="40"/>
        <v>1</v>
      </c>
      <c r="AB187" s="412">
        <f t="shared" si="41"/>
        <v>0.84952380952380946</v>
      </c>
      <c r="AC187" s="182">
        <v>0</v>
      </c>
      <c r="AD187" s="76"/>
      <c r="AE187" s="471"/>
      <c r="AF187" s="471"/>
      <c r="AG187" s="76"/>
      <c r="AH187" s="73"/>
      <c r="AI187" s="57"/>
      <c r="AJ187" s="45"/>
      <c r="AK187" s="45"/>
      <c r="AL187" s="45"/>
      <c r="AM187" s="469"/>
      <c r="AN187" s="469"/>
      <c r="AP187" s="180">
        <v>70</v>
      </c>
      <c r="AQ187" s="472" cm="1">
        <f t="array" aca="1" ref="AQ187" ca="1">AQ201*AQ214*INDEX($AU$166:$AU$173,AQ$190,1)*$AP187*AQ$178</f>
        <v>161.2377358025756</v>
      </c>
      <c r="AR187" s="472" cm="1">
        <f t="array" aca="1" ref="AR187" ca="1">AR201*AR214*INDEX($AU$166:$AU$173,AR$190,1)*$AP187*AR$178</f>
        <v>0</v>
      </c>
      <c r="AS187" s="472" cm="1">
        <f t="array" aca="1" ref="AS187" ca="1">AS201*AS214*INDEX($AU$166:$AU$173,AS$190,1)*$AP187*AS$178</f>
        <v>0</v>
      </c>
      <c r="AT187" s="472" cm="1">
        <f t="array" aca="1" ref="AT187" ca="1">AT201*AT214*INDEX($AU$166:$AU$173,AT$190,1)*$AP187*AT$178</f>
        <v>112.61193386053201</v>
      </c>
      <c r="AU187" s="472" cm="1">
        <f t="array" aca="1" ref="AU187" ca="1">AU201*AU214*INDEX($AU$166:$AU$173,AU$190,1)</f>
        <v>121.30383447607552</v>
      </c>
      <c r="AV187" s="472" cm="1">
        <f t="array" aca="1" ref="AV187" ca="1">AV201*AV214*INDEX($AU$166:$AU$173,AV$190,1)</f>
        <v>120.790415908833</v>
      </c>
      <c r="AW187" s="472" cm="1">
        <f t="array" aca="1" ref="AW187" ca="1">AW201*AW214*INDEX($AU$166:$AU$173,AW$190,1)*$AP187*AW$178</f>
        <v>119.94007105380365</v>
      </c>
      <c r="AX187" s="472" cm="1">
        <f t="array" aca="1" ref="AX187" ca="1">AX201*AX214*INDEX($AU$166:$AU$173,AX$190,1)*$AP187*AX$178</f>
        <v>31.634593407847813</v>
      </c>
    </row>
    <row r="188" spans="1:50" outlineLevel="3" x14ac:dyDescent="0.25">
      <c r="A188" s="45"/>
      <c r="B188" s="54"/>
      <c r="C188" s="87">
        <f t="shared" si="30"/>
        <v>4</v>
      </c>
      <c r="D188" s="73"/>
      <c r="E188" s="70">
        <f t="shared" si="32"/>
        <v>0</v>
      </c>
      <c r="F188" s="70">
        <f t="shared" si="32"/>
        <v>0</v>
      </c>
      <c r="G188" s="73"/>
      <c r="H188" s="76"/>
      <c r="I188" s="96">
        <v>1000</v>
      </c>
      <c r="J188" s="483">
        <v>0</v>
      </c>
      <c r="K188" s="483">
        <v>0</v>
      </c>
      <c r="L188" s="483">
        <v>0</v>
      </c>
      <c r="M188" s="483">
        <v>0</v>
      </c>
      <c r="N188" s="483">
        <v>0</v>
      </c>
      <c r="O188" s="484">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3"/>
      <c r="AI188" s="57"/>
      <c r="AJ188" s="45"/>
      <c r="AK188" s="45"/>
      <c r="AL188" s="45"/>
      <c r="AM188" s="469"/>
      <c r="AN188" s="469"/>
    </row>
    <row r="189" spans="1:50" outlineLevel="2" x14ac:dyDescent="0.25">
      <c r="A189" s="45"/>
      <c r="B189" s="54"/>
      <c r="C189" s="87">
        <f>INT($C$150)+2</f>
        <v>3</v>
      </c>
      <c r="D189" s="73"/>
      <c r="E189" s="70">
        <v>1</v>
      </c>
      <c r="F189" s="70">
        <f>E189</f>
        <v>1</v>
      </c>
      <c r="G189" s="73"/>
      <c r="H189" s="96" t="str">
        <f>INDEX($H$166:$H$173,$E189+1,1)</f>
        <v>empty grid (1)</v>
      </c>
      <c r="I189" s="180">
        <v>10</v>
      </c>
      <c r="J189" s="473">
        <v>1</v>
      </c>
      <c r="K189" s="474">
        <v>2</v>
      </c>
      <c r="L189" s="474">
        <v>2</v>
      </c>
      <c r="M189" s="474">
        <v>2</v>
      </c>
      <c r="N189" s="475">
        <v>1</v>
      </c>
      <c r="O189" s="476">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3"/>
      <c r="AI189" s="57"/>
      <c r="AJ189" s="45"/>
      <c r="AK189" s="45"/>
      <c r="AL189" s="45"/>
      <c r="AM189" s="469"/>
      <c r="AN189" s="469"/>
    </row>
    <row r="190" spans="1:50" outlineLevel="3" x14ac:dyDescent="0.25">
      <c r="A190" s="45"/>
      <c r="B190" s="54"/>
      <c r="C190" s="87">
        <f t="shared" ref="C190:C196" si="44">INT($C$150)+3</f>
        <v>4</v>
      </c>
      <c r="D190" s="73"/>
      <c r="E190" s="70"/>
      <c r="F190" s="70">
        <f t="shared" ref="F190:F244" si="45">F189</f>
        <v>1</v>
      </c>
      <c r="G190" s="73"/>
      <c r="H190" s="183" t="str">
        <f>INDEX($M$158:$M$160,INDEX(i_salep_price_type_s7,$F190+1,1)+1,1)&amp;INDEX($L$158:$L$160,INDEX(ia_s8_s7,$F190+1,1)+1,1)</f>
        <v>$/kg DW, DW - Fat score</v>
      </c>
      <c r="I190" s="180">
        <v>16.100000000000001</v>
      </c>
      <c r="J190" s="477">
        <v>3</v>
      </c>
      <c r="K190" s="478">
        <v>5.5</v>
      </c>
      <c r="L190" s="478">
        <v>5.5</v>
      </c>
      <c r="M190" s="478">
        <v>5.5</v>
      </c>
      <c r="N190" s="479">
        <v>3</v>
      </c>
      <c r="O190" s="476">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3"/>
      <c r="AI190" s="57"/>
      <c r="AJ190" s="45"/>
      <c r="AK190" s="45"/>
      <c r="AL190" s="45"/>
      <c r="AM190" s="469"/>
      <c r="AN190" s="469"/>
      <c r="AQ190">
        <v>1</v>
      </c>
      <c r="AR190">
        <v>2</v>
      </c>
      <c r="AS190">
        <v>3</v>
      </c>
      <c r="AT190">
        <v>4</v>
      </c>
      <c r="AU190">
        <v>5</v>
      </c>
      <c r="AV190">
        <v>6</v>
      </c>
      <c r="AW190">
        <v>7</v>
      </c>
      <c r="AX190">
        <v>8</v>
      </c>
    </row>
    <row r="191" spans="1:50" outlineLevel="3" x14ac:dyDescent="0.25">
      <c r="A191" s="45"/>
      <c r="B191" s="54"/>
      <c r="C191" s="87">
        <f t="shared" si="44"/>
        <v>4</v>
      </c>
      <c r="D191" s="73"/>
      <c r="E191" s="70"/>
      <c r="F191" s="70">
        <f t="shared" si="45"/>
        <v>1</v>
      </c>
      <c r="G191" s="73"/>
      <c r="H191" s="97" t="s">
        <v>2669</v>
      </c>
      <c r="I191" s="180">
        <v>18.100000000000001</v>
      </c>
      <c r="J191" s="477">
        <v>5</v>
      </c>
      <c r="K191" s="478">
        <v>6</v>
      </c>
      <c r="L191" s="478">
        <v>6</v>
      </c>
      <c r="M191" s="478">
        <v>6</v>
      </c>
      <c r="N191" s="479">
        <v>5</v>
      </c>
      <c r="O191" s="476">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3"/>
      <c r="AI191" s="57"/>
      <c r="AJ191" s="45"/>
      <c r="AK191" s="45"/>
      <c r="AL191" s="45"/>
      <c r="AM191" s="469"/>
      <c r="AN191" s="469" t="s">
        <v>2908</v>
      </c>
      <c r="AQ191" s="467" t="str" cm="1">
        <f t="array" ref="AQ191:AX191">TRANSPOSE(AP166:AP173)</f>
        <v>Lamb grid (0)</v>
      </c>
      <c r="AR191" s="467" t="str">
        <v>empty grid (1)</v>
      </c>
      <c r="AS191" s="467" t="str">
        <v>empty grid (2)</v>
      </c>
      <c r="AT191" s="467" t="str">
        <v>Yearling grid (3)</v>
      </c>
      <c r="AU191" s="467" t="str">
        <v>Export wether grid (4)</v>
      </c>
      <c r="AV191" s="468" t="str">
        <v>Breeder grid (5)</v>
      </c>
      <c r="AW191" s="468" t="str">
        <v>Mutton grid (6)</v>
      </c>
      <c r="AX191" s="468" t="str">
        <v>Ram grid (7)</v>
      </c>
    </row>
    <row r="192" spans="1:50" outlineLevel="3" x14ac:dyDescent="0.25">
      <c r="A192" s="45"/>
      <c r="B192" s="54"/>
      <c r="C192" s="87">
        <f t="shared" si="44"/>
        <v>4</v>
      </c>
      <c r="D192" s="73"/>
      <c r="E192" s="70"/>
      <c r="F192" s="70">
        <f t="shared" si="45"/>
        <v>1</v>
      </c>
      <c r="G192" s="73"/>
      <c r="H192" s="76"/>
      <c r="I192" s="180">
        <v>28.1</v>
      </c>
      <c r="J192" s="477">
        <v>5.2</v>
      </c>
      <c r="K192" s="478">
        <v>6.8</v>
      </c>
      <c r="L192" s="478">
        <v>6.8</v>
      </c>
      <c r="M192" s="478">
        <v>6.8</v>
      </c>
      <c r="N192" s="479">
        <v>5.2</v>
      </c>
      <c r="O192" s="476">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3"/>
      <c r="AI192" s="57"/>
      <c r="AJ192" s="45"/>
      <c r="AK192" s="45"/>
      <c r="AL192" s="45"/>
      <c r="AM192" s="469"/>
      <c r="AN192" s="469"/>
      <c r="AQ192" s="465">
        <v>0.44</v>
      </c>
      <c r="AR192" s="465">
        <v>0.42</v>
      </c>
      <c r="AS192" s="465">
        <v>0.42</v>
      </c>
      <c r="AT192" s="465">
        <v>0.42</v>
      </c>
      <c r="AU192" s="465">
        <v>1</v>
      </c>
      <c r="AV192" s="465">
        <v>1</v>
      </c>
      <c r="AW192" s="465">
        <v>0.42</v>
      </c>
      <c r="AX192" s="465">
        <v>0.42</v>
      </c>
    </row>
    <row r="193" spans="1:50" outlineLevel="3" x14ac:dyDescent="0.25">
      <c r="A193" s="45"/>
      <c r="B193" s="54"/>
      <c r="C193" s="87">
        <f t="shared" si="44"/>
        <v>4</v>
      </c>
      <c r="D193" s="73"/>
      <c r="E193" s="70"/>
      <c r="F193" s="70">
        <f t="shared" si="45"/>
        <v>1</v>
      </c>
      <c r="G193" s="73"/>
      <c r="H193" s="76"/>
      <c r="I193" s="180">
        <v>31.1</v>
      </c>
      <c r="J193" s="477">
        <v>5</v>
      </c>
      <c r="K193" s="478">
        <v>6.6</v>
      </c>
      <c r="L193" s="478">
        <v>6.6</v>
      </c>
      <c r="M193" s="478">
        <v>6.6</v>
      </c>
      <c r="N193" s="479">
        <v>5</v>
      </c>
      <c r="O193" s="476">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3"/>
      <c r="AI193" s="57"/>
      <c r="AJ193" s="45"/>
      <c r="AK193" s="45"/>
      <c r="AL193" s="45"/>
      <c r="AM193" s="469"/>
      <c r="AN193" s="469"/>
      <c r="AP193" s="180">
        <v>25</v>
      </c>
      <c r="AQ193" cm="1">
        <f t="array" aca="1" ref="AQ193" ca="1">INDEX(OFFSET($Q$181:$U$187,i_s7_len*(AQ$190-1),0),MATCH($AP193*AQ$192,OFFSET($I$181:$I$187,i_s7_len*(AQ$190-1),0)),MATCH($AR$175,INDEX($J$177:$N$178,1+INDEX(ia_s8_s7,AQ$190,1),0)))</f>
        <v>0.70809675221439938</v>
      </c>
      <c r="AR193" cm="1">
        <f t="array" aca="1" ref="AR193" ca="1">INDEX(OFFSET($Q$181:$U$187,i_s7_len*(AR$190-1),0),MATCH($AP193*AR$192,OFFSET($I$181:$I$187,i_s7_len*(AR$190-1),0)),MATCH($AR$175,INDEX($J$177:$N$178,1+INDEX(ia_s8_s7,AR$190,1),0)))</f>
        <v>0.70809675221439938</v>
      </c>
      <c r="AS193" cm="1">
        <f t="array" aca="1" ref="AS193" ca="1">INDEX(OFFSET($Q$181:$U$187,i_s7_len*(AS$190-1),0),MATCH($AP193*AS$192,OFFSET($I$181:$I$187,i_s7_len*(AS$190-1),0)),MATCH($AR$175,INDEX($J$177:$N$178,1+INDEX(ia_s8_s7,AS$190,1),0)))</f>
        <v>1</v>
      </c>
      <c r="AT193" cm="1">
        <f t="array" aca="1" ref="AT193" ca="1">INDEX(OFFSET($Q$181:$U$187,i_s7_len*(AT$190-1),0),MATCH($AP193*AT$192,OFFSET($I$181:$I$187,i_s7_len*(AT$190-1),0)),MATCH($AR$175,INDEX($J$177:$N$178,1+INDEX(ia_s8_s7,AT$190,1),0)))</f>
        <v>0.57692307692307687</v>
      </c>
      <c r="AU193" cm="1">
        <f t="array" aca="1" ref="AU193" ca="1">INDEX(OFFSET($Q$181:$U$187,i_s7_len*(AU$190-1),0),MATCH($AP193*AU$192,OFFSET($I$181:$I$187,i_s7_len*(AU$190-1),0)),MATCH($AR$175,INDEX($J$177:$N$178,1+INDEX(ia_s8_s7,AU$190,1),0)))</f>
        <v>0.21828806594996897</v>
      </c>
      <c r="AV193" cm="1">
        <f t="array" aca="1" ref="AV193" ca="1">INDEX(OFFSET($Q$181:$U$187,i_s7_len*(AV$190-1),0),MATCH($AP193*AV$192,OFFSET($I$181:$I$187,i_s7_len*(AV$190-1),0)),MATCH($AR$175,INDEX($J$177:$N$178,1+INDEX(ia_s8_s7,AV$190,1),0)))</f>
        <v>1</v>
      </c>
      <c r="AW193" cm="1">
        <f t="array" aca="1" ref="AW193" ca="1">INDEX(OFFSET($Q$181:$U$187,i_s7_len*(AW$190-1),0),MATCH($AP193*AW$192,OFFSET($I$181:$I$187,i_s7_len*(AW$190-1),0)),MATCH($AR$175,INDEX($J$177:$N$178,1+INDEX(ia_s8_s7,AW$190,1),0)))</f>
        <v>0.57692307692307687</v>
      </c>
      <c r="AX193" cm="1">
        <f t="array" aca="1" ref="AX193" ca="1">INDEX(OFFSET($Q$181:$U$187,i_s7_len*(AX$190-1),0),MATCH($AP193*AX$192,OFFSET($I$181:$I$187,i_s7_len*(AX$190-1),0)),MATCH($AR$175,INDEX($J$177:$N$178,1+INDEX(ia_s8_s7,AX$190,1),0)))</f>
        <v>0.70710678118654757</v>
      </c>
    </row>
    <row r="194" spans="1:50" outlineLevel="3" x14ac:dyDescent="0.25">
      <c r="A194" s="45"/>
      <c r="B194" s="54"/>
      <c r="C194" s="87">
        <f t="shared" si="44"/>
        <v>4</v>
      </c>
      <c r="D194" s="73"/>
      <c r="E194" s="70"/>
      <c r="F194" s="70">
        <f t="shared" si="45"/>
        <v>1</v>
      </c>
      <c r="G194" s="73"/>
      <c r="H194" s="76"/>
      <c r="I194" s="180">
        <f t="shared" ref="I194" si="46">I193</f>
        <v>31.1</v>
      </c>
      <c r="J194" s="477">
        <v>5</v>
      </c>
      <c r="K194" s="478">
        <v>6</v>
      </c>
      <c r="L194" s="478">
        <v>6</v>
      </c>
      <c r="M194" s="478">
        <v>6</v>
      </c>
      <c r="N194" s="479">
        <v>5</v>
      </c>
      <c r="O194" s="476">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3"/>
      <c r="AI194" s="57"/>
      <c r="AJ194" s="45"/>
      <c r="AK194" s="45"/>
      <c r="AL194" s="45"/>
      <c r="AM194" s="469"/>
      <c r="AN194" s="469"/>
      <c r="AP194" s="180">
        <v>35</v>
      </c>
      <c r="AQ194" cm="1">
        <f t="array" aca="1" ref="AQ194" ca="1">INDEX(OFFSET($Q$181:$U$187,i_s7_len*(AQ$190-1),0),MATCH($AP194*AQ$192,OFFSET($I$181:$I$187,i_s7_len*(AQ$190-1),0)),MATCH($AR$175,INDEX($J$177:$N$178,1+INDEX(ia_s8_s7,AQ$190,1),0)))</f>
        <v>0.70809675221439938</v>
      </c>
      <c r="AR194" cm="1">
        <f t="array" aca="1" ref="AR194" ca="1">INDEX(OFFSET($Q$181:$U$187,i_s7_len*(AR$190-1),0),MATCH($AP194*AR$192,OFFSET($I$181:$I$187,i_s7_len*(AR$190-1),0)),MATCH($AR$175,INDEX($J$177:$N$178,1+INDEX(ia_s8_s7,AR$190,1),0)))</f>
        <v>0.70809675221439938</v>
      </c>
      <c r="AS194" cm="1">
        <f t="array" aca="1" ref="AS194" ca="1">INDEX(OFFSET($Q$181:$U$187,i_s7_len*(AS$190-1),0),MATCH($AP194*AS$192,OFFSET($I$181:$I$187,i_s7_len*(AS$190-1),0)),MATCH($AR$175,INDEX($J$177:$N$178,1+INDEX(ia_s8_s7,AS$190,1),0)))</f>
        <v>1</v>
      </c>
      <c r="AT194" cm="1">
        <f t="array" aca="1" ref="AT194" ca="1">INDEX(OFFSET($Q$181:$U$187,i_s7_len*(AT$190-1),0),MATCH($AP194*AT$192,OFFSET($I$181:$I$187,i_s7_len*(AT$190-1),0)),MATCH($AR$175,INDEX($J$177:$N$178,1+INDEX(ia_s8_s7,AT$190,1),0)))</f>
        <v>0.84615384615384615</v>
      </c>
      <c r="AU194" cm="1">
        <f t="array" aca="1" ref="AU194" ca="1">INDEX(OFFSET($Q$181:$U$187,i_s7_len*(AU$190-1),0),MATCH($AP194*AU$192,OFFSET($I$181:$I$187,i_s7_len*(AU$190-1),0)),MATCH($AR$175,INDEX($J$177:$N$178,1+INDEX(ia_s8_s7,AU$190,1),0)))</f>
        <v>0.7</v>
      </c>
      <c r="AV194" cm="1">
        <f t="array" aca="1" ref="AV194" ca="1">INDEX(OFFSET($Q$181:$U$187,i_s7_len*(AV$190-1),0),MATCH($AP194*AV$192,OFFSET($I$181:$I$187,i_s7_len*(AV$190-1),0)),MATCH($AR$175,INDEX($J$177:$N$178,1+INDEX(ia_s8_s7,AV$190,1),0)))</f>
        <v>1</v>
      </c>
      <c r="AW194" cm="1">
        <f t="array" aca="1" ref="AW194" ca="1">INDEX(OFFSET($Q$181:$U$187,i_s7_len*(AW$190-1),0),MATCH($AP194*AW$192,OFFSET($I$181:$I$187,i_s7_len*(AW$190-1),0)),MATCH($AR$175,INDEX($J$177:$N$178,1+INDEX(ia_s8_s7,AW$190,1),0)))</f>
        <v>0.84615384615384615</v>
      </c>
      <c r="AX194" cm="1">
        <f t="array" aca="1" ref="AX194" ca="1">INDEX(OFFSET($Q$181:$U$187,i_s7_len*(AX$190-1),0),MATCH($AP194*AX$192,OFFSET($I$181:$I$187,i_s7_len*(AX$190-1),0)),MATCH($AR$175,INDEX($J$177:$N$178,1+INDEX(ia_s8_s7,AX$190,1),0)))</f>
        <v>0.70710678118654757</v>
      </c>
    </row>
    <row r="195" spans="1:50" outlineLevel="3" x14ac:dyDescent="0.25">
      <c r="A195" s="45"/>
      <c r="B195" s="54"/>
      <c r="C195" s="87">
        <f t="shared" si="44"/>
        <v>4</v>
      </c>
      <c r="D195" s="73"/>
      <c r="E195" s="70"/>
      <c r="F195" s="70">
        <f t="shared" si="45"/>
        <v>1</v>
      </c>
      <c r="G195" s="73"/>
      <c r="H195" s="76"/>
      <c r="I195" s="180">
        <f t="shared" ref="I195" si="47">I194</f>
        <v>31.1</v>
      </c>
      <c r="J195" s="480">
        <v>4.8</v>
      </c>
      <c r="K195" s="481">
        <v>5.8</v>
      </c>
      <c r="L195" s="481">
        <v>5.8</v>
      </c>
      <c r="M195" s="481">
        <v>5.8</v>
      </c>
      <c r="N195" s="482">
        <v>4.8</v>
      </c>
      <c r="O195" s="476">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3"/>
      <c r="AI195" s="57"/>
      <c r="AJ195" s="45"/>
      <c r="AK195" s="45"/>
      <c r="AL195" s="45"/>
      <c r="AM195" s="469"/>
      <c r="AN195" s="469"/>
      <c r="AP195" s="180">
        <v>40</v>
      </c>
      <c r="AQ195" cm="1">
        <f t="array" aca="1" ref="AQ195" ca="1">INDEX(OFFSET($Q$181:$U$187,i_s7_len*(AQ$190-1),0),MATCH($AP195*AQ$192,OFFSET($I$181:$I$187,i_s7_len*(AQ$190-1),0)),MATCH($AR$175,INDEX($J$177:$N$178,1+INDEX(ia_s8_s7,AQ$190,1),0)))</f>
        <v>0.9</v>
      </c>
      <c r="AR195" cm="1">
        <f t="array" aca="1" ref="AR195" ca="1">INDEX(OFFSET($Q$181:$U$187,i_s7_len*(AR$190-1),0),MATCH($AP195*AR$192,OFFSET($I$181:$I$187,i_s7_len*(AR$190-1),0)),MATCH($AR$175,INDEX($J$177:$N$178,1+INDEX(ia_s8_s7,AR$190,1),0)))</f>
        <v>1</v>
      </c>
      <c r="AS195" cm="1">
        <f t="array" aca="1" ref="AS195" ca="1">INDEX(OFFSET($Q$181:$U$187,i_s7_len*(AS$190-1),0),MATCH($AP195*AS$192,OFFSET($I$181:$I$187,i_s7_len*(AS$190-1),0)),MATCH($AR$175,INDEX($J$177:$N$178,1+INDEX(ia_s8_s7,AS$190,1),0)))</f>
        <v>1</v>
      </c>
      <c r="AT195" cm="1">
        <f t="array" aca="1" ref="AT195" ca="1">INDEX(OFFSET($Q$181:$U$187,i_s7_len*(AT$190-1),0),MATCH($AP195*AT$192,OFFSET($I$181:$I$187,i_s7_len*(AT$190-1),0)),MATCH($AR$175,INDEX($J$177:$N$178,1+INDEX(ia_s8_s7,AT$190,1),0)))</f>
        <v>0.84615384615384615</v>
      </c>
      <c r="AU195" cm="1">
        <f t="array" aca="1" ref="AU195" ca="1">INDEX(OFFSET($Q$181:$U$187,i_s7_len*(AU$190-1),0),MATCH($AP195*AU$192,OFFSET($I$181:$I$187,i_s7_len*(AU$190-1),0)),MATCH($AR$175,INDEX($J$177:$N$178,1+INDEX(ia_s8_s7,AU$190,1),0)))</f>
        <v>0.76666666666666661</v>
      </c>
      <c r="AV195" cm="1">
        <f t="array" aca="1" ref="AV195" ca="1">INDEX(OFFSET($Q$181:$U$187,i_s7_len*(AV$190-1),0),MATCH($AP195*AV$192,OFFSET($I$181:$I$187,i_s7_len*(AV$190-1),0)),MATCH($AR$175,INDEX($J$177:$N$178,1+INDEX(ia_s8_s7,AV$190,1),0)))</f>
        <v>1</v>
      </c>
      <c r="AW195" cm="1">
        <f t="array" aca="1" ref="AW195" ca="1">INDEX(OFFSET($Q$181:$U$187,i_s7_len*(AW$190-1),0),MATCH($AP195*AW$192,OFFSET($I$181:$I$187,i_s7_len*(AW$190-1),0)),MATCH($AR$175,INDEX($J$177:$N$178,1+INDEX(ia_s8_s7,AW$190,1),0)))</f>
        <v>0.84615384615384615</v>
      </c>
      <c r="AX195" cm="1">
        <f t="array" aca="1" ref="AX195" ca="1">INDEX(OFFSET($Q$181:$U$187,i_s7_len*(AX$190-1),0),MATCH($AP195*AX$192,OFFSET($I$181:$I$187,i_s7_len*(AX$190-1),0)),MATCH($AR$175,INDEX($J$177:$N$178,1+INDEX(ia_s8_s7,AX$190,1),0)))</f>
        <v>1</v>
      </c>
    </row>
    <row r="196" spans="1:50" outlineLevel="3" x14ac:dyDescent="0.25">
      <c r="A196" s="45"/>
      <c r="B196" s="54"/>
      <c r="C196" s="87">
        <f t="shared" si="44"/>
        <v>4</v>
      </c>
      <c r="D196" s="73"/>
      <c r="E196" s="70"/>
      <c r="F196" s="70">
        <f t="shared" si="45"/>
        <v>1</v>
      </c>
      <c r="G196" s="73"/>
      <c r="H196" s="76"/>
      <c r="I196" s="96">
        <v>1000</v>
      </c>
      <c r="J196" s="483">
        <v>0</v>
      </c>
      <c r="K196" s="483">
        <v>0</v>
      </c>
      <c r="L196" s="483">
        <v>0</v>
      </c>
      <c r="M196" s="483">
        <v>0</v>
      </c>
      <c r="N196" s="483">
        <v>0</v>
      </c>
      <c r="O196" s="484">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3"/>
      <c r="AI196" s="57"/>
      <c r="AJ196" s="45"/>
      <c r="AK196" s="45"/>
      <c r="AL196" s="45"/>
      <c r="AM196" s="469"/>
      <c r="AN196" s="469"/>
      <c r="AP196" s="180">
        <v>45</v>
      </c>
      <c r="AQ196" cm="1">
        <f t="array" aca="1" ref="AQ196" ca="1">INDEX(OFFSET($Q$181:$U$187,i_s7_len*(AQ$190-1),0),MATCH($AP196*AQ$192,OFFSET($I$181:$I$187,i_s7_len*(AQ$190-1),0)),MATCH($AR$175,INDEX($J$177:$N$178,1+INDEX(ia_s8_s7,AQ$190,1),0)))</f>
        <v>1</v>
      </c>
      <c r="AR196" cm="1">
        <f t="array" aca="1" ref="AR196" ca="1">INDEX(OFFSET($Q$181:$U$187,i_s7_len*(AR$190-1),0),MATCH($AP196*AR$192,OFFSET($I$181:$I$187,i_s7_len*(AR$190-1),0)),MATCH($AR$175,INDEX($J$177:$N$178,1+INDEX(ia_s8_s7,AR$190,1),0)))</f>
        <v>0.87592003768474347</v>
      </c>
      <c r="AS196" cm="1">
        <f t="array" aca="1" ref="AS196" ca="1">INDEX(OFFSET($Q$181:$U$187,i_s7_len*(AS$190-1),0),MATCH($AP196*AS$192,OFFSET($I$181:$I$187,i_s7_len*(AS$190-1),0)),MATCH($AR$175,INDEX($J$177:$N$178,1+INDEX(ia_s8_s7,AS$190,1),0)))</f>
        <v>1</v>
      </c>
      <c r="AT196" cm="1">
        <f t="array" aca="1" ref="AT196" ca="1">INDEX(OFFSET($Q$181:$U$187,i_s7_len*(AT$190-1),0),MATCH($AP196*AT$192,OFFSET($I$181:$I$187,i_s7_len*(AT$190-1),0)),MATCH($AR$175,INDEX($J$177:$N$178,1+INDEX(ia_s8_s7,AT$190,1),0)))</f>
        <v>1</v>
      </c>
      <c r="AU196" cm="1">
        <f t="array" aca="1" ref="AU196" ca="1">INDEX(OFFSET($Q$181:$U$187,i_s7_len*(AU$190-1),0),MATCH($AP196*AU$192,OFFSET($I$181:$I$187,i_s7_len*(AU$190-1),0)),MATCH($AR$175,INDEX($J$177:$N$178,1+INDEX(ia_s8_s7,AU$190,1),0)))</f>
        <v>0.82500000000000018</v>
      </c>
      <c r="AV196" cm="1">
        <f t="array" aca="1" ref="AV196" ca="1">INDEX(OFFSET($Q$181:$U$187,i_s7_len*(AV$190-1),0),MATCH($AP196*AV$192,OFFSET($I$181:$I$187,i_s7_len*(AV$190-1),0)),MATCH($AR$175,INDEX($J$177:$N$178,1+INDEX(ia_s8_s7,AV$190,1),0)))</f>
        <v>1</v>
      </c>
      <c r="AW196" cm="1">
        <f t="array" aca="1" ref="AW196" ca="1">INDEX(OFFSET($Q$181:$U$187,i_s7_len*(AW$190-1),0),MATCH($AP196*AW$192,OFFSET($I$181:$I$187,i_s7_len*(AW$190-1),0)),MATCH($AR$175,INDEX($J$177:$N$178,1+INDEX(ia_s8_s7,AW$190,1),0)))</f>
        <v>1</v>
      </c>
      <c r="AX196" cm="1">
        <f t="array" aca="1" ref="AX196" ca="1">INDEX(OFFSET($Q$181:$U$187,i_s7_len*(AX$190-1),0),MATCH($AP196*AX$192,OFFSET($I$181:$I$187,i_s7_len*(AX$190-1),0)),MATCH($AR$175,INDEX($J$177:$N$178,1+INDEX(ia_s8_s7,AX$190,1),0)))</f>
        <v>1</v>
      </c>
    </row>
    <row r="197" spans="1:50" outlineLevel="2" x14ac:dyDescent="0.25">
      <c r="A197" s="45"/>
      <c r="B197" s="54"/>
      <c r="C197" s="87">
        <f>INT($C$150)+2</f>
        <v>3</v>
      </c>
      <c r="D197" s="73"/>
      <c r="E197" s="70">
        <v>2</v>
      </c>
      <c r="F197" s="70">
        <f>E197</f>
        <v>2</v>
      </c>
      <c r="G197" s="73"/>
      <c r="H197" s="96" t="str">
        <f>INDEX($H$166:$H$173,$E197+1,1)</f>
        <v>empty grid (2)</v>
      </c>
      <c r="I197" s="180">
        <v>10</v>
      </c>
      <c r="J197" s="473">
        <v>1</v>
      </c>
      <c r="K197" s="474">
        <v>2</v>
      </c>
      <c r="L197" s="474">
        <v>2</v>
      </c>
      <c r="M197" s="474">
        <v>2</v>
      </c>
      <c r="N197" s="475">
        <v>1</v>
      </c>
      <c r="O197" s="476">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3"/>
      <c r="AI197" s="57"/>
      <c r="AJ197" s="45"/>
      <c r="AK197" s="45"/>
      <c r="AL197" s="45"/>
      <c r="AM197" s="469"/>
      <c r="AN197" s="469"/>
      <c r="AP197" s="180">
        <v>50</v>
      </c>
      <c r="AQ197" cm="1">
        <f t="array" aca="1" ref="AQ197" ca="1">INDEX(OFFSET($Q$181:$U$187,i_s7_len*(AQ$190-1),0),MATCH($AP197*AQ$192,OFFSET($I$181:$I$187,i_s7_len*(AQ$190-1),0)),MATCH($AR$175,INDEX($J$177:$N$178,1+INDEX(ia_s8_s7,AQ$190,1),0)))</f>
        <v>1</v>
      </c>
      <c r="AR197" cm="1">
        <f t="array" aca="1" ref="AR197" ca="1">INDEX(OFFSET($Q$181:$U$187,i_s7_len*(AR$190-1),0),MATCH($AP197*AR$192,OFFSET($I$181:$I$187,i_s7_len*(AR$190-1),0)),MATCH($AR$175,INDEX($J$177:$N$178,1+INDEX(ia_s8_s7,AR$190,1),0)))</f>
        <v>0.87592003768474347</v>
      </c>
      <c r="AS197" cm="1">
        <f t="array" aca="1" ref="AS197" ca="1">INDEX(OFFSET($Q$181:$U$187,i_s7_len*(AS$190-1),0),MATCH($AP197*AS$192,OFFSET($I$181:$I$187,i_s7_len*(AS$190-1),0)),MATCH($AR$175,INDEX($J$177:$N$178,1+INDEX(ia_s8_s7,AS$190,1),0)))</f>
        <v>1</v>
      </c>
      <c r="AT197" cm="1">
        <f t="array" aca="1" ref="AT197" ca="1">INDEX(OFFSET($Q$181:$U$187,i_s7_len*(AT$190-1),0),MATCH($AP197*AT$192,OFFSET($I$181:$I$187,i_s7_len*(AT$190-1),0)),MATCH($AR$175,INDEX($J$177:$N$178,1+INDEX(ia_s8_s7,AT$190,1),0)))</f>
        <v>1</v>
      </c>
      <c r="AU197" cm="1">
        <f t="array" aca="1" ref="AU197" ca="1">INDEX(OFFSET($Q$181:$U$187,i_s7_len*(AU$190-1),0),MATCH($AP197*AU$192,OFFSET($I$181:$I$187,i_s7_len*(AU$190-1),0)),MATCH($AR$175,INDEX($J$177:$N$178,1+INDEX(ia_s8_s7,AU$190,1),0)))</f>
        <v>0.875</v>
      </c>
      <c r="AV197" cm="1">
        <f t="array" aca="1" ref="AV197" ca="1">INDEX(OFFSET($Q$181:$U$187,i_s7_len*(AV$190-1),0),MATCH($AP197*AV$192,OFFSET($I$181:$I$187,i_s7_len*(AV$190-1),0)),MATCH($AR$175,INDEX($J$177:$N$178,1+INDEX(ia_s8_s7,AV$190,1),0)))</f>
        <v>1</v>
      </c>
      <c r="AW197" cm="1">
        <f t="array" aca="1" ref="AW197" ca="1">INDEX(OFFSET($Q$181:$U$187,i_s7_len*(AW$190-1),0),MATCH($AP197*AW$192,OFFSET($I$181:$I$187,i_s7_len*(AW$190-1),0)),MATCH($AR$175,INDEX($J$177:$N$178,1+INDEX(ia_s8_s7,AW$190,1),0)))</f>
        <v>1</v>
      </c>
      <c r="AX197" cm="1">
        <f t="array" aca="1" ref="AX197" ca="1">INDEX(OFFSET($Q$181:$U$187,i_s7_len*(AX$190-1),0),MATCH($AP197*AX$192,OFFSET($I$181:$I$187,i_s7_len*(AX$190-1),0)),MATCH($AR$175,INDEX($J$177:$N$178,1+INDEX(ia_s8_s7,AX$190,1),0)))</f>
        <v>1</v>
      </c>
    </row>
    <row r="198" spans="1:50" outlineLevel="3" x14ac:dyDescent="0.25">
      <c r="A198" s="45"/>
      <c r="B198" s="54"/>
      <c r="C198" s="87">
        <f t="shared" ref="C198:C204" si="48">INT($C$150)+3</f>
        <v>4</v>
      </c>
      <c r="D198" s="73"/>
      <c r="E198" s="70"/>
      <c r="F198" s="70">
        <f>F197</f>
        <v>2</v>
      </c>
      <c r="G198" s="73"/>
      <c r="H198" s="183" t="str">
        <f>INDEX($M$158:$M$160,INDEX(i_salep_price_type_s7,$F198+1,1)+1,1)&amp;INDEX($L$158:$L$160,INDEX(ia_s8_s7,$F198+1,1)+1,1)</f>
        <v>$/kg DW, DW - Fat score</v>
      </c>
      <c r="I198" s="180">
        <v>16.100000000000001</v>
      </c>
      <c r="J198" s="477">
        <v>3</v>
      </c>
      <c r="K198" s="478">
        <v>5</v>
      </c>
      <c r="L198" s="478">
        <v>5</v>
      </c>
      <c r="M198" s="478">
        <v>5</v>
      </c>
      <c r="N198" s="479">
        <v>3</v>
      </c>
      <c r="O198" s="476">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3"/>
      <c r="AI198" s="57"/>
      <c r="AJ198" s="45"/>
      <c r="AK198" s="45"/>
      <c r="AL198" s="45"/>
      <c r="AM198" s="469"/>
      <c r="AN198" s="469"/>
      <c r="AP198" s="180">
        <v>55</v>
      </c>
      <c r="AQ198" cm="1">
        <f t="array" aca="1" ref="AQ198" ca="1">INDEX(OFFSET($Q$181:$U$187,i_s7_len*(AQ$190-1),0),MATCH($AP198*AQ$192,OFFSET($I$181:$I$187,i_s7_len*(AQ$190-1),0)),MATCH($AR$175,INDEX($J$177:$N$178,1+INDEX(ia_s8_s7,AQ$190,1),0)))</f>
        <v>1</v>
      </c>
      <c r="AR198" cm="1">
        <f t="array" aca="1" ref="AR198" ca="1">INDEX(OFFSET($Q$181:$U$187,i_s7_len*(AR$190-1),0),MATCH($AP198*AR$192,OFFSET($I$181:$I$187,i_s7_len*(AR$190-1),0)),MATCH($AR$175,INDEX($J$177:$N$178,1+INDEX(ia_s8_s7,AR$190,1),0)))</f>
        <v>0.87592003768474347</v>
      </c>
      <c r="AS198" cm="1">
        <f t="array" aca="1" ref="AS198" ca="1">INDEX(OFFSET($Q$181:$U$187,i_s7_len*(AS$190-1),0),MATCH($AP198*AS$192,OFFSET($I$181:$I$187,i_s7_len*(AS$190-1),0)),MATCH($AR$175,INDEX($J$177:$N$178,1+INDEX(ia_s8_s7,AS$190,1),0)))</f>
        <v>1</v>
      </c>
      <c r="AT198" cm="1">
        <f t="array" aca="1" ref="AT198" ca="1">INDEX(OFFSET($Q$181:$U$187,i_s7_len*(AT$190-1),0),MATCH($AP198*AT$192,OFFSET($I$181:$I$187,i_s7_len*(AT$190-1),0)),MATCH($AR$175,INDEX($J$177:$N$178,1+INDEX(ia_s8_s7,AT$190,1),0)))</f>
        <v>1</v>
      </c>
      <c r="AU198" cm="1">
        <f t="array" aca="1" ref="AU198" ca="1">INDEX(OFFSET($Q$181:$U$187,i_s7_len*(AU$190-1),0),MATCH($AP198*AU$192,OFFSET($I$181:$I$187,i_s7_len*(AU$190-1),0)),MATCH($AR$175,INDEX($J$177:$N$178,1+INDEX(ia_s8_s7,AU$190,1),0)))</f>
        <v>0.91666666666666663</v>
      </c>
      <c r="AV198" cm="1">
        <f t="array" aca="1" ref="AV198" ca="1">INDEX(OFFSET($Q$181:$U$187,i_s7_len*(AV$190-1),0),MATCH($AP198*AV$192,OFFSET($I$181:$I$187,i_s7_len*(AV$190-1),0)),MATCH($AR$175,INDEX($J$177:$N$178,1+INDEX(ia_s8_s7,AV$190,1),0)))</f>
        <v>1</v>
      </c>
      <c r="AW198" cm="1">
        <f t="array" aca="1" ref="AW198" ca="1">INDEX(OFFSET($Q$181:$U$187,i_s7_len*(AW$190-1),0),MATCH($AP198*AW$192,OFFSET($I$181:$I$187,i_s7_len*(AW$190-1),0)),MATCH($AR$175,INDEX($J$177:$N$178,1+INDEX(ia_s8_s7,AW$190,1),0)))</f>
        <v>1</v>
      </c>
      <c r="AX198" cm="1">
        <f t="array" aca="1" ref="AX198" ca="1">INDEX(OFFSET($Q$181:$U$187,i_s7_len*(AX$190-1),0),MATCH($AP198*AX$192,OFFSET($I$181:$I$187,i_s7_len*(AX$190-1),0)),MATCH($AR$175,INDEX($J$177:$N$178,1+INDEX(ia_s8_s7,AX$190,1),0)))</f>
        <v>1</v>
      </c>
    </row>
    <row r="199" spans="1:50" outlineLevel="3" x14ac:dyDescent="0.25">
      <c r="A199" s="45"/>
      <c r="B199" s="54"/>
      <c r="C199" s="87">
        <f t="shared" si="48"/>
        <v>4</v>
      </c>
      <c r="D199" s="73"/>
      <c r="E199" s="70"/>
      <c r="F199" s="70">
        <f t="shared" si="45"/>
        <v>2</v>
      </c>
      <c r="G199" s="73"/>
      <c r="H199" s="97" t="s">
        <v>2669</v>
      </c>
      <c r="I199" s="180">
        <v>18.100000000000001</v>
      </c>
      <c r="J199" s="477">
        <v>4.5</v>
      </c>
      <c r="K199" s="478">
        <v>5.6</v>
      </c>
      <c r="L199" s="478">
        <v>5.6</v>
      </c>
      <c r="M199" s="478">
        <v>5.6</v>
      </c>
      <c r="N199" s="479">
        <v>4.5</v>
      </c>
      <c r="O199" s="476">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3"/>
      <c r="AI199" s="57"/>
      <c r="AJ199" s="45"/>
      <c r="AK199" s="45"/>
      <c r="AL199" s="45"/>
      <c r="AM199" s="469"/>
      <c r="AN199" s="469"/>
      <c r="AP199" s="180">
        <v>60</v>
      </c>
      <c r="AQ199" cm="1">
        <f t="array" aca="1" ref="AQ199" ca="1">INDEX(OFFSET($Q$181:$U$187,i_s7_len*(AQ$190-1),0),MATCH($AP199*AQ$192,OFFSET($I$181:$I$187,i_s7_len*(AQ$190-1),0)),MATCH($AR$175,INDEX($J$177:$N$178,1+INDEX(ia_s8_s7,AQ$190,1),0)))</f>
        <v>1</v>
      </c>
      <c r="AR199" cm="1">
        <f t="array" aca="1" ref="AR199" ca="1">INDEX(OFFSET($Q$181:$U$187,i_s7_len*(AR$190-1),0),MATCH($AP199*AR$192,OFFSET($I$181:$I$187,i_s7_len*(AR$190-1),0)),MATCH($AR$175,INDEX($J$177:$N$178,1+INDEX(ia_s8_s7,AR$190,1),0)))</f>
        <v>0.87592003768474347</v>
      </c>
      <c r="AS199" cm="1">
        <f t="array" aca="1" ref="AS199" ca="1">INDEX(OFFSET($Q$181:$U$187,i_s7_len*(AS$190-1),0),MATCH($AP199*AS$192,OFFSET($I$181:$I$187,i_s7_len*(AS$190-1),0)),MATCH($AR$175,INDEX($J$177:$N$178,1+INDEX(ia_s8_s7,AS$190,1),0)))</f>
        <v>1</v>
      </c>
      <c r="AT199" cm="1">
        <f t="array" aca="1" ref="AT199" ca="1">INDEX(OFFSET($Q$181:$U$187,i_s7_len*(AT$190-1),0),MATCH($AP199*AT$192,OFFSET($I$181:$I$187,i_s7_len*(AT$190-1),0)),MATCH($AR$175,INDEX($J$177:$N$178,1+INDEX(ia_s8_s7,AT$190,1),0)))</f>
        <v>1</v>
      </c>
      <c r="AU199" cm="1">
        <f t="array" aca="1" ref="AU199" ca="1">INDEX(OFFSET($Q$181:$U$187,i_s7_len*(AU$190-1),0),MATCH($AP199*AU$192,OFFSET($I$181:$I$187,i_s7_len*(AU$190-1),0)),MATCH($AR$175,INDEX($J$177:$N$178,1+INDEX(ia_s8_s7,AU$190,1),0)))</f>
        <v>1</v>
      </c>
      <c r="AV199" cm="1">
        <f t="array" aca="1" ref="AV199" ca="1">INDEX(OFFSET($Q$181:$U$187,i_s7_len*(AV$190-1),0),MATCH($AP199*AV$192,OFFSET($I$181:$I$187,i_s7_len*(AV$190-1),0)),MATCH($AR$175,INDEX($J$177:$N$178,1+INDEX(ia_s8_s7,AV$190,1),0)))</f>
        <v>1</v>
      </c>
      <c r="AW199" cm="1">
        <f t="array" aca="1" ref="AW199" ca="1">INDEX(OFFSET($Q$181:$U$187,i_s7_len*(AW$190-1),0),MATCH($AP199*AW$192,OFFSET($I$181:$I$187,i_s7_len*(AW$190-1),0)),MATCH($AR$175,INDEX($J$177:$N$178,1+INDEX(ia_s8_s7,AW$190,1),0)))</f>
        <v>1</v>
      </c>
      <c r="AX199" cm="1">
        <f t="array" aca="1" ref="AX199" ca="1">INDEX(OFFSET($Q$181:$U$187,i_s7_len*(AX$190-1),0),MATCH($AP199*AX$192,OFFSET($I$181:$I$187,i_s7_len*(AX$190-1),0)),MATCH($AR$175,INDEX($J$177:$N$178,1+INDEX(ia_s8_s7,AX$190,1),0)))</f>
        <v>1</v>
      </c>
    </row>
    <row r="200" spans="1:50" outlineLevel="3" x14ac:dyDescent="0.25">
      <c r="A200" s="45"/>
      <c r="B200" s="54"/>
      <c r="C200" s="87">
        <f t="shared" si="48"/>
        <v>4</v>
      </c>
      <c r="D200" s="73"/>
      <c r="E200" s="70"/>
      <c r="F200" s="70">
        <f t="shared" si="45"/>
        <v>2</v>
      </c>
      <c r="G200" s="73"/>
      <c r="H200" s="76"/>
      <c r="I200" s="180">
        <v>28.1</v>
      </c>
      <c r="J200" s="477">
        <v>5</v>
      </c>
      <c r="K200" s="478">
        <v>6.4</v>
      </c>
      <c r="L200" s="478">
        <v>6.4</v>
      </c>
      <c r="M200" s="478">
        <v>6.4</v>
      </c>
      <c r="N200" s="479">
        <v>5</v>
      </c>
      <c r="O200" s="476">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3"/>
      <c r="AI200" s="57"/>
      <c r="AJ200" s="45"/>
      <c r="AK200" s="45"/>
      <c r="AL200" s="45"/>
      <c r="AM200" s="469"/>
      <c r="AN200" s="469"/>
      <c r="AP200" s="180">
        <v>65</v>
      </c>
      <c r="AQ200" cm="1">
        <f t="array" aca="1" ref="AQ200" ca="1">INDEX(OFFSET($Q$181:$U$187,i_s7_len*(AQ$190-1),0),MATCH($AP200*AQ$192,OFFSET($I$181:$I$187,i_s7_len*(AQ$190-1),0)),MATCH($AR$175,INDEX($J$177:$N$178,1+INDEX(ia_s8_s7,AQ$190,1),0)))</f>
        <v>0.87592003768474347</v>
      </c>
      <c r="AR200" cm="1">
        <f t="array" aca="1" ref="AR200" ca="1">INDEX(OFFSET($Q$181:$U$187,i_s7_len*(AR$190-1),0),MATCH($AP200*AR$192,OFFSET($I$181:$I$187,i_s7_len*(AR$190-1),0)),MATCH($AR$175,INDEX($J$177:$N$178,1+INDEX(ia_s8_s7,AR$190,1),0)))</f>
        <v>0.87592003768474347</v>
      </c>
      <c r="AS200" cm="1">
        <f t="array" aca="1" ref="AS200" ca="1">INDEX(OFFSET($Q$181:$U$187,i_s7_len*(AS$190-1),0),MATCH($AP200*AS$192,OFFSET($I$181:$I$187,i_s7_len*(AS$190-1),0)),MATCH($AR$175,INDEX($J$177:$N$178,1+INDEX(ia_s8_s7,AS$190,1),0)))</f>
        <v>1</v>
      </c>
      <c r="AT200" cm="1">
        <f t="array" aca="1" ref="AT200" ca="1">INDEX(OFFSET($Q$181:$U$187,i_s7_len*(AT$190-1),0),MATCH($AP200*AT$192,OFFSET($I$181:$I$187,i_s7_len*(AT$190-1),0)),MATCH($AR$175,INDEX($J$177:$N$178,1+INDEX(ia_s8_s7,AT$190,1),0)))</f>
        <v>1</v>
      </c>
      <c r="AU200" cm="1">
        <f t="array" aca="1" ref="AU200" ca="1">INDEX(OFFSET($Q$181:$U$187,i_s7_len*(AU$190-1),0),MATCH($AP200*AU$192,OFFSET($I$181:$I$187,i_s7_len*(AU$190-1),0)),MATCH($AR$175,INDEX($J$177:$N$178,1+INDEX(ia_s8_s7,AU$190,1),0)))</f>
        <v>1</v>
      </c>
      <c r="AV200" cm="1">
        <f t="array" aca="1" ref="AV200" ca="1">INDEX(OFFSET($Q$181:$U$187,i_s7_len*(AV$190-1),0),MATCH($AP200*AV$192,OFFSET($I$181:$I$187,i_s7_len*(AV$190-1),0)),MATCH($AR$175,INDEX($J$177:$N$178,1+INDEX(ia_s8_s7,AV$190,1),0)))</f>
        <v>1</v>
      </c>
      <c r="AW200" cm="1">
        <f t="array" aca="1" ref="AW200" ca="1">INDEX(OFFSET($Q$181:$U$187,i_s7_len*(AW$190-1),0),MATCH($AP200*AW$192,OFFSET($I$181:$I$187,i_s7_len*(AW$190-1),0)),MATCH($AR$175,INDEX($J$177:$N$178,1+INDEX(ia_s8_s7,AW$190,1),0)))</f>
        <v>1</v>
      </c>
      <c r="AX200" cm="1">
        <f t="array" aca="1" ref="AX200" ca="1">INDEX(OFFSET($Q$181:$U$187,i_s7_len*(AX$190-1),0),MATCH($AP200*AX$192,OFFSET($I$181:$I$187,i_s7_len*(AX$190-1),0)),MATCH($AR$175,INDEX($J$177:$N$178,1+INDEX(ia_s8_s7,AX$190,1),0)))</f>
        <v>1</v>
      </c>
    </row>
    <row r="201" spans="1:50" outlineLevel="3" x14ac:dyDescent="0.25">
      <c r="A201" s="45"/>
      <c r="B201" s="54"/>
      <c r="C201" s="87">
        <f t="shared" si="48"/>
        <v>4</v>
      </c>
      <c r="D201" s="73"/>
      <c r="E201" s="70"/>
      <c r="F201" s="70">
        <f t="shared" si="45"/>
        <v>2</v>
      </c>
      <c r="G201" s="73"/>
      <c r="H201" s="76"/>
      <c r="I201" s="180">
        <v>31.1</v>
      </c>
      <c r="J201" s="477">
        <v>4.5999999999999996</v>
      </c>
      <c r="K201" s="478">
        <v>6.2</v>
      </c>
      <c r="L201" s="478">
        <v>6.2</v>
      </c>
      <c r="M201" s="478">
        <v>6.2</v>
      </c>
      <c r="N201" s="479">
        <v>4.5999999999999996</v>
      </c>
      <c r="O201" s="476">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3"/>
      <c r="AI201" s="57"/>
      <c r="AJ201" s="45"/>
      <c r="AK201" s="45"/>
      <c r="AL201" s="45"/>
      <c r="AM201" s="469"/>
      <c r="AN201" s="469"/>
      <c r="AP201" s="180">
        <v>70</v>
      </c>
      <c r="AQ201" cm="1">
        <f t="array" aca="1" ref="AQ201" ca="1">INDEX(OFFSET($Q$181:$U$187,i_s7_len*(AQ$190-1),0),MATCH($AP201*AQ$192,OFFSET($I$181:$I$187,i_s7_len*(AQ$190-1),0)),MATCH($AR$175,INDEX($J$177:$N$178,1+INDEX(ia_s8_s7,AQ$190,1),0)))</f>
        <v>0.87592003768474347</v>
      </c>
      <c r="AR201" cm="1">
        <f t="array" aca="1" ref="AR201" ca="1">INDEX(OFFSET($Q$181:$U$187,i_s7_len*(AR$190-1),0),MATCH($AP201*AR$192,OFFSET($I$181:$I$187,i_s7_len*(AR$190-1),0)),MATCH($AR$175,INDEX($J$177:$N$178,1+INDEX(ia_s8_s7,AR$190,1),0)))</f>
        <v>0.87592003768474347</v>
      </c>
      <c r="AS201" cm="1">
        <f t="array" aca="1" ref="AS201" ca="1">INDEX(OFFSET($Q$181:$U$187,i_s7_len*(AS$190-1),0),MATCH($AP201*AS$192,OFFSET($I$181:$I$187,i_s7_len*(AS$190-1),0)),MATCH($AR$175,INDEX($J$177:$N$178,1+INDEX(ia_s8_s7,AS$190,1),0)))</f>
        <v>0.87592003768474347</v>
      </c>
      <c r="AT201" cm="1">
        <f t="array" aca="1" ref="AT201" ca="1">INDEX(OFFSET($Q$181:$U$187,i_s7_len*(AT$190-1),0),MATCH($AP201*AT$192,OFFSET($I$181:$I$187,i_s7_len*(AT$190-1),0)),MATCH($AR$175,INDEX($J$177:$N$178,1+INDEX(ia_s8_s7,AT$190,1),0)))</f>
        <v>1</v>
      </c>
      <c r="AU201" cm="1">
        <f t="array" aca="1" ref="AU201" ca="1">INDEX(OFFSET($Q$181:$U$187,i_s7_len*(AU$190-1),0),MATCH($AP201*AU$192,OFFSET($I$181:$I$187,i_s7_len*(AU$190-1),0)),MATCH($AR$175,INDEX($J$177:$N$178,1+INDEX(ia_s8_s7,AU$190,1),0)))</f>
        <v>1</v>
      </c>
      <c r="AV201" cm="1">
        <f t="array" aca="1" ref="AV201" ca="1">INDEX(OFFSET($Q$181:$U$187,i_s7_len*(AV$190-1),0),MATCH($AP201*AV$192,OFFSET($I$181:$I$187,i_s7_len*(AV$190-1),0)),MATCH($AR$175,INDEX($J$177:$N$178,1+INDEX(ia_s8_s7,AV$190,1),0)))</f>
        <v>1</v>
      </c>
      <c r="AW201" cm="1">
        <f t="array" aca="1" ref="AW201" ca="1">INDEX(OFFSET($Q$181:$U$187,i_s7_len*(AW$190-1),0),MATCH($AP201*AW$192,OFFSET($I$181:$I$187,i_s7_len*(AW$190-1),0)),MATCH($AR$175,INDEX($J$177:$N$178,1+INDEX(ia_s8_s7,AW$190,1),0)))</f>
        <v>1</v>
      </c>
      <c r="AX201" cm="1">
        <f t="array" aca="1" ref="AX201" ca="1">INDEX(OFFSET($Q$181:$U$187,i_s7_len*(AX$190-1),0),MATCH($AP201*AX$192,OFFSET($I$181:$I$187,i_s7_len*(AX$190-1),0)),MATCH($AR$175,INDEX($J$177:$N$178,1+INDEX(ia_s8_s7,AX$190,1),0)))</f>
        <v>1</v>
      </c>
    </row>
    <row r="202" spans="1:50" outlineLevel="3" x14ac:dyDescent="0.25">
      <c r="A202" s="45"/>
      <c r="B202" s="54"/>
      <c r="C202" s="87">
        <f t="shared" si="48"/>
        <v>4</v>
      </c>
      <c r="D202" s="73"/>
      <c r="E202" s="70"/>
      <c r="F202" s="70">
        <f t="shared" si="45"/>
        <v>2</v>
      </c>
      <c r="G202" s="73"/>
      <c r="H202" s="76"/>
      <c r="I202" s="180">
        <f t="shared" ref="I202" si="49">I201</f>
        <v>31.1</v>
      </c>
      <c r="J202" s="477">
        <v>4</v>
      </c>
      <c r="K202" s="478">
        <v>5.8</v>
      </c>
      <c r="L202" s="478">
        <v>5.8</v>
      </c>
      <c r="M202" s="478">
        <v>5.8</v>
      </c>
      <c r="N202" s="479">
        <v>4</v>
      </c>
      <c r="O202" s="476">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3"/>
      <c r="AI202" s="57"/>
      <c r="AJ202" s="45"/>
      <c r="AK202" s="45"/>
      <c r="AL202" s="45"/>
      <c r="AM202" s="469"/>
      <c r="AN202" s="469"/>
    </row>
    <row r="203" spans="1:50" outlineLevel="3" x14ac:dyDescent="0.25">
      <c r="A203" s="45"/>
      <c r="B203" s="54"/>
      <c r="C203" s="87">
        <f t="shared" si="48"/>
        <v>4</v>
      </c>
      <c r="D203" s="73"/>
      <c r="E203" s="70"/>
      <c r="F203" s="70">
        <f t="shared" si="45"/>
        <v>2</v>
      </c>
      <c r="G203" s="73"/>
      <c r="H203" s="76"/>
      <c r="I203" s="180">
        <f t="shared" ref="I203" si="50">I202</f>
        <v>31.1</v>
      </c>
      <c r="J203" s="480">
        <v>4</v>
      </c>
      <c r="K203" s="481">
        <v>5.4</v>
      </c>
      <c r="L203" s="481">
        <v>5.4</v>
      </c>
      <c r="M203" s="481">
        <v>5.4</v>
      </c>
      <c r="N203" s="482">
        <v>4</v>
      </c>
      <c r="O203" s="476">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3"/>
      <c r="AI203" s="57"/>
      <c r="AJ203" s="45"/>
      <c r="AK203" s="45"/>
      <c r="AL203" s="45"/>
      <c r="AM203" s="469"/>
      <c r="AN203" s="469"/>
      <c r="AQ203">
        <v>1</v>
      </c>
      <c r="AR203">
        <v>2</v>
      </c>
      <c r="AS203">
        <v>3</v>
      </c>
      <c r="AT203">
        <v>4</v>
      </c>
      <c r="AU203">
        <v>5</v>
      </c>
      <c r="AV203">
        <v>6</v>
      </c>
      <c r="AW203">
        <v>7</v>
      </c>
      <c r="AX203">
        <v>8</v>
      </c>
    </row>
    <row r="204" spans="1:50" outlineLevel="3" x14ac:dyDescent="0.25">
      <c r="A204" s="45"/>
      <c r="B204" s="54"/>
      <c r="C204" s="87">
        <f t="shared" si="48"/>
        <v>4</v>
      </c>
      <c r="D204" s="73"/>
      <c r="E204" s="70"/>
      <c r="F204" s="70">
        <f t="shared" si="45"/>
        <v>2</v>
      </c>
      <c r="G204" s="73"/>
      <c r="H204" s="76"/>
      <c r="I204" s="96">
        <v>1000</v>
      </c>
      <c r="J204" s="483">
        <v>0</v>
      </c>
      <c r="K204" s="483">
        <v>0</v>
      </c>
      <c r="L204" s="483">
        <v>0</v>
      </c>
      <c r="M204" s="483">
        <v>0</v>
      </c>
      <c r="N204" s="483">
        <v>0</v>
      </c>
      <c r="O204" s="484">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3"/>
      <c r="AI204" s="57"/>
      <c r="AJ204" s="45"/>
      <c r="AK204" s="45"/>
      <c r="AL204" s="45"/>
      <c r="AM204" s="469"/>
      <c r="AN204" s="469" t="s">
        <v>301</v>
      </c>
      <c r="AQ204" s="467" t="str" cm="1">
        <f t="array" ref="AQ204:AX204">TRANSPOSE(AP166:AP173)</f>
        <v>Lamb grid (0)</v>
      </c>
      <c r="AR204" s="467" t="str">
        <v>empty grid (1)</v>
      </c>
      <c r="AS204" s="467" t="str">
        <v>empty grid (2)</v>
      </c>
      <c r="AT204" s="467" t="str">
        <v>Yearling grid (3)</v>
      </c>
      <c r="AU204" s="467" t="str">
        <v>Export wether grid (4)</v>
      </c>
      <c r="AV204" s="468" t="str">
        <v>Breeder grid (5)</v>
      </c>
      <c r="AW204" s="468" t="str">
        <v>Mutton grid (6)</v>
      </c>
      <c r="AX204" s="468" t="str">
        <v>Ram grid (7)</v>
      </c>
    </row>
    <row r="205" spans="1:50" outlineLevel="2" x14ac:dyDescent="0.25">
      <c r="A205" s="45"/>
      <c r="B205" s="54"/>
      <c r="C205" s="87">
        <f>INT($C$150)+2</f>
        <v>3</v>
      </c>
      <c r="D205" s="73"/>
      <c r="E205" s="70">
        <v>3</v>
      </c>
      <c r="F205" s="70">
        <f>E205</f>
        <v>3</v>
      </c>
      <c r="G205" s="73"/>
      <c r="H205" s="96" t="str">
        <f>INDEX($H$166:$H$173,$E205+1,1)</f>
        <v>Yearling grid (3)</v>
      </c>
      <c r="I205" s="180">
        <f t="shared" ref="I205:N211" si="51">I229</f>
        <v>10.1</v>
      </c>
      <c r="J205" s="473">
        <f t="shared" si="51"/>
        <v>3</v>
      </c>
      <c r="K205" s="474">
        <f t="shared" si="51"/>
        <v>3</v>
      </c>
      <c r="L205" s="474">
        <f t="shared" si="51"/>
        <v>3</v>
      </c>
      <c r="M205" s="474">
        <f t="shared" si="51"/>
        <v>3</v>
      </c>
      <c r="N205" s="475">
        <f t="shared" si="51"/>
        <v>2</v>
      </c>
      <c r="O205" s="476">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3"/>
      <c r="AI205" s="57"/>
      <c r="AJ205" s="45"/>
      <c r="AK205" s="45"/>
      <c r="AL205" s="45"/>
      <c r="AM205" s="469"/>
      <c r="AN205" s="469"/>
      <c r="AQ205" s="465">
        <v>0.44</v>
      </c>
      <c r="AR205" s="465">
        <v>0.42</v>
      </c>
      <c r="AS205" s="465">
        <v>0.42</v>
      </c>
      <c r="AT205" s="465">
        <v>0.42</v>
      </c>
      <c r="AU205" s="465">
        <v>1</v>
      </c>
      <c r="AV205" s="465">
        <v>1</v>
      </c>
      <c r="AW205" s="465">
        <v>0.42</v>
      </c>
      <c r="AX205" s="465">
        <v>0.42</v>
      </c>
    </row>
    <row r="206" spans="1:50" outlineLevel="3" x14ac:dyDescent="0.25">
      <c r="A206" s="45"/>
      <c r="B206" s="54"/>
      <c r="C206" s="87">
        <f t="shared" ref="C206:C212" si="52">INT($C$150)+3</f>
        <v>4</v>
      </c>
      <c r="D206" s="73"/>
      <c r="E206" s="70"/>
      <c r="F206" s="70">
        <f>F205</f>
        <v>3</v>
      </c>
      <c r="G206" s="73"/>
      <c r="H206" s="183" t="str">
        <f>INDEX($M$158:$M$160,INDEX(i_salep_price_type_s7,$F206+1,1)+1,1)&amp;INDEX($L$158:$L$160,INDEX(ia_s8_s7,$F206+1,1)+1,1)</f>
        <v>$/kg DW, DW - Fat score</v>
      </c>
      <c r="I206" s="180">
        <f t="shared" si="51"/>
        <v>14.1</v>
      </c>
      <c r="J206" s="477">
        <f t="shared" si="51"/>
        <v>4.4000000000000004</v>
      </c>
      <c r="K206" s="478">
        <f t="shared" si="51"/>
        <v>4.4000000000000004</v>
      </c>
      <c r="L206" s="478">
        <f t="shared" si="51"/>
        <v>4.4000000000000004</v>
      </c>
      <c r="M206" s="478">
        <f t="shared" si="51"/>
        <v>4.4000000000000004</v>
      </c>
      <c r="N206" s="479">
        <f t="shared" si="51"/>
        <v>2</v>
      </c>
      <c r="O206" s="476">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3"/>
      <c r="AI206" s="57"/>
      <c r="AJ206" s="45"/>
      <c r="AK206" s="45"/>
      <c r="AL206" s="45"/>
      <c r="AM206" s="469"/>
      <c r="AN206" s="469"/>
      <c r="AP206" s="180">
        <v>25</v>
      </c>
      <c r="AQ206" cm="1">
        <f t="array" aca="1" ref="AQ206" ca="1">INDEX(OFFSET($X$181:$AB$187,i_s7_len*(AQ$203-1),0),MATCH($AP206*AQ$205,OFFSET($I$181:$I$187,i_s7_len*(AQ$203-1),0)),MATCH($AR$175,INDEX($J$177:$N$178,1+INDEX(ia_s8_s7,AQ$203,1),0)))</f>
        <v>1</v>
      </c>
      <c r="AR206" cm="1">
        <f t="array" aca="1" ref="AR206" ca="1">INDEX(OFFSET($X$181:$AB$187,i_s7_len*(AR$203-1),0),MATCH($AP206*AR$205,OFFSET($I$181:$I$187,i_s7_len*(AR$203-1),0)),MATCH($AR$175,INDEX($J$177:$N$178,1+INDEX(ia_s8_s7,AR$203,1),0)))</f>
        <v>1</v>
      </c>
      <c r="AS206" cm="1">
        <f t="array" aca="1" ref="AS206" ca="1">INDEX(OFFSET($X$181:$AB$187,i_s7_len*(AS$203-1),0),MATCH($AP206*AS$205,OFFSET($I$181:$I$187,i_s7_len*(AS$203-1),0)),MATCH($AR$175,INDEX($J$177:$N$178,1+INDEX(ia_s8_s7,AS$203,1),0)))</f>
        <v>1</v>
      </c>
      <c r="AT206" cm="1">
        <f t="array" aca="1" ref="AT206" ca="1">INDEX(OFFSET($X$181:$AB$187,i_s7_len*(AT$203-1),0),MATCH($AP206*AT$205,OFFSET($I$181:$I$187,i_s7_len*(AT$203-1),0)),MATCH($AR$175,INDEX($J$177:$N$178,1+INDEX(ia_s8_s7,AT$203,1),0)))</f>
        <v>1</v>
      </c>
      <c r="AU206" cm="1">
        <f t="array" aca="1" ref="AU206" ca="1">INDEX(OFFSET($X$181:$AB$187,i_s7_len*(AU$203-1),0),MATCH($AP206*AU$205,OFFSET($I$181:$I$187,i_s7_len*(AU$203-1),0)),MATCH($AR$175,INDEX($J$177:$N$178,1+INDEX(ia_s8_s7,AU$203,1),0)))</f>
        <v>1</v>
      </c>
      <c r="AV206" cm="1">
        <f t="array" aca="1" ref="AV206" ca="1">INDEX(OFFSET($X$181:$AB$187,i_s7_len*(AV$203-1),0),MATCH($AP206*AV$205,OFFSET($I$181:$I$187,i_s7_len*(AV$203-1),0)),MATCH($AR$175,INDEX($J$177:$N$178,1+INDEX(ia_s8_s7,AV$203,1),0)))</f>
        <v>0.93548387096774188</v>
      </c>
      <c r="AW206" cm="1">
        <f t="array" aca="1" ref="AW206" ca="1">INDEX(OFFSET($X$181:$AB$187,i_s7_len*(AW$203-1),0),MATCH($AP206*AW$205,OFFSET($I$181:$I$187,i_s7_len*(AW$203-1),0)),MATCH($AR$175,INDEX($J$177:$N$178,1+INDEX(ia_s8_s7,AW$203,1),0)))</f>
        <v>1</v>
      </c>
      <c r="AX206" cm="1">
        <f t="array" aca="1" ref="AX206" ca="1">INDEX(OFFSET($X$181:$AB$187,i_s7_len*(AX$203-1),0),MATCH($AP206*AX$205,OFFSET($I$181:$I$187,i_s7_len*(AX$203-1),0)),MATCH($AR$175,INDEX($J$177:$N$178,1+INDEX(ia_s8_s7,AX$203,1),0)))</f>
        <v>0.70710678118654757</v>
      </c>
    </row>
    <row r="207" spans="1:50" outlineLevel="3" x14ac:dyDescent="0.25">
      <c r="A207" s="45"/>
      <c r="B207" s="54"/>
      <c r="C207" s="87">
        <f t="shared" si="52"/>
        <v>4</v>
      </c>
      <c r="D207" s="73"/>
      <c r="E207" s="70"/>
      <c r="F207" s="70">
        <f t="shared" si="45"/>
        <v>3</v>
      </c>
      <c r="G207" s="73"/>
      <c r="H207" s="186" t="s">
        <v>303</v>
      </c>
      <c r="I207" s="180">
        <f t="shared" si="51"/>
        <v>18.100000000000001</v>
      </c>
      <c r="J207" s="477">
        <f t="shared" si="51"/>
        <v>5</v>
      </c>
      <c r="K207" s="478">
        <f t="shared" si="51"/>
        <v>5.2</v>
      </c>
      <c r="L207" s="478">
        <f t="shared" si="51"/>
        <v>5.2</v>
      </c>
      <c r="M207" s="478">
        <f t="shared" si="51"/>
        <v>5.2</v>
      </c>
      <c r="N207" s="479">
        <f t="shared" si="51"/>
        <v>4</v>
      </c>
      <c r="O207" s="476">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3"/>
      <c r="AI207" s="57"/>
      <c r="AJ207" s="45"/>
      <c r="AK207" s="45"/>
      <c r="AL207" s="45"/>
      <c r="AM207" s="469"/>
      <c r="AN207" s="469"/>
      <c r="AP207" s="180">
        <v>35</v>
      </c>
      <c r="AQ207" cm="1">
        <f t="array" aca="1" ref="AQ207" ca="1">INDEX(OFFSET($X$181:$AB$187,i_s7_len*(AQ$203-1),0),MATCH($AP207*AQ$205,OFFSET($I$181:$I$187,i_s7_len*(AQ$203-1),0)),MATCH($AR$175,INDEX($J$177:$N$178,1+INDEX(ia_s8_s7,AQ$203,1),0)))</f>
        <v>1</v>
      </c>
      <c r="AR207" cm="1">
        <f t="array" aca="1" ref="AR207" ca="1">INDEX(OFFSET($X$181:$AB$187,i_s7_len*(AR$203-1),0),MATCH($AP207*AR$205,OFFSET($I$181:$I$187,i_s7_len*(AR$203-1),0)),MATCH($AR$175,INDEX($J$177:$N$178,1+INDEX(ia_s8_s7,AR$203,1),0)))</f>
        <v>1</v>
      </c>
      <c r="AS207" cm="1">
        <f t="array" aca="1" ref="AS207" ca="1">INDEX(OFFSET($X$181:$AB$187,i_s7_len*(AS$203-1),0),MATCH($AP207*AS$205,OFFSET($I$181:$I$187,i_s7_len*(AS$203-1),0)),MATCH($AR$175,INDEX($J$177:$N$178,1+INDEX(ia_s8_s7,AS$203,1),0)))</f>
        <v>1</v>
      </c>
      <c r="AT207" cm="1">
        <f t="array" aca="1" ref="AT207" ca="1">INDEX(OFFSET($X$181:$AB$187,i_s7_len*(AT$203-1),0),MATCH($AP207*AT$205,OFFSET($I$181:$I$187,i_s7_len*(AT$203-1),0)),MATCH($AR$175,INDEX($J$177:$N$178,1+INDEX(ia_s8_s7,AT$203,1),0)))</f>
        <v>1</v>
      </c>
      <c r="AU207" cm="1">
        <f t="array" aca="1" ref="AU207" ca="1">INDEX(OFFSET($X$181:$AB$187,i_s7_len*(AU$203-1),0),MATCH($AP207*AU$205,OFFSET($I$181:$I$187,i_s7_len*(AU$203-1),0)),MATCH($AR$175,INDEX($J$177:$N$178,1+INDEX(ia_s8_s7,AU$203,1),0)))</f>
        <v>1</v>
      </c>
      <c r="AV207" cm="1">
        <f t="array" aca="1" ref="AV207" ca="1">INDEX(OFFSET($X$181:$AB$187,i_s7_len*(AV$203-1),0),MATCH($AP207*AV$205,OFFSET($I$181:$I$187,i_s7_len*(AV$203-1),0)),MATCH($AR$175,INDEX($J$177:$N$178,1+INDEX(ia_s8_s7,AV$203,1),0)))</f>
        <v>0.93548387096774188</v>
      </c>
      <c r="AW207" cm="1">
        <f t="array" aca="1" ref="AW207" ca="1">INDEX(OFFSET($X$181:$AB$187,i_s7_len*(AW$203-1),0),MATCH($AP207*AW$205,OFFSET($I$181:$I$187,i_s7_len*(AW$203-1),0)),MATCH($AR$175,INDEX($J$177:$N$178,1+INDEX(ia_s8_s7,AW$203,1),0)))</f>
        <v>1</v>
      </c>
      <c r="AX207" cm="1">
        <f t="array" aca="1" ref="AX207" ca="1">INDEX(OFFSET($X$181:$AB$187,i_s7_len*(AX$203-1),0),MATCH($AP207*AX$205,OFFSET($I$181:$I$187,i_s7_len*(AX$203-1),0)),MATCH($AR$175,INDEX($J$177:$N$178,1+INDEX(ia_s8_s7,AX$203,1),0)))</f>
        <v>0.70710678118654757</v>
      </c>
    </row>
    <row r="208" spans="1:50" outlineLevel="3" x14ac:dyDescent="0.25">
      <c r="A208" s="45"/>
      <c r="B208" s="54"/>
      <c r="C208" s="87">
        <f t="shared" si="52"/>
        <v>4</v>
      </c>
      <c r="D208" s="73"/>
      <c r="E208" s="70"/>
      <c r="F208" s="70">
        <f t="shared" si="45"/>
        <v>3</v>
      </c>
      <c r="G208" s="73"/>
      <c r="H208" s="76"/>
      <c r="I208" s="180">
        <f t="shared" si="51"/>
        <v>35.1</v>
      </c>
      <c r="J208" s="477">
        <f t="shared" si="51"/>
        <v>4.5</v>
      </c>
      <c r="K208" s="478">
        <f t="shared" si="51"/>
        <v>4.9000000000000004</v>
      </c>
      <c r="L208" s="478">
        <f t="shared" si="51"/>
        <v>4.9000000000000004</v>
      </c>
      <c r="M208" s="478">
        <f t="shared" si="51"/>
        <v>4.9000000000000004</v>
      </c>
      <c r="N208" s="479">
        <f t="shared" si="51"/>
        <v>4</v>
      </c>
      <c r="O208" s="476">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3"/>
      <c r="AI208" s="57"/>
      <c r="AJ208" s="45"/>
      <c r="AK208" s="45"/>
      <c r="AL208" s="45"/>
      <c r="AM208" s="469"/>
      <c r="AN208" s="469"/>
      <c r="AP208" s="180">
        <v>40</v>
      </c>
      <c r="AQ208" cm="1">
        <f t="array" aca="1" ref="AQ208" ca="1">INDEX(OFFSET($X$181:$AB$187,i_s7_len*(AQ$203-1),0),MATCH($AP208*AQ$205,OFFSET($I$181:$I$187,i_s7_len*(AQ$203-1),0)),MATCH($AR$175,INDEX($J$177:$N$178,1+INDEX(ia_s8_s7,AQ$203,1),0)))</f>
        <v>1</v>
      </c>
      <c r="AR208" cm="1">
        <f t="array" aca="1" ref="AR208" ca="1">INDEX(OFFSET($X$181:$AB$187,i_s7_len*(AR$203-1),0),MATCH($AP208*AR$205,OFFSET($I$181:$I$187,i_s7_len*(AR$203-1),0)),MATCH($AR$175,INDEX($J$177:$N$178,1+INDEX(ia_s8_s7,AR$203,1),0)))</f>
        <v>1</v>
      </c>
      <c r="AS208" cm="1">
        <f t="array" aca="1" ref="AS208" ca="1">INDEX(OFFSET($X$181:$AB$187,i_s7_len*(AS$203-1),0),MATCH($AP208*AS$205,OFFSET($I$181:$I$187,i_s7_len*(AS$203-1),0)),MATCH($AR$175,INDEX($J$177:$N$178,1+INDEX(ia_s8_s7,AS$203,1),0)))</f>
        <v>1</v>
      </c>
      <c r="AT208" cm="1">
        <f t="array" aca="1" ref="AT208" ca="1">INDEX(OFFSET($X$181:$AB$187,i_s7_len*(AT$203-1),0),MATCH($AP208*AT$205,OFFSET($I$181:$I$187,i_s7_len*(AT$203-1),0)),MATCH($AR$175,INDEX($J$177:$N$178,1+INDEX(ia_s8_s7,AT$203,1),0)))</f>
        <v>1</v>
      </c>
      <c r="AU208" cm="1">
        <f t="array" aca="1" ref="AU208" ca="1">INDEX(OFFSET($X$181:$AB$187,i_s7_len*(AU$203-1),0),MATCH($AP208*AU$205,OFFSET($I$181:$I$187,i_s7_len*(AU$203-1),0)),MATCH($AR$175,INDEX($J$177:$N$178,1+INDEX(ia_s8_s7,AU$203,1),0)))</f>
        <v>1</v>
      </c>
      <c r="AV208" cm="1">
        <f t="array" aca="1" ref="AV208" ca="1">INDEX(OFFSET($X$181:$AB$187,i_s7_len*(AV$203-1),0),MATCH($AP208*AV$205,OFFSET($I$181:$I$187,i_s7_len*(AV$203-1),0)),MATCH($AR$175,INDEX($J$177:$N$178,1+INDEX(ia_s8_s7,AV$203,1),0)))</f>
        <v>0.93548387096774188</v>
      </c>
      <c r="AW208" cm="1">
        <f t="array" aca="1" ref="AW208" ca="1">INDEX(OFFSET($X$181:$AB$187,i_s7_len*(AW$203-1),0),MATCH($AP208*AW$205,OFFSET($I$181:$I$187,i_s7_len*(AW$203-1),0)),MATCH($AR$175,INDEX($J$177:$N$178,1+INDEX(ia_s8_s7,AW$203,1),0)))</f>
        <v>1</v>
      </c>
      <c r="AX208" cm="1">
        <f t="array" aca="1" ref="AX208" ca="1">INDEX(OFFSET($X$181:$AB$187,i_s7_len*(AX$203-1),0),MATCH($AP208*AX$205,OFFSET($I$181:$I$187,i_s7_len*(AX$203-1),0)),MATCH($AR$175,INDEX($J$177:$N$178,1+INDEX(ia_s8_s7,AX$203,1),0)))</f>
        <v>0.5</v>
      </c>
    </row>
    <row r="209" spans="1:50" outlineLevel="3" x14ac:dyDescent="0.25">
      <c r="A209" s="45"/>
      <c r="B209" s="54"/>
      <c r="C209" s="87">
        <f t="shared" si="52"/>
        <v>4</v>
      </c>
      <c r="D209" s="73"/>
      <c r="E209" s="70"/>
      <c r="F209" s="70">
        <f t="shared" si="45"/>
        <v>3</v>
      </c>
      <c r="G209" s="73"/>
      <c r="H209" s="76"/>
      <c r="I209" s="180">
        <f t="shared" si="51"/>
        <v>40.1</v>
      </c>
      <c r="J209" s="477">
        <f t="shared" si="51"/>
        <v>4.4000000000000004</v>
      </c>
      <c r="K209" s="478">
        <f t="shared" si="51"/>
        <v>4.5999999999999996</v>
      </c>
      <c r="L209" s="478">
        <f t="shared" si="51"/>
        <v>4.5999999999999996</v>
      </c>
      <c r="M209" s="478">
        <f t="shared" si="51"/>
        <v>4.5999999999999996</v>
      </c>
      <c r="N209" s="479">
        <f t="shared" si="51"/>
        <v>4</v>
      </c>
      <c r="O209" s="476">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3"/>
      <c r="AI209" s="57"/>
      <c r="AJ209" s="45"/>
      <c r="AK209" s="45"/>
      <c r="AL209" s="45"/>
      <c r="AM209" s="469"/>
      <c r="AN209" s="469"/>
      <c r="AP209" s="180">
        <v>45</v>
      </c>
      <c r="AQ209" cm="1">
        <f t="array" aca="1" ref="AQ209" ca="1">INDEX(OFFSET($X$181:$AB$187,i_s7_len*(AQ$203-1),0),MATCH($AP209*AQ$205,OFFSET($I$181:$I$187,i_s7_len*(AQ$203-1),0)),MATCH($AR$175,INDEX($J$177:$N$178,1+INDEX(ia_s8_s7,AQ$203,1),0)))</f>
        <v>1</v>
      </c>
      <c r="AR209" cm="1">
        <f t="array" aca="1" ref="AR209" ca="1">INDEX(OFFSET($X$181:$AB$187,i_s7_len*(AR$203-1),0),MATCH($AP209*AR$205,OFFSET($I$181:$I$187,i_s7_len*(AR$203-1),0)),MATCH($AR$175,INDEX($J$177:$N$178,1+INDEX(ia_s8_s7,AR$203,1),0)))</f>
        <v>1</v>
      </c>
      <c r="AS209" cm="1">
        <f t="array" aca="1" ref="AS209" ca="1">INDEX(OFFSET($X$181:$AB$187,i_s7_len*(AS$203-1),0),MATCH($AP209*AS$205,OFFSET($I$181:$I$187,i_s7_len*(AS$203-1),0)),MATCH($AR$175,INDEX($J$177:$N$178,1+INDEX(ia_s8_s7,AS$203,1),0)))</f>
        <v>1</v>
      </c>
      <c r="AT209" cm="1">
        <f t="array" aca="1" ref="AT209" ca="1">INDEX(OFFSET($X$181:$AB$187,i_s7_len*(AT$203-1),0),MATCH($AP209*AT$205,OFFSET($I$181:$I$187,i_s7_len*(AT$203-1),0)),MATCH($AR$175,INDEX($J$177:$N$178,1+INDEX(ia_s8_s7,AT$203,1),0)))</f>
        <v>1</v>
      </c>
      <c r="AU209" cm="1">
        <f t="array" aca="1" ref="AU209" ca="1">INDEX(OFFSET($X$181:$AB$187,i_s7_len*(AU$203-1),0),MATCH($AP209*AU$205,OFFSET($I$181:$I$187,i_s7_len*(AU$203-1),0)),MATCH($AR$175,INDEX($J$177:$N$178,1+INDEX(ia_s8_s7,AU$203,1),0)))</f>
        <v>1</v>
      </c>
      <c r="AV209" cm="1">
        <f t="array" aca="1" ref="AV209" ca="1">INDEX(OFFSET($X$181:$AB$187,i_s7_len*(AV$203-1),0),MATCH($AP209*AV$205,OFFSET($I$181:$I$187,i_s7_len*(AV$203-1),0)),MATCH($AR$175,INDEX($J$177:$N$178,1+INDEX(ia_s8_s7,AV$203,1),0)))</f>
        <v>0.93548387096774188</v>
      </c>
      <c r="AW209" cm="1">
        <f t="array" aca="1" ref="AW209" ca="1">INDEX(OFFSET($X$181:$AB$187,i_s7_len*(AW$203-1),0),MATCH($AP209*AW$205,OFFSET($I$181:$I$187,i_s7_len*(AW$203-1),0)),MATCH($AR$175,INDEX($J$177:$N$178,1+INDEX(ia_s8_s7,AW$203,1),0)))</f>
        <v>1</v>
      </c>
      <c r="AX209" cm="1">
        <f t="array" aca="1" ref="AX209" ca="1">INDEX(OFFSET($X$181:$AB$187,i_s7_len*(AX$203-1),0),MATCH($AP209*AX$205,OFFSET($I$181:$I$187,i_s7_len*(AX$203-1),0)),MATCH($AR$175,INDEX($J$177:$N$178,1+INDEX(ia_s8_s7,AX$203,1),0)))</f>
        <v>0.5</v>
      </c>
    </row>
    <row r="210" spans="1:50" outlineLevel="3" x14ac:dyDescent="0.25">
      <c r="A210" s="45"/>
      <c r="B210" s="54"/>
      <c r="C210" s="87">
        <f t="shared" si="52"/>
        <v>4</v>
      </c>
      <c r="D210" s="73"/>
      <c r="E210" s="70"/>
      <c r="F210" s="70">
        <f t="shared" si="45"/>
        <v>3</v>
      </c>
      <c r="G210" s="73"/>
      <c r="H210" s="76"/>
      <c r="I210" s="180">
        <f t="shared" si="51"/>
        <v>45.1</v>
      </c>
      <c r="J210" s="477">
        <f t="shared" si="51"/>
        <v>4</v>
      </c>
      <c r="K210" s="478">
        <f t="shared" si="51"/>
        <v>4</v>
      </c>
      <c r="L210" s="478">
        <f t="shared" si="51"/>
        <v>4</v>
      </c>
      <c r="M210" s="478">
        <f t="shared" si="51"/>
        <v>4</v>
      </c>
      <c r="N210" s="479">
        <f t="shared" si="51"/>
        <v>4</v>
      </c>
      <c r="O210" s="476">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3"/>
      <c r="AI210" s="57"/>
      <c r="AJ210" s="45"/>
      <c r="AK210" s="45"/>
      <c r="AL210" s="45"/>
      <c r="AM210" s="469"/>
      <c r="AN210" s="469"/>
      <c r="AP210" s="180">
        <v>50</v>
      </c>
      <c r="AQ210" cm="1">
        <f t="array" aca="1" ref="AQ210" ca="1">INDEX(OFFSET($X$181:$AB$187,i_s7_len*(AQ$203-1),0),MATCH($AP210*AQ$205,OFFSET($I$181:$I$187,i_s7_len*(AQ$203-1),0)),MATCH($AR$175,INDEX($J$177:$N$178,1+INDEX(ia_s8_s7,AQ$203,1),0)))</f>
        <v>1</v>
      </c>
      <c r="AR210" cm="1">
        <f t="array" aca="1" ref="AR210" ca="1">INDEX(OFFSET($X$181:$AB$187,i_s7_len*(AR$203-1),0),MATCH($AP210*AR$205,OFFSET($I$181:$I$187,i_s7_len*(AR$203-1),0)),MATCH($AR$175,INDEX($J$177:$N$178,1+INDEX(ia_s8_s7,AR$203,1),0)))</f>
        <v>1</v>
      </c>
      <c r="AS210" cm="1">
        <f t="array" aca="1" ref="AS210" ca="1">INDEX(OFFSET($X$181:$AB$187,i_s7_len*(AS$203-1),0),MATCH($AP210*AS$205,OFFSET($I$181:$I$187,i_s7_len*(AS$203-1),0)),MATCH($AR$175,INDEX($J$177:$N$178,1+INDEX(ia_s8_s7,AS$203,1),0)))</f>
        <v>1</v>
      </c>
      <c r="AT210" cm="1">
        <f t="array" aca="1" ref="AT210" ca="1">INDEX(OFFSET($X$181:$AB$187,i_s7_len*(AT$203-1),0),MATCH($AP210*AT$205,OFFSET($I$181:$I$187,i_s7_len*(AT$203-1),0)),MATCH($AR$175,INDEX($J$177:$N$178,1+INDEX(ia_s8_s7,AT$203,1),0)))</f>
        <v>1</v>
      </c>
      <c r="AU210" cm="1">
        <f t="array" aca="1" ref="AU210" ca="1">INDEX(OFFSET($X$181:$AB$187,i_s7_len*(AU$203-1),0),MATCH($AP210*AU$205,OFFSET($I$181:$I$187,i_s7_len*(AU$203-1),0)),MATCH($AR$175,INDEX($J$177:$N$178,1+INDEX(ia_s8_s7,AU$203,1),0)))</f>
        <v>1</v>
      </c>
      <c r="AV210" cm="1">
        <f t="array" aca="1" ref="AV210" ca="1">INDEX(OFFSET($X$181:$AB$187,i_s7_len*(AV$203-1),0),MATCH($AP210*AV$205,OFFSET($I$181:$I$187,i_s7_len*(AV$203-1),0)),MATCH($AR$175,INDEX($J$177:$N$178,1+INDEX(ia_s8_s7,AV$203,1),0)))</f>
        <v>0.93548387096774188</v>
      </c>
      <c r="AW210" cm="1">
        <f t="array" aca="1" ref="AW210" ca="1">INDEX(OFFSET($X$181:$AB$187,i_s7_len*(AW$203-1),0),MATCH($AP210*AW$205,OFFSET($I$181:$I$187,i_s7_len*(AW$203-1),0)),MATCH($AR$175,INDEX($J$177:$N$178,1+INDEX(ia_s8_s7,AW$203,1),0)))</f>
        <v>1</v>
      </c>
      <c r="AX210" cm="1">
        <f t="array" aca="1" ref="AX210" ca="1">INDEX(OFFSET($X$181:$AB$187,i_s7_len*(AX$203-1),0),MATCH($AP210*AX$205,OFFSET($I$181:$I$187,i_s7_len*(AX$203-1),0)),MATCH($AR$175,INDEX($J$177:$N$178,1+INDEX(ia_s8_s7,AX$203,1),0)))</f>
        <v>0.5</v>
      </c>
    </row>
    <row r="211" spans="1:50" outlineLevel="3" x14ac:dyDescent="0.25">
      <c r="A211" s="45"/>
      <c r="B211" s="54"/>
      <c r="C211" s="87">
        <f t="shared" si="52"/>
        <v>4</v>
      </c>
      <c r="D211" s="73"/>
      <c r="E211" s="70"/>
      <c r="F211" s="70">
        <f t="shared" si="45"/>
        <v>3</v>
      </c>
      <c r="G211" s="73"/>
      <c r="H211" s="76"/>
      <c r="I211" s="180">
        <f t="shared" si="51"/>
        <v>45.1</v>
      </c>
      <c r="J211" s="480">
        <f t="shared" si="51"/>
        <v>4</v>
      </c>
      <c r="K211" s="481">
        <f t="shared" si="51"/>
        <v>4</v>
      </c>
      <c r="L211" s="481">
        <f t="shared" si="51"/>
        <v>4</v>
      </c>
      <c r="M211" s="481">
        <f t="shared" si="51"/>
        <v>4</v>
      </c>
      <c r="N211" s="482">
        <f t="shared" si="51"/>
        <v>4</v>
      </c>
      <c r="O211" s="476">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3"/>
      <c r="AI211" s="57"/>
      <c r="AJ211" s="45"/>
      <c r="AK211" s="45"/>
      <c r="AL211" s="45"/>
      <c r="AM211" s="469"/>
      <c r="AN211" s="469"/>
      <c r="AP211" s="180">
        <v>55</v>
      </c>
      <c r="AQ211" cm="1">
        <f t="array" aca="1" ref="AQ211" ca="1">INDEX(OFFSET($X$181:$AB$187,i_s7_len*(AQ$203-1),0),MATCH($AP211*AQ$205,OFFSET($I$181:$I$187,i_s7_len*(AQ$203-1),0)),MATCH($AR$175,INDEX($J$177:$N$178,1+INDEX(ia_s8_s7,AQ$203,1),0)))</f>
        <v>1</v>
      </c>
      <c r="AR211" cm="1">
        <f t="array" aca="1" ref="AR211" ca="1">INDEX(OFFSET($X$181:$AB$187,i_s7_len*(AR$203-1),0),MATCH($AP211*AR$205,OFFSET($I$181:$I$187,i_s7_len*(AR$203-1),0)),MATCH($AR$175,INDEX($J$177:$N$178,1+INDEX(ia_s8_s7,AR$203,1),0)))</f>
        <v>1</v>
      </c>
      <c r="AS211" cm="1">
        <f t="array" aca="1" ref="AS211" ca="1">INDEX(OFFSET($X$181:$AB$187,i_s7_len*(AS$203-1),0),MATCH($AP211*AS$205,OFFSET($I$181:$I$187,i_s7_len*(AS$203-1),0)),MATCH($AR$175,INDEX($J$177:$N$178,1+INDEX(ia_s8_s7,AS$203,1),0)))</f>
        <v>1</v>
      </c>
      <c r="AT211" cm="1">
        <f t="array" aca="1" ref="AT211" ca="1">INDEX(OFFSET($X$181:$AB$187,i_s7_len*(AT$203-1),0),MATCH($AP211*AT$205,OFFSET($I$181:$I$187,i_s7_len*(AT$203-1),0)),MATCH($AR$175,INDEX($J$177:$N$178,1+INDEX(ia_s8_s7,AT$203,1),0)))</f>
        <v>1</v>
      </c>
      <c r="AU211" cm="1">
        <f t="array" aca="1" ref="AU211" ca="1">INDEX(OFFSET($X$181:$AB$187,i_s7_len*(AU$203-1),0),MATCH($AP211*AU$205,OFFSET($I$181:$I$187,i_s7_len*(AU$203-1),0)),MATCH($AR$175,INDEX($J$177:$N$178,1+INDEX(ia_s8_s7,AU$203,1),0)))</f>
        <v>1</v>
      </c>
      <c r="AV211" cm="1">
        <f t="array" aca="1" ref="AV211" ca="1">INDEX(OFFSET($X$181:$AB$187,i_s7_len*(AV$203-1),0),MATCH($AP211*AV$205,OFFSET($I$181:$I$187,i_s7_len*(AV$203-1),0)),MATCH($AR$175,INDEX($J$177:$N$178,1+INDEX(ia_s8_s7,AV$203,1),0)))</f>
        <v>0.93548387096774188</v>
      </c>
      <c r="AW211" cm="1">
        <f t="array" aca="1" ref="AW211" ca="1">INDEX(OFFSET($X$181:$AB$187,i_s7_len*(AW$203-1),0),MATCH($AP211*AW$205,OFFSET($I$181:$I$187,i_s7_len*(AW$203-1),0)),MATCH($AR$175,INDEX($J$177:$N$178,1+INDEX(ia_s8_s7,AW$203,1),0)))</f>
        <v>1</v>
      </c>
      <c r="AX211" cm="1">
        <f t="array" aca="1" ref="AX211" ca="1">INDEX(OFFSET($X$181:$AB$187,i_s7_len*(AX$203-1),0),MATCH($AP211*AX$205,OFFSET($I$181:$I$187,i_s7_len*(AX$203-1),0)),MATCH($AR$175,INDEX($J$177:$N$178,1+INDEX(ia_s8_s7,AX$203,1),0)))</f>
        <v>0.5</v>
      </c>
    </row>
    <row r="212" spans="1:50" outlineLevel="3" x14ac:dyDescent="0.25">
      <c r="A212" s="45"/>
      <c r="B212" s="54"/>
      <c r="C212" s="87">
        <f t="shared" si="52"/>
        <v>4</v>
      </c>
      <c r="D212" s="73"/>
      <c r="E212" s="70"/>
      <c r="F212" s="70">
        <f t="shared" si="45"/>
        <v>3</v>
      </c>
      <c r="G212" s="73"/>
      <c r="H212" s="76"/>
      <c r="I212" s="96">
        <v>1000</v>
      </c>
      <c r="J212" s="483">
        <v>0</v>
      </c>
      <c r="K212" s="483">
        <v>0</v>
      </c>
      <c r="L212" s="483">
        <v>0</v>
      </c>
      <c r="M212" s="483">
        <v>0</v>
      </c>
      <c r="N212" s="483">
        <v>0</v>
      </c>
      <c r="O212" s="484">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3"/>
      <c r="AI212" s="57"/>
      <c r="AJ212" s="45"/>
      <c r="AK212" s="45"/>
      <c r="AL212" s="45"/>
      <c r="AM212" s="469"/>
      <c r="AN212" s="469"/>
      <c r="AP212" s="180">
        <v>60</v>
      </c>
      <c r="AQ212" cm="1">
        <f t="array" aca="1" ref="AQ212" ca="1">INDEX(OFFSET($X$181:$AB$187,i_s7_len*(AQ$203-1),0),MATCH($AP212*AQ$205,OFFSET($I$181:$I$187,i_s7_len*(AQ$203-1),0)),MATCH($AR$175,INDEX($J$177:$N$178,1+INDEX(ia_s8_s7,AQ$203,1),0)))</f>
        <v>1</v>
      </c>
      <c r="AR212" cm="1">
        <f t="array" aca="1" ref="AR212" ca="1">INDEX(OFFSET($X$181:$AB$187,i_s7_len*(AR$203-1),0),MATCH($AP212*AR$205,OFFSET($I$181:$I$187,i_s7_len*(AR$203-1),0)),MATCH($AR$175,INDEX($J$177:$N$178,1+INDEX(ia_s8_s7,AR$203,1),0)))</f>
        <v>1</v>
      </c>
      <c r="AS212" cm="1">
        <f t="array" aca="1" ref="AS212" ca="1">INDEX(OFFSET($X$181:$AB$187,i_s7_len*(AS$203-1),0),MATCH($AP212*AS$205,OFFSET($I$181:$I$187,i_s7_len*(AS$203-1),0)),MATCH($AR$175,INDEX($J$177:$N$178,1+INDEX(ia_s8_s7,AS$203,1),0)))</f>
        <v>1</v>
      </c>
      <c r="AT212" cm="1">
        <f t="array" aca="1" ref="AT212" ca="1">INDEX(OFFSET($X$181:$AB$187,i_s7_len*(AT$203-1),0),MATCH($AP212*AT$205,OFFSET($I$181:$I$187,i_s7_len*(AT$203-1),0)),MATCH($AR$175,INDEX($J$177:$N$178,1+INDEX(ia_s8_s7,AT$203,1),0)))</f>
        <v>1</v>
      </c>
      <c r="AU212" cm="1">
        <f t="array" aca="1" ref="AU212" ca="1">INDEX(OFFSET($X$181:$AB$187,i_s7_len*(AU$203-1),0),MATCH($AP212*AU$205,OFFSET($I$181:$I$187,i_s7_len*(AU$203-1),0)),MATCH($AR$175,INDEX($J$177:$N$178,1+INDEX(ia_s8_s7,AU$203,1),0)))</f>
        <v>1</v>
      </c>
      <c r="AV212" cm="1">
        <f t="array" aca="1" ref="AV212" ca="1">INDEX(OFFSET($X$181:$AB$187,i_s7_len*(AV$203-1),0),MATCH($AP212*AV$205,OFFSET($I$181:$I$187,i_s7_len*(AV$203-1),0)),MATCH($AR$175,INDEX($J$177:$N$178,1+INDEX(ia_s8_s7,AV$203,1),0)))</f>
        <v>0.93548387096774188</v>
      </c>
      <c r="AW212" cm="1">
        <f t="array" aca="1" ref="AW212" ca="1">INDEX(OFFSET($X$181:$AB$187,i_s7_len*(AW$203-1),0),MATCH($AP212*AW$205,OFFSET($I$181:$I$187,i_s7_len*(AW$203-1),0)),MATCH($AR$175,INDEX($J$177:$N$178,1+INDEX(ia_s8_s7,AW$203,1),0)))</f>
        <v>1</v>
      </c>
      <c r="AX212" cm="1">
        <f t="array" aca="1" ref="AX212" ca="1">INDEX(OFFSET($X$181:$AB$187,i_s7_len*(AX$203-1),0),MATCH($AP212*AX$205,OFFSET($I$181:$I$187,i_s7_len*(AX$203-1),0)),MATCH($AR$175,INDEX($J$177:$N$178,1+INDEX(ia_s8_s7,AX$203,1),0)))</f>
        <v>0.5</v>
      </c>
    </row>
    <row r="213" spans="1:50" outlineLevel="2" x14ac:dyDescent="0.25">
      <c r="A213" s="45"/>
      <c r="B213" s="54"/>
      <c r="C213" s="87">
        <f>INT($C$150)+2</f>
        <v>3</v>
      </c>
      <c r="D213" s="73"/>
      <c r="E213" s="70">
        <v>4</v>
      </c>
      <c r="F213" s="70">
        <f>E213</f>
        <v>4</v>
      </c>
      <c r="G213" s="73"/>
      <c r="H213" s="96" t="str">
        <f>INDEX($H$166:$H$173,$E213+1,1)</f>
        <v>Export wether grid (4)</v>
      </c>
      <c r="I213" s="180">
        <v>25</v>
      </c>
      <c r="J213" s="485">
        <v>26.194567913996277</v>
      </c>
      <c r="K213" s="486">
        <v>26.194567913996277</v>
      </c>
      <c r="L213" s="486">
        <v>26.194567913996277</v>
      </c>
      <c r="M213" s="486">
        <v>26.194567913996277</v>
      </c>
      <c r="N213" s="487">
        <v>17.463045275997519</v>
      </c>
      <c r="O213" s="476">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3"/>
      <c r="AI213" s="57"/>
      <c r="AJ213" s="45"/>
      <c r="AK213" s="45"/>
      <c r="AL213" s="45"/>
      <c r="AM213" s="469"/>
      <c r="AN213" s="469"/>
      <c r="AP213" s="180">
        <v>65</v>
      </c>
      <c r="AQ213" cm="1">
        <f t="array" aca="1" ref="AQ213" ca="1">INDEX(OFFSET($X$181:$AB$187,i_s7_len*(AQ$203-1),0),MATCH($AP213*AQ$205,OFFSET($I$181:$I$187,i_s7_len*(AQ$203-1),0)),MATCH($AR$175,INDEX($J$177:$N$178,1+INDEX(ia_s8_s7,AQ$203,1),0)))</f>
        <v>1</v>
      </c>
      <c r="AR213" cm="1">
        <f t="array" aca="1" ref="AR213" ca="1">INDEX(OFFSET($X$181:$AB$187,i_s7_len*(AR$203-1),0),MATCH($AP213*AR$205,OFFSET($I$181:$I$187,i_s7_len*(AR$203-1),0)),MATCH($AR$175,INDEX($J$177:$N$178,1+INDEX(ia_s8_s7,AR$203,1),0)))</f>
        <v>1</v>
      </c>
      <c r="AS213" cm="1">
        <f t="array" aca="1" ref="AS213" ca="1">INDEX(OFFSET($X$181:$AB$187,i_s7_len*(AS$203-1),0),MATCH($AP213*AS$205,OFFSET($I$181:$I$187,i_s7_len*(AS$203-1),0)),MATCH($AR$175,INDEX($J$177:$N$178,1+INDEX(ia_s8_s7,AS$203,1),0)))</f>
        <v>1</v>
      </c>
      <c r="AT213" cm="1">
        <f t="array" aca="1" ref="AT213" ca="1">INDEX(OFFSET($X$181:$AB$187,i_s7_len*(AT$203-1),0),MATCH($AP213*AT$205,OFFSET($I$181:$I$187,i_s7_len*(AT$203-1),0)),MATCH($AR$175,INDEX($J$177:$N$178,1+INDEX(ia_s8_s7,AT$203,1),0)))</f>
        <v>1</v>
      </c>
      <c r="AU213" cm="1">
        <f t="array" aca="1" ref="AU213" ca="1">INDEX(OFFSET($X$181:$AB$187,i_s7_len*(AU$203-1),0),MATCH($AP213*AU$205,OFFSET($I$181:$I$187,i_s7_len*(AU$203-1),0)),MATCH($AR$175,INDEX($J$177:$N$178,1+INDEX(ia_s8_s7,AU$203,1),0)))</f>
        <v>1</v>
      </c>
      <c r="AV213" cm="1">
        <f t="array" aca="1" ref="AV213" ca="1">INDEX(OFFSET($X$181:$AB$187,i_s7_len*(AV$203-1),0),MATCH($AP213*AV$205,OFFSET($I$181:$I$187,i_s7_len*(AV$203-1),0)),MATCH($AR$175,INDEX($J$177:$N$178,1+INDEX(ia_s8_s7,AV$203,1),0)))</f>
        <v>0.93548387096774188</v>
      </c>
      <c r="AW213" cm="1">
        <f t="array" aca="1" ref="AW213" ca="1">INDEX(OFFSET($X$181:$AB$187,i_s7_len*(AW$203-1),0),MATCH($AP213*AW$205,OFFSET($I$181:$I$187,i_s7_len*(AW$203-1),0)),MATCH($AR$175,INDEX($J$177:$N$178,1+INDEX(ia_s8_s7,AW$203,1),0)))</f>
        <v>1</v>
      </c>
      <c r="AX213" cm="1">
        <f t="array" aca="1" ref="AX213" ca="1">INDEX(OFFSET($X$181:$AB$187,i_s7_len*(AX$203-1),0),MATCH($AP213*AX$205,OFFSET($I$181:$I$187,i_s7_len*(AX$203-1),0)),MATCH($AR$175,INDEX($J$177:$N$178,1+INDEX(ia_s8_s7,AX$203,1),0)))</f>
        <v>0.5</v>
      </c>
    </row>
    <row r="214" spans="1:50" outlineLevel="3" x14ac:dyDescent="0.25">
      <c r="A214" s="45"/>
      <c r="B214" s="54"/>
      <c r="C214" s="87">
        <f t="shared" ref="C214:C220" si="53">INT($C$150)+3</f>
        <v>4</v>
      </c>
      <c r="D214" s="73"/>
      <c r="E214" s="70"/>
      <c r="F214" s="70">
        <f>F213</f>
        <v>4</v>
      </c>
      <c r="G214" s="73"/>
      <c r="H214" s="183" t="str">
        <f>INDEX($M$158:$M$160,INDEX(i_salep_price_type_s7,$F214+1,1)+1,1)&amp;INDEX($L$158:$L$160,INDEX(ia_s8_s7,$F214+1,1)+1,1)</f>
        <v>$/hd, LW - Condition score</v>
      </c>
      <c r="I214" s="180">
        <v>35</v>
      </c>
      <c r="J214" s="488">
        <v>53.786179450072368</v>
      </c>
      <c r="K214" s="489">
        <v>53.786179450072368</v>
      </c>
      <c r="L214" s="489">
        <v>53.786179450072368</v>
      </c>
      <c r="M214" s="478">
        <v>84</v>
      </c>
      <c r="N214" s="479">
        <v>84</v>
      </c>
      <c r="O214" s="476">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4">AVERAGE(Y214,AA214)</f>
        <v>0.88126537955668161</v>
      </c>
      <c r="AA214" s="408">
        <v>1</v>
      </c>
      <c r="AB214" s="409">
        <v>1</v>
      </c>
      <c r="AC214" s="182">
        <v>0</v>
      </c>
      <c r="AD214" s="76"/>
      <c r="AE214" s="76"/>
      <c r="AF214" s="76"/>
      <c r="AG214" s="76"/>
      <c r="AH214" s="73"/>
      <c r="AI214" s="57"/>
      <c r="AJ214" s="45"/>
      <c r="AK214" s="45"/>
      <c r="AL214" s="45"/>
      <c r="AM214" s="469"/>
      <c r="AN214" s="469"/>
      <c r="AP214" s="180">
        <v>70</v>
      </c>
      <c r="AQ214" cm="1">
        <f t="array" aca="1" ref="AQ214" ca="1">INDEX(OFFSET($X$181:$AB$187,i_s7_len*(AQ$203-1),0),MATCH($AP214*AQ$205,OFFSET($I$181:$I$187,i_s7_len*(AQ$203-1),0)),MATCH($AR$175,INDEX($J$177:$N$178,1+INDEX(ia_s8_s7,AQ$203,1),0)))</f>
        <v>1</v>
      </c>
      <c r="AR214" cm="1">
        <f t="array" aca="1" ref="AR214" ca="1">INDEX(OFFSET($X$181:$AB$187,i_s7_len*(AR$203-1),0),MATCH($AP214*AR$205,OFFSET($I$181:$I$187,i_s7_len*(AR$203-1),0)),MATCH($AR$175,INDEX($J$177:$N$178,1+INDEX(ia_s8_s7,AR$203,1),0)))</f>
        <v>1</v>
      </c>
      <c r="AS214" cm="1">
        <f t="array" aca="1" ref="AS214" ca="1">INDEX(OFFSET($X$181:$AB$187,i_s7_len*(AS$203-1),0),MATCH($AP214*AS$205,OFFSET($I$181:$I$187,i_s7_len*(AS$203-1),0)),MATCH($AR$175,INDEX($J$177:$N$178,1+INDEX(ia_s8_s7,AS$203,1),0)))</f>
        <v>1</v>
      </c>
      <c r="AT214" cm="1">
        <f t="array" aca="1" ref="AT214" ca="1">INDEX(OFFSET($X$181:$AB$187,i_s7_len*(AT$203-1),0),MATCH($AP214*AT$205,OFFSET($I$181:$I$187,i_s7_len*(AT$203-1),0)),MATCH($AR$175,INDEX($J$177:$N$178,1+INDEX(ia_s8_s7,AT$203,1),0)))</f>
        <v>1</v>
      </c>
      <c r="AU214" cm="1">
        <f t="array" aca="1" ref="AU214" ca="1">INDEX(OFFSET($X$181:$AB$187,i_s7_len*(AU$203-1),0),MATCH($AP214*AU$205,OFFSET($I$181:$I$187,i_s7_len*(AU$203-1),0)),MATCH($AR$175,INDEX($J$177:$N$178,1+INDEX(ia_s8_s7,AU$203,1),0)))</f>
        <v>1</v>
      </c>
      <c r="AV214" cm="1">
        <f t="array" aca="1" ref="AV214" ca="1">INDEX(OFFSET($X$181:$AB$187,i_s7_len*(AV$203-1),0),MATCH($AP214*AV$205,OFFSET($I$181:$I$187,i_s7_len*(AV$203-1),0)),MATCH($AR$175,INDEX($J$177:$N$178,1+INDEX(ia_s8_s7,AV$203,1),0)))</f>
        <v>0.93548387096774188</v>
      </c>
      <c r="AW214" cm="1">
        <f t="array" aca="1" ref="AW214" ca="1">INDEX(OFFSET($X$181:$AB$187,i_s7_len*(AW$203-1),0),MATCH($AP214*AW$205,OFFSET($I$181:$I$187,i_s7_len*(AW$203-1),0)),MATCH($AR$175,INDEX($J$177:$N$178,1+INDEX(ia_s8_s7,AW$203,1),0)))</f>
        <v>1</v>
      </c>
      <c r="AX214" cm="1">
        <f t="array" aca="1" ref="AX214" ca="1">INDEX(OFFSET($X$181:$AB$187,i_s7_len*(AX$203-1),0),MATCH($AP214*AX$205,OFFSET($I$181:$I$187,i_s7_len*(AX$203-1),0)),MATCH($AR$175,INDEX($J$177:$N$178,1+INDEX(ia_s8_s7,AX$203,1),0)))</f>
        <v>0.5</v>
      </c>
    </row>
    <row r="215" spans="1:50" outlineLevel="3" x14ac:dyDescent="0.25">
      <c r="A215" s="45"/>
      <c r="B215" s="54"/>
      <c r="C215" s="87">
        <f t="shared" si="53"/>
        <v>4</v>
      </c>
      <c r="D215" s="73"/>
      <c r="E215" s="70"/>
      <c r="F215" s="70">
        <f t="shared" si="45"/>
        <v>4</v>
      </c>
      <c r="G215" s="73"/>
      <c r="H215" s="97" t="s">
        <v>304</v>
      </c>
      <c r="I215" s="180">
        <v>40</v>
      </c>
      <c r="J215" s="490">
        <v>69.852181103990077</v>
      </c>
      <c r="K215" s="491">
        <v>72.64626834814969</v>
      </c>
      <c r="L215" s="491">
        <v>72.64626834814969</v>
      </c>
      <c r="M215" s="478">
        <v>92</v>
      </c>
      <c r="N215" s="479">
        <v>92</v>
      </c>
      <c r="O215" s="476">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4"/>
        <v>0.92339371584603569</v>
      </c>
      <c r="AA215" s="408">
        <v>1</v>
      </c>
      <c r="AB215" s="409">
        <v>1</v>
      </c>
      <c r="AC215" s="182">
        <v>0</v>
      </c>
      <c r="AD215" s="76"/>
      <c r="AE215" s="76"/>
      <c r="AF215" s="76"/>
      <c r="AG215" s="76"/>
      <c r="AH215" s="73"/>
      <c r="AI215" s="57"/>
      <c r="AJ215" s="45"/>
      <c r="AK215" s="45"/>
      <c r="AL215" s="45"/>
      <c r="AM215" s="469"/>
      <c r="AN215" s="469"/>
    </row>
    <row r="216" spans="1:50" outlineLevel="3" x14ac:dyDescent="0.25">
      <c r="A216" s="45"/>
      <c r="B216" s="54"/>
      <c r="C216" s="87">
        <f t="shared" si="53"/>
        <v>4</v>
      </c>
      <c r="D216" s="73"/>
      <c r="E216" s="70"/>
      <c r="F216" s="70">
        <f t="shared" si="45"/>
        <v>4</v>
      </c>
      <c r="G216" s="73"/>
      <c r="H216" s="97" t="s">
        <v>2670</v>
      </c>
      <c r="I216" s="180">
        <v>45</v>
      </c>
      <c r="J216" s="490">
        <v>78.583703741988842</v>
      </c>
      <c r="K216" s="491">
        <v>81.727051891668395</v>
      </c>
      <c r="L216" s="491">
        <v>81.727051891668395</v>
      </c>
      <c r="M216" s="478">
        <v>99.000000000000014</v>
      </c>
      <c r="N216" s="479">
        <v>99.000000000000014</v>
      </c>
      <c r="O216" s="476">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4"/>
        <v>0.93290936948910574</v>
      </c>
      <c r="AA216" s="408">
        <v>1</v>
      </c>
      <c r="AB216" s="409">
        <v>1</v>
      </c>
      <c r="AC216" s="182">
        <v>0</v>
      </c>
      <c r="AD216" s="76"/>
      <c r="AE216" s="76"/>
      <c r="AF216" s="76"/>
      <c r="AG216" s="76"/>
      <c r="AH216" s="73"/>
      <c r="AI216" s="57"/>
      <c r="AJ216" s="45"/>
      <c r="AK216" s="45"/>
      <c r="AL216" s="45"/>
      <c r="AM216" s="469"/>
      <c r="AN216" s="469"/>
    </row>
    <row r="217" spans="1:50" outlineLevel="3" x14ac:dyDescent="0.25">
      <c r="A217" s="45"/>
      <c r="B217" s="54"/>
      <c r="C217" s="87">
        <f t="shared" si="53"/>
        <v>4</v>
      </c>
      <c r="D217" s="73"/>
      <c r="E217" s="70"/>
      <c r="F217" s="70">
        <f t="shared" si="45"/>
        <v>4</v>
      </c>
      <c r="G217" s="73"/>
      <c r="H217" s="76"/>
      <c r="I217" s="180">
        <v>50</v>
      </c>
      <c r="J217" s="490">
        <v>87.315226379987593</v>
      </c>
      <c r="K217" s="491">
        <v>90.807835435187116</v>
      </c>
      <c r="L217" s="491">
        <v>90.807835435187116</v>
      </c>
      <c r="M217" s="478">
        <v>105</v>
      </c>
      <c r="N217" s="479">
        <v>105</v>
      </c>
      <c r="O217" s="476">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4"/>
        <v>0.94309686612748744</v>
      </c>
      <c r="AA217" s="408">
        <v>1</v>
      </c>
      <c r="AB217" s="409">
        <v>1</v>
      </c>
      <c r="AC217" s="182">
        <v>0</v>
      </c>
      <c r="AD217" s="76"/>
      <c r="AE217" s="76"/>
      <c r="AF217" s="76"/>
      <c r="AG217" s="76"/>
      <c r="AH217" s="73"/>
      <c r="AI217" s="57"/>
      <c r="AJ217" s="45"/>
      <c r="AK217" s="45"/>
      <c r="AL217" s="45"/>
      <c r="AM217" s="469"/>
      <c r="AN217" s="469"/>
    </row>
    <row r="218" spans="1:50" outlineLevel="3" x14ac:dyDescent="0.25">
      <c r="A218" s="45"/>
      <c r="B218" s="54"/>
      <c r="C218" s="87">
        <f t="shared" si="53"/>
        <v>4</v>
      </c>
      <c r="D218" s="73"/>
      <c r="E218" s="70"/>
      <c r="F218" s="70">
        <f t="shared" si="45"/>
        <v>4</v>
      </c>
      <c r="G218" s="73"/>
      <c r="H218" s="76"/>
      <c r="I218" s="180">
        <v>55</v>
      </c>
      <c r="J218" s="490">
        <v>96.046749017986357</v>
      </c>
      <c r="K218" s="491">
        <v>99.888618978705821</v>
      </c>
      <c r="L218" s="491">
        <v>99.888618978705821</v>
      </c>
      <c r="M218" s="478">
        <v>110</v>
      </c>
      <c r="N218" s="479">
        <v>110</v>
      </c>
      <c r="O218" s="476">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4"/>
        <v>0.95403917717593556</v>
      </c>
      <c r="AA218" s="408">
        <v>1</v>
      </c>
      <c r="AB218" s="409">
        <v>1</v>
      </c>
      <c r="AC218" s="182">
        <v>0</v>
      </c>
      <c r="AD218" s="76"/>
      <c r="AE218" s="76"/>
      <c r="AF218" s="76"/>
      <c r="AG218" s="76"/>
      <c r="AH218" s="73"/>
      <c r="AI218" s="57"/>
      <c r="AJ218" s="45"/>
      <c r="AK218" s="45"/>
      <c r="AL218" s="45"/>
      <c r="AM218" s="469"/>
      <c r="AN218" s="469"/>
    </row>
    <row r="219" spans="1:50" outlineLevel="3" x14ac:dyDescent="0.25">
      <c r="A219" s="45"/>
      <c r="B219" s="54"/>
      <c r="C219" s="87">
        <f t="shared" si="53"/>
        <v>4</v>
      </c>
      <c r="D219" s="73"/>
      <c r="E219" s="70"/>
      <c r="F219" s="70">
        <f t="shared" si="45"/>
        <v>4</v>
      </c>
      <c r="G219" s="73"/>
      <c r="H219" s="76"/>
      <c r="I219" s="180">
        <v>60</v>
      </c>
      <c r="J219" s="492">
        <v>104.77827165598511</v>
      </c>
      <c r="K219" s="493">
        <v>108.96940252222453</v>
      </c>
      <c r="L219" s="493">
        <v>108.96940252222453</v>
      </c>
      <c r="M219" s="481">
        <v>120</v>
      </c>
      <c r="N219" s="482">
        <v>120</v>
      </c>
      <c r="O219" s="476">
        <v>0</v>
      </c>
      <c r="P219" s="181"/>
      <c r="Q219" s="410">
        <v>1</v>
      </c>
      <c r="R219" s="411">
        <v>1</v>
      </c>
      <c r="S219" s="411">
        <v>1</v>
      </c>
      <c r="T219" s="411">
        <v>1</v>
      </c>
      <c r="U219" s="412">
        <v>1</v>
      </c>
      <c r="V219" s="182">
        <v>0</v>
      </c>
      <c r="W219" s="181"/>
      <c r="X219" s="410">
        <v>0.87315226379987587</v>
      </c>
      <c r="Y219" s="411">
        <v>0.90807835435187101</v>
      </c>
      <c r="Z219" s="411">
        <f t="shared" si="54"/>
        <v>0.95403917717593556</v>
      </c>
      <c r="AA219" s="411">
        <v>1</v>
      </c>
      <c r="AB219" s="412">
        <v>1</v>
      </c>
      <c r="AC219" s="182">
        <v>0</v>
      </c>
      <c r="AD219" s="76"/>
      <c r="AE219" s="76"/>
      <c r="AF219" s="76"/>
      <c r="AG219" s="76"/>
      <c r="AH219" s="73"/>
      <c r="AI219" s="57"/>
      <c r="AJ219" s="45"/>
      <c r="AK219" s="45"/>
      <c r="AL219" s="45"/>
      <c r="AM219" s="469"/>
      <c r="AN219" s="469"/>
    </row>
    <row r="220" spans="1:50" outlineLevel="3" x14ac:dyDescent="0.25">
      <c r="A220" s="45"/>
      <c r="B220" s="54"/>
      <c r="C220" s="87">
        <f t="shared" si="53"/>
        <v>4</v>
      </c>
      <c r="D220" s="73"/>
      <c r="E220" s="70"/>
      <c r="F220" s="70">
        <f t="shared" si="45"/>
        <v>4</v>
      </c>
      <c r="G220" s="73"/>
      <c r="H220" s="76"/>
      <c r="I220" s="96">
        <v>1000</v>
      </c>
      <c r="J220" s="483">
        <v>0</v>
      </c>
      <c r="K220" s="483">
        <v>0</v>
      </c>
      <c r="L220" s="483">
        <v>0</v>
      </c>
      <c r="M220" s="483">
        <v>0</v>
      </c>
      <c r="N220" s="483">
        <v>0</v>
      </c>
      <c r="O220" s="484">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3"/>
      <c r="AI220" s="57"/>
      <c r="AJ220" s="45"/>
      <c r="AK220" s="45"/>
      <c r="AL220" s="45"/>
      <c r="AM220" s="469"/>
      <c r="AN220" s="469"/>
    </row>
    <row r="221" spans="1:50" outlineLevel="2" x14ac:dyDescent="0.25">
      <c r="A221" s="45"/>
      <c r="B221" s="54"/>
      <c r="C221" s="87">
        <f>INT($C$150)+2</f>
        <v>3</v>
      </c>
      <c r="D221" s="73"/>
      <c r="E221" s="70">
        <v>5</v>
      </c>
      <c r="F221" s="70">
        <f>E221</f>
        <v>5</v>
      </c>
      <c r="G221" s="73"/>
      <c r="H221" s="96" t="str">
        <f>INDEX($H$166:$H$173,$E221+1,1)</f>
        <v>Breeder grid (5)</v>
      </c>
      <c r="I221" s="180">
        <f>I229/0.43</f>
        <v>23.488372093023255</v>
      </c>
      <c r="J221" s="485">
        <v>23.516900971676659</v>
      </c>
      <c r="K221" s="486">
        <v>23.516900971676659</v>
      </c>
      <c r="L221" s="474">
        <v>130</v>
      </c>
      <c r="M221" s="474">
        <v>145</v>
      </c>
      <c r="N221" s="475">
        <v>155</v>
      </c>
      <c r="O221" s="476">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3"/>
      <c r="AI221" s="57"/>
      <c r="AJ221" s="45"/>
      <c r="AK221" s="45"/>
      <c r="AL221" s="45"/>
      <c r="AM221" s="469"/>
      <c r="AN221" s="469"/>
    </row>
    <row r="222" spans="1:50" outlineLevel="3" x14ac:dyDescent="0.25">
      <c r="A222" s="45"/>
      <c r="B222" s="54"/>
      <c r="C222" s="87">
        <f t="shared" ref="C222:C228" si="55">INT($C$150)+3</f>
        <v>4</v>
      </c>
      <c r="D222" s="73"/>
      <c r="E222" s="70"/>
      <c r="F222" s="70">
        <f>F221</f>
        <v>5</v>
      </c>
      <c r="G222" s="73"/>
      <c r="H222" s="183" t="str">
        <f>INDEX($M$158:$M$160,INDEX(i_salep_price_type_s7,$F222+1,1)+1,1)&amp;INDEX($L$158:$L$160,INDEX(ia_s8_s7,$F222+1,1)+1,1)</f>
        <v>$/hd, LW - Condition score</v>
      </c>
      <c r="I222" s="180">
        <f>I230/0.43</f>
        <v>32.790697674418603</v>
      </c>
      <c r="J222" s="488">
        <v>48.151436841017158</v>
      </c>
      <c r="K222" s="489">
        <v>48.151436841017158</v>
      </c>
      <c r="L222" s="478">
        <v>130</v>
      </c>
      <c r="M222" s="478">
        <v>145</v>
      </c>
      <c r="N222" s="479">
        <v>155</v>
      </c>
      <c r="O222" s="476">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3"/>
      <c r="AI222" s="57"/>
      <c r="AJ222" s="45"/>
      <c r="AK222" s="45"/>
      <c r="AL222" s="45"/>
      <c r="AM222" s="469"/>
      <c r="AN222" s="469"/>
    </row>
    <row r="223" spans="1:50" outlineLevel="3" x14ac:dyDescent="0.25">
      <c r="A223" s="45"/>
      <c r="B223" s="54"/>
      <c r="C223" s="87">
        <f t="shared" si="55"/>
        <v>4</v>
      </c>
      <c r="D223" s="73"/>
      <c r="E223" s="70"/>
      <c r="F223" s="70">
        <f t="shared" si="45"/>
        <v>5</v>
      </c>
      <c r="G223" s="73"/>
      <c r="H223" s="97" t="s">
        <v>305</v>
      </c>
      <c r="I223" s="180">
        <v>40</v>
      </c>
      <c r="J223" s="490">
        <v>66.747639721590517</v>
      </c>
      <c r="K223" s="491">
        <v>69.417545310454145</v>
      </c>
      <c r="L223" s="478">
        <v>130</v>
      </c>
      <c r="M223" s="478">
        <v>145</v>
      </c>
      <c r="N223" s="479">
        <v>155</v>
      </c>
      <c r="O223" s="476">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3"/>
      <c r="AI223" s="57"/>
      <c r="AJ223" s="45"/>
      <c r="AK223" s="45"/>
      <c r="AL223" s="45"/>
      <c r="AM223" s="469"/>
      <c r="AN223" s="469"/>
    </row>
    <row r="224" spans="1:50" outlineLevel="3" x14ac:dyDescent="0.25">
      <c r="A224" s="45"/>
      <c r="B224" s="54"/>
      <c r="C224" s="87">
        <f t="shared" si="55"/>
        <v>4</v>
      </c>
      <c r="D224" s="73"/>
      <c r="E224" s="70"/>
      <c r="F224" s="70">
        <f t="shared" si="45"/>
        <v>5</v>
      </c>
      <c r="G224" s="73"/>
      <c r="H224" s="97" t="s">
        <v>2671</v>
      </c>
      <c r="I224" s="180">
        <f t="shared" ref="I224:I227" si="56">I223</f>
        <v>40</v>
      </c>
      <c r="J224" s="490">
        <v>66.747639721590517</v>
      </c>
      <c r="K224" s="491">
        <v>69.417545310454145</v>
      </c>
      <c r="L224" s="478">
        <v>130</v>
      </c>
      <c r="M224" s="478">
        <v>145</v>
      </c>
      <c r="N224" s="479">
        <v>155</v>
      </c>
      <c r="O224" s="476">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3"/>
      <c r="AI224" s="57"/>
      <c r="AJ224" s="45"/>
      <c r="AK224" s="45"/>
      <c r="AL224" s="45"/>
      <c r="AM224" s="469"/>
      <c r="AN224" s="469"/>
    </row>
    <row r="225" spans="1:40" outlineLevel="3" x14ac:dyDescent="0.25">
      <c r="A225" s="45"/>
      <c r="B225" s="54"/>
      <c r="C225" s="87">
        <f t="shared" si="55"/>
        <v>4</v>
      </c>
      <c r="D225" s="73"/>
      <c r="E225" s="70"/>
      <c r="F225" s="70">
        <f t="shared" si="45"/>
        <v>5</v>
      </c>
      <c r="G225" s="73"/>
      <c r="H225" s="76"/>
      <c r="I225" s="180">
        <f t="shared" si="56"/>
        <v>40</v>
      </c>
      <c r="J225" s="490">
        <v>66.747639721590517</v>
      </c>
      <c r="K225" s="491">
        <v>69.417545310454145</v>
      </c>
      <c r="L225" s="478">
        <v>130</v>
      </c>
      <c r="M225" s="478">
        <v>145</v>
      </c>
      <c r="N225" s="479">
        <v>155</v>
      </c>
      <c r="O225" s="476">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3"/>
      <c r="AI225" s="57"/>
      <c r="AJ225" s="45"/>
      <c r="AK225" s="45"/>
      <c r="AL225" s="45"/>
      <c r="AM225" s="469"/>
      <c r="AN225" s="469"/>
    </row>
    <row r="226" spans="1:40" outlineLevel="3" x14ac:dyDescent="0.25">
      <c r="A226" s="45"/>
      <c r="B226" s="54"/>
      <c r="C226" s="87">
        <f t="shared" si="55"/>
        <v>4</v>
      </c>
      <c r="D226" s="73"/>
      <c r="E226" s="70"/>
      <c r="F226" s="70">
        <f t="shared" si="45"/>
        <v>5</v>
      </c>
      <c r="G226" s="73"/>
      <c r="H226" s="76"/>
      <c r="I226" s="180">
        <f t="shared" si="56"/>
        <v>40</v>
      </c>
      <c r="J226" s="490">
        <v>66.747639721590517</v>
      </c>
      <c r="K226" s="491">
        <v>69.417545310454145</v>
      </c>
      <c r="L226" s="478">
        <v>130</v>
      </c>
      <c r="M226" s="478">
        <v>145</v>
      </c>
      <c r="N226" s="479">
        <v>155</v>
      </c>
      <c r="O226" s="476">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3"/>
      <c r="AI226" s="57"/>
      <c r="AJ226" s="45"/>
      <c r="AK226" s="45"/>
      <c r="AL226" s="45"/>
      <c r="AM226" s="469"/>
      <c r="AN226" s="469"/>
    </row>
    <row r="227" spans="1:40" outlineLevel="3" x14ac:dyDescent="0.25">
      <c r="A227" s="45"/>
      <c r="B227" s="54"/>
      <c r="C227" s="87">
        <f t="shared" si="55"/>
        <v>4</v>
      </c>
      <c r="D227" s="73"/>
      <c r="E227" s="70"/>
      <c r="F227" s="70">
        <f t="shared" si="45"/>
        <v>5</v>
      </c>
      <c r="G227" s="73"/>
      <c r="H227" s="76"/>
      <c r="I227" s="180">
        <f t="shared" si="56"/>
        <v>40</v>
      </c>
      <c r="J227" s="492">
        <v>66.747639721590517</v>
      </c>
      <c r="K227" s="493">
        <v>69.417545310454145</v>
      </c>
      <c r="L227" s="481">
        <v>130</v>
      </c>
      <c r="M227" s="481">
        <v>145</v>
      </c>
      <c r="N227" s="482">
        <v>155</v>
      </c>
      <c r="O227" s="476">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3"/>
      <c r="AI227" s="57"/>
      <c r="AJ227" s="45"/>
      <c r="AK227" s="45"/>
      <c r="AL227" s="45"/>
      <c r="AM227" s="469"/>
      <c r="AN227" s="469"/>
    </row>
    <row r="228" spans="1:40" outlineLevel="3" x14ac:dyDescent="0.25">
      <c r="A228" s="45"/>
      <c r="B228" s="54"/>
      <c r="C228" s="87">
        <f t="shared" si="55"/>
        <v>4</v>
      </c>
      <c r="D228" s="73"/>
      <c r="E228" s="70"/>
      <c r="F228" s="70">
        <f t="shared" si="45"/>
        <v>5</v>
      </c>
      <c r="G228" s="73"/>
      <c r="H228" s="76"/>
      <c r="I228" s="96">
        <v>1000</v>
      </c>
      <c r="J228" s="483">
        <v>0</v>
      </c>
      <c r="K228" s="483">
        <v>0</v>
      </c>
      <c r="L228" s="483">
        <v>0</v>
      </c>
      <c r="M228" s="483">
        <v>0</v>
      </c>
      <c r="N228" s="483">
        <v>0</v>
      </c>
      <c r="O228" s="484">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3"/>
      <c r="AI228" s="57"/>
      <c r="AJ228" s="45"/>
      <c r="AK228" s="45"/>
      <c r="AL228" s="45"/>
      <c r="AM228" s="469"/>
      <c r="AN228" s="469"/>
    </row>
    <row r="229" spans="1:40" outlineLevel="2" x14ac:dyDescent="0.25">
      <c r="A229" s="45"/>
      <c r="B229" s="54"/>
      <c r="C229" s="87">
        <f>INT($C$150)+2</f>
        <v>3</v>
      </c>
      <c r="D229" s="73"/>
      <c r="E229" s="70">
        <v>6</v>
      </c>
      <c r="F229" s="70">
        <f>E229</f>
        <v>6</v>
      </c>
      <c r="G229" s="73"/>
      <c r="H229" s="96" t="str">
        <f>INDEX($H$166:$H$173,$E229+1,1)</f>
        <v>Mutton grid (6)</v>
      </c>
      <c r="I229" s="180">
        <v>10.1</v>
      </c>
      <c r="J229" s="473">
        <v>3</v>
      </c>
      <c r="K229" s="474">
        <v>3</v>
      </c>
      <c r="L229" s="474">
        <v>3</v>
      </c>
      <c r="M229" s="474">
        <v>3</v>
      </c>
      <c r="N229" s="475">
        <v>2</v>
      </c>
      <c r="O229" s="476">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3"/>
      <c r="AI229" s="57"/>
      <c r="AJ229" s="45"/>
      <c r="AK229" s="45"/>
      <c r="AL229" s="45"/>
      <c r="AM229" s="469"/>
      <c r="AN229" s="469"/>
    </row>
    <row r="230" spans="1:40" outlineLevel="3" x14ac:dyDescent="0.25">
      <c r="A230" s="45"/>
      <c r="B230" s="54"/>
      <c r="C230" s="87">
        <f t="shared" ref="C230:C236" si="57">INT($C$150)+3</f>
        <v>4</v>
      </c>
      <c r="D230" s="73"/>
      <c r="E230" s="70"/>
      <c r="F230" s="70">
        <f>F229</f>
        <v>6</v>
      </c>
      <c r="G230" s="73"/>
      <c r="H230" s="183" t="str">
        <f>INDEX($M$158:$M$160,INDEX(i_salep_price_type_s7,$F230+1,1)+1,1)&amp;INDEX($L$158:$L$160,INDEX(ia_s8_s7,$F230+1,1)+1,1)</f>
        <v>$/kg DW, DW - Fat score</v>
      </c>
      <c r="I230" s="180">
        <v>14.1</v>
      </c>
      <c r="J230" s="477">
        <v>4.4000000000000004</v>
      </c>
      <c r="K230" s="478">
        <v>4.4000000000000004</v>
      </c>
      <c r="L230" s="478">
        <v>4.4000000000000004</v>
      </c>
      <c r="M230" s="478">
        <v>4.4000000000000004</v>
      </c>
      <c r="N230" s="479">
        <v>2</v>
      </c>
      <c r="O230" s="476">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3"/>
      <c r="AI230" s="57"/>
      <c r="AJ230" s="45"/>
      <c r="AK230" s="45"/>
      <c r="AL230" s="45"/>
      <c r="AM230" s="469"/>
      <c r="AN230" s="469"/>
    </row>
    <row r="231" spans="1:40" outlineLevel="3" x14ac:dyDescent="0.25">
      <c r="A231" s="45"/>
      <c r="B231" s="54"/>
      <c r="C231" s="87">
        <f t="shared" si="57"/>
        <v>4</v>
      </c>
      <c r="D231" s="73"/>
      <c r="E231" s="70"/>
      <c r="F231" s="70">
        <f t="shared" si="45"/>
        <v>6</v>
      </c>
      <c r="G231" s="73"/>
      <c r="H231" s="97" t="s">
        <v>306</v>
      </c>
      <c r="I231" s="180">
        <v>18.100000000000001</v>
      </c>
      <c r="J231" s="477">
        <v>5</v>
      </c>
      <c r="K231" s="478">
        <v>5.2</v>
      </c>
      <c r="L231" s="478">
        <v>5.2</v>
      </c>
      <c r="M231" s="478">
        <v>5.2</v>
      </c>
      <c r="N231" s="479">
        <v>4</v>
      </c>
      <c r="O231" s="476">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3"/>
      <c r="AI231" s="57"/>
      <c r="AJ231" s="45"/>
      <c r="AK231" s="45"/>
      <c r="AL231" s="45"/>
      <c r="AM231" s="469"/>
      <c r="AN231" s="469"/>
    </row>
    <row r="232" spans="1:40" outlineLevel="3" x14ac:dyDescent="0.25">
      <c r="A232" s="45"/>
      <c r="B232" s="54"/>
      <c r="C232" s="87">
        <f t="shared" si="57"/>
        <v>4</v>
      </c>
      <c r="D232" s="73"/>
      <c r="E232" s="70"/>
      <c r="F232" s="70">
        <f t="shared" si="45"/>
        <v>6</v>
      </c>
      <c r="G232" s="73"/>
      <c r="H232" s="76"/>
      <c r="I232" s="180">
        <v>35.1</v>
      </c>
      <c r="J232" s="477">
        <v>4.5</v>
      </c>
      <c r="K232" s="478">
        <v>4.9000000000000004</v>
      </c>
      <c r="L232" s="478">
        <v>4.9000000000000004</v>
      </c>
      <c r="M232" s="478">
        <v>4.9000000000000004</v>
      </c>
      <c r="N232" s="479">
        <v>4</v>
      </c>
      <c r="O232" s="476">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3"/>
      <c r="AI232" s="57"/>
      <c r="AJ232" s="45"/>
      <c r="AK232" s="45"/>
      <c r="AL232" s="45"/>
      <c r="AM232" s="469"/>
      <c r="AN232" s="469"/>
    </row>
    <row r="233" spans="1:40" outlineLevel="3" x14ac:dyDescent="0.25">
      <c r="A233" s="45"/>
      <c r="B233" s="54"/>
      <c r="C233" s="87">
        <f t="shared" si="57"/>
        <v>4</v>
      </c>
      <c r="D233" s="73"/>
      <c r="E233" s="70"/>
      <c r="F233" s="70">
        <f t="shared" si="45"/>
        <v>6</v>
      </c>
      <c r="G233" s="73"/>
      <c r="H233" s="76"/>
      <c r="I233" s="180">
        <v>40.1</v>
      </c>
      <c r="J233" s="477">
        <v>4.4000000000000004</v>
      </c>
      <c r="K233" s="478">
        <v>4.5999999999999996</v>
      </c>
      <c r="L233" s="478">
        <v>4.5999999999999996</v>
      </c>
      <c r="M233" s="478">
        <v>4.5999999999999996</v>
      </c>
      <c r="N233" s="479">
        <v>4</v>
      </c>
      <c r="O233" s="476">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3"/>
      <c r="AI233" s="57"/>
      <c r="AJ233" s="45"/>
      <c r="AK233" s="45"/>
      <c r="AL233" s="45"/>
      <c r="AM233" s="469"/>
      <c r="AN233" s="469"/>
    </row>
    <row r="234" spans="1:40" outlineLevel="3" x14ac:dyDescent="0.25">
      <c r="A234" s="45"/>
      <c r="B234" s="54"/>
      <c r="C234" s="87">
        <f t="shared" si="57"/>
        <v>4</v>
      </c>
      <c r="D234" s="73"/>
      <c r="E234" s="70"/>
      <c r="F234" s="70">
        <f t="shared" si="45"/>
        <v>6</v>
      </c>
      <c r="G234" s="73"/>
      <c r="H234" s="76"/>
      <c r="I234" s="180">
        <v>45.1</v>
      </c>
      <c r="J234" s="477">
        <v>4</v>
      </c>
      <c r="K234" s="478">
        <v>4</v>
      </c>
      <c r="L234" s="478">
        <v>4</v>
      </c>
      <c r="M234" s="478">
        <v>4</v>
      </c>
      <c r="N234" s="479">
        <v>4</v>
      </c>
      <c r="O234" s="476">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3"/>
      <c r="AI234" s="57"/>
      <c r="AJ234" s="45"/>
      <c r="AK234" s="45"/>
      <c r="AL234" s="45"/>
      <c r="AM234" s="469"/>
      <c r="AN234" s="469"/>
    </row>
    <row r="235" spans="1:40" outlineLevel="3" x14ac:dyDescent="0.25">
      <c r="A235" s="45"/>
      <c r="B235" s="54"/>
      <c r="C235" s="87">
        <f t="shared" si="57"/>
        <v>4</v>
      </c>
      <c r="D235" s="73"/>
      <c r="E235" s="70"/>
      <c r="F235" s="70">
        <f t="shared" si="45"/>
        <v>6</v>
      </c>
      <c r="G235" s="73"/>
      <c r="H235" s="76"/>
      <c r="I235" s="180">
        <f t="shared" ref="I235:N235" si="58">I234</f>
        <v>45.1</v>
      </c>
      <c r="J235" s="494">
        <f t="shared" si="58"/>
        <v>4</v>
      </c>
      <c r="K235" s="495">
        <f t="shared" si="58"/>
        <v>4</v>
      </c>
      <c r="L235" s="495">
        <f t="shared" si="58"/>
        <v>4</v>
      </c>
      <c r="M235" s="495">
        <f t="shared" si="58"/>
        <v>4</v>
      </c>
      <c r="N235" s="496">
        <f t="shared" si="58"/>
        <v>4</v>
      </c>
      <c r="O235" s="476">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3"/>
      <c r="AI235" s="57"/>
      <c r="AJ235" s="45"/>
      <c r="AK235" s="45"/>
      <c r="AL235" s="45"/>
      <c r="AM235" s="469"/>
      <c r="AN235" s="469"/>
    </row>
    <row r="236" spans="1:40" outlineLevel="3" x14ac:dyDescent="0.25">
      <c r="A236" s="45"/>
      <c r="B236" s="54"/>
      <c r="C236" s="87">
        <f t="shared" si="57"/>
        <v>4</v>
      </c>
      <c r="D236" s="73"/>
      <c r="E236" s="70"/>
      <c r="F236" s="70">
        <f t="shared" si="45"/>
        <v>6</v>
      </c>
      <c r="G236" s="73"/>
      <c r="H236" s="76"/>
      <c r="I236" s="96">
        <v>1000</v>
      </c>
      <c r="J236" s="483">
        <v>0</v>
      </c>
      <c r="K236" s="483">
        <v>0</v>
      </c>
      <c r="L236" s="483">
        <v>0</v>
      </c>
      <c r="M236" s="483">
        <v>0</v>
      </c>
      <c r="N236" s="483">
        <v>0</v>
      </c>
      <c r="O236" s="484">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3"/>
      <c r="AI236" s="57"/>
      <c r="AJ236" s="45"/>
      <c r="AK236" s="45"/>
      <c r="AL236" s="45"/>
      <c r="AM236" s="469"/>
      <c r="AN236" s="469"/>
    </row>
    <row r="237" spans="1:40" outlineLevel="2" x14ac:dyDescent="0.25">
      <c r="A237" s="45"/>
      <c r="B237" s="54"/>
      <c r="C237" s="87">
        <f>INT($C$150)+2</f>
        <v>3</v>
      </c>
      <c r="D237" s="73"/>
      <c r="E237" s="70">
        <v>7</v>
      </c>
      <c r="F237" s="70">
        <f>E237</f>
        <v>7</v>
      </c>
      <c r="G237" s="73"/>
      <c r="H237" s="96" t="str">
        <f>INDEX($H$166:$H$173,$E237+1,1)</f>
        <v>Ram grid (7)</v>
      </c>
      <c r="I237" s="180">
        <v>10</v>
      </c>
      <c r="J237" s="473">
        <v>1</v>
      </c>
      <c r="K237" s="474">
        <v>1</v>
      </c>
      <c r="L237" s="474">
        <v>1</v>
      </c>
      <c r="M237" s="474">
        <v>1</v>
      </c>
      <c r="N237" s="475">
        <v>1</v>
      </c>
      <c r="O237" s="476">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3"/>
      <c r="AI237" s="57"/>
      <c r="AJ237" s="45"/>
      <c r="AK237" s="45"/>
      <c r="AL237" s="45"/>
      <c r="AM237" s="469"/>
      <c r="AN237" s="469"/>
    </row>
    <row r="238" spans="1:40" outlineLevel="3" x14ac:dyDescent="0.25">
      <c r="A238" s="45"/>
      <c r="B238" s="54"/>
      <c r="C238" s="87">
        <f t="shared" ref="C238:C244" si="59">INT($C$150)+3</f>
        <v>4</v>
      </c>
      <c r="D238" s="73"/>
      <c r="E238" s="70"/>
      <c r="F238" s="70">
        <f>F237</f>
        <v>7</v>
      </c>
      <c r="G238" s="73"/>
      <c r="H238" s="183" t="str">
        <f>INDEX($M$158:$M$160,INDEX(i_salep_price_type_s7,$F238+1,1)+1,1)&amp;INDEX($L$158:$L$160,INDEX(ia_s8_s7,$F238+1,1)+1,1)</f>
        <v>$/kg DW, DW - Fat score</v>
      </c>
      <c r="I238" s="180">
        <v>16.100000000000001</v>
      </c>
      <c r="J238" s="477">
        <v>2</v>
      </c>
      <c r="K238" s="478">
        <v>2</v>
      </c>
      <c r="L238" s="478">
        <v>1</v>
      </c>
      <c r="M238" s="478">
        <v>1</v>
      </c>
      <c r="N238" s="479">
        <v>1</v>
      </c>
      <c r="O238" s="476">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3"/>
      <c r="AI238" s="57"/>
      <c r="AJ238" s="45"/>
      <c r="AK238" s="45"/>
      <c r="AL238" s="45"/>
      <c r="AM238" s="469"/>
      <c r="AN238" s="469"/>
    </row>
    <row r="239" spans="1:40" outlineLevel="3" x14ac:dyDescent="0.25">
      <c r="A239" s="45"/>
      <c r="B239" s="54"/>
      <c r="C239" s="87">
        <f t="shared" si="59"/>
        <v>4</v>
      </c>
      <c r="D239" s="73"/>
      <c r="E239" s="70"/>
      <c r="F239" s="70">
        <f t="shared" si="45"/>
        <v>7</v>
      </c>
      <c r="G239" s="73"/>
      <c r="H239" s="97" t="s">
        <v>307</v>
      </c>
      <c r="I239" s="180">
        <v>30</v>
      </c>
      <c r="J239" s="477">
        <v>1</v>
      </c>
      <c r="K239" s="478">
        <v>1</v>
      </c>
      <c r="L239" s="478">
        <v>1</v>
      </c>
      <c r="M239" s="478">
        <v>1</v>
      </c>
      <c r="N239" s="479">
        <v>1</v>
      </c>
      <c r="O239" s="476">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3"/>
      <c r="AI239" s="57"/>
      <c r="AJ239" s="45"/>
      <c r="AK239" s="45"/>
      <c r="AL239" s="45"/>
      <c r="AM239" s="469"/>
      <c r="AN239" s="469"/>
    </row>
    <row r="240" spans="1:40" outlineLevel="3" x14ac:dyDescent="0.25">
      <c r="A240" s="45"/>
      <c r="B240" s="54"/>
      <c r="C240" s="87">
        <f t="shared" si="59"/>
        <v>4</v>
      </c>
      <c r="D240" s="73"/>
      <c r="E240" s="70"/>
      <c r="F240" s="70">
        <f t="shared" si="45"/>
        <v>7</v>
      </c>
      <c r="G240" s="73"/>
      <c r="H240" s="76"/>
      <c r="I240" s="180">
        <f t="shared" ref="I240:N243" si="60">I239</f>
        <v>30</v>
      </c>
      <c r="J240" s="497">
        <f t="shared" si="60"/>
        <v>1</v>
      </c>
      <c r="K240" s="498">
        <f t="shared" si="60"/>
        <v>1</v>
      </c>
      <c r="L240" s="498">
        <f t="shared" si="60"/>
        <v>1</v>
      </c>
      <c r="M240" s="498">
        <f t="shared" si="60"/>
        <v>1</v>
      </c>
      <c r="N240" s="499">
        <f t="shared" si="60"/>
        <v>1</v>
      </c>
      <c r="O240" s="476">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3"/>
      <c r="AI240" s="57"/>
      <c r="AJ240" s="45"/>
      <c r="AK240" s="45"/>
      <c r="AL240" s="45"/>
      <c r="AM240" s="469"/>
      <c r="AN240" s="469"/>
    </row>
    <row r="241" spans="1:40" outlineLevel="3" x14ac:dyDescent="0.25">
      <c r="A241" s="45"/>
      <c r="B241" s="54"/>
      <c r="C241" s="87">
        <f t="shared" si="59"/>
        <v>4</v>
      </c>
      <c r="D241" s="73"/>
      <c r="E241" s="70"/>
      <c r="F241" s="70">
        <f t="shared" si="45"/>
        <v>7</v>
      </c>
      <c r="G241" s="73"/>
      <c r="H241" s="76"/>
      <c r="I241" s="180">
        <f t="shared" si="60"/>
        <v>30</v>
      </c>
      <c r="J241" s="497">
        <f t="shared" si="60"/>
        <v>1</v>
      </c>
      <c r="K241" s="498">
        <f t="shared" si="60"/>
        <v>1</v>
      </c>
      <c r="L241" s="498">
        <f t="shared" si="60"/>
        <v>1</v>
      </c>
      <c r="M241" s="498">
        <f t="shared" si="60"/>
        <v>1</v>
      </c>
      <c r="N241" s="499">
        <f t="shared" si="60"/>
        <v>1</v>
      </c>
      <c r="O241" s="476">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3"/>
      <c r="AI241" s="57"/>
      <c r="AJ241" s="45"/>
      <c r="AK241" s="45"/>
      <c r="AL241" s="45"/>
      <c r="AM241" s="469"/>
      <c r="AN241" s="469"/>
    </row>
    <row r="242" spans="1:40" outlineLevel="3" x14ac:dyDescent="0.25">
      <c r="A242" s="45"/>
      <c r="B242" s="54"/>
      <c r="C242" s="87">
        <f t="shared" si="59"/>
        <v>4</v>
      </c>
      <c r="D242" s="73"/>
      <c r="E242" s="70"/>
      <c r="F242" s="70">
        <f t="shared" si="45"/>
        <v>7</v>
      </c>
      <c r="G242" s="73"/>
      <c r="H242" s="76"/>
      <c r="I242" s="180">
        <f t="shared" si="60"/>
        <v>30</v>
      </c>
      <c r="J242" s="497">
        <f t="shared" si="60"/>
        <v>1</v>
      </c>
      <c r="K242" s="498">
        <f t="shared" si="60"/>
        <v>1</v>
      </c>
      <c r="L242" s="498">
        <f t="shared" si="60"/>
        <v>1</v>
      </c>
      <c r="M242" s="498">
        <f t="shared" si="60"/>
        <v>1</v>
      </c>
      <c r="N242" s="499">
        <f t="shared" si="60"/>
        <v>1</v>
      </c>
      <c r="O242" s="476">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3"/>
      <c r="AI242" s="57"/>
      <c r="AJ242" s="45"/>
      <c r="AK242" s="45"/>
      <c r="AL242" s="45"/>
      <c r="AM242" s="469"/>
      <c r="AN242" s="469"/>
    </row>
    <row r="243" spans="1:40" outlineLevel="3" x14ac:dyDescent="0.25">
      <c r="A243" s="45"/>
      <c r="B243" s="54"/>
      <c r="C243" s="87">
        <f t="shared" si="59"/>
        <v>4</v>
      </c>
      <c r="D243" s="73"/>
      <c r="E243" s="70"/>
      <c r="F243" s="70">
        <f t="shared" si="45"/>
        <v>7</v>
      </c>
      <c r="G243" s="73"/>
      <c r="H243" s="76"/>
      <c r="I243" s="180">
        <f t="shared" si="60"/>
        <v>30</v>
      </c>
      <c r="J243" s="494">
        <f t="shared" si="60"/>
        <v>1</v>
      </c>
      <c r="K243" s="495">
        <f t="shared" si="60"/>
        <v>1</v>
      </c>
      <c r="L243" s="495">
        <f t="shared" si="60"/>
        <v>1</v>
      </c>
      <c r="M243" s="495">
        <f t="shared" si="60"/>
        <v>1</v>
      </c>
      <c r="N243" s="496">
        <f t="shared" si="60"/>
        <v>1</v>
      </c>
      <c r="O243" s="476">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3"/>
      <c r="AI243" s="57"/>
      <c r="AJ243" s="45"/>
      <c r="AK243" s="45"/>
      <c r="AL243" s="45"/>
      <c r="AM243" s="469"/>
      <c r="AN243" s="469"/>
    </row>
    <row r="244" spans="1:40" outlineLevel="3" x14ac:dyDescent="0.25">
      <c r="A244" s="45"/>
      <c r="B244" s="54"/>
      <c r="C244" s="87">
        <f t="shared" si="59"/>
        <v>4</v>
      </c>
      <c r="D244" s="73"/>
      <c r="E244" s="70"/>
      <c r="F244" s="70">
        <f t="shared" si="45"/>
        <v>7</v>
      </c>
      <c r="G244" s="73"/>
      <c r="H244" s="76"/>
      <c r="I244" s="96">
        <v>1000</v>
      </c>
      <c r="J244" s="483">
        <v>0</v>
      </c>
      <c r="K244" s="483">
        <v>0</v>
      </c>
      <c r="L244" s="483">
        <v>0</v>
      </c>
      <c r="M244" s="483">
        <v>0</v>
      </c>
      <c r="N244" s="483">
        <v>0</v>
      </c>
      <c r="O244" s="484">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3"/>
      <c r="AI244" s="57"/>
      <c r="AJ244" s="45"/>
      <c r="AK244" s="45"/>
      <c r="AL244" s="45"/>
      <c r="AM244" s="469"/>
      <c r="AN244" s="469"/>
    </row>
    <row r="245" spans="1:40"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c r="AM245" s="469"/>
      <c r="AN245" s="469"/>
    </row>
    <row r="246" spans="1:40"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c r="AM246" s="469"/>
      <c r="AN246" s="469"/>
    </row>
    <row r="247" spans="1:40"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c r="AM247" s="469"/>
      <c r="AN247" s="469"/>
    </row>
    <row r="248" spans="1:40"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c r="AM248" s="469"/>
      <c r="AN248" s="469"/>
    </row>
    <row r="249" spans="1:40"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c r="AM249" s="469"/>
      <c r="AN249" s="469"/>
    </row>
    <row r="250" spans="1:40"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3"/>
      <c r="AI250" s="57"/>
      <c r="AJ250" s="45"/>
      <c r="AK250" s="45"/>
      <c r="AL250" s="45"/>
      <c r="AM250" s="469"/>
      <c r="AN250" s="469"/>
    </row>
    <row r="251" spans="1:40"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3"/>
      <c r="AI251" s="57"/>
      <c r="AJ251" s="45"/>
      <c r="AK251" s="45"/>
      <c r="AL251" s="45"/>
      <c r="AM251" s="469"/>
      <c r="AN251" s="469"/>
    </row>
    <row r="252" spans="1:40"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3"/>
      <c r="AI252" s="57"/>
      <c r="AJ252" s="45"/>
      <c r="AK252" s="45"/>
      <c r="AL252" s="45"/>
      <c r="AM252" s="469"/>
      <c r="AN252" s="469"/>
    </row>
    <row r="253" spans="1:40"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3"/>
      <c r="AI253" s="57"/>
      <c r="AJ253" s="45"/>
      <c r="AK253" s="45"/>
      <c r="AL253" s="45"/>
      <c r="AM253" s="469"/>
      <c r="AN253" s="469"/>
    </row>
    <row r="254" spans="1:40"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3"/>
      <c r="AI254" s="57"/>
      <c r="AJ254" s="45"/>
      <c r="AK254" s="45"/>
      <c r="AL254" s="45"/>
      <c r="AM254" s="469"/>
      <c r="AN254" s="469"/>
    </row>
    <row r="255" spans="1:40"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3"/>
      <c r="AI255" s="57"/>
      <c r="AJ255" s="45"/>
      <c r="AK255" s="45"/>
      <c r="AL255" s="45"/>
      <c r="AM255" s="469"/>
      <c r="AN255" s="469"/>
    </row>
    <row r="256" spans="1:40"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3"/>
      <c r="AI256" s="57"/>
      <c r="AJ256" s="45"/>
      <c r="AK256" s="45"/>
      <c r="AL256" s="45"/>
      <c r="AM256" s="469"/>
      <c r="AN256" s="469"/>
    </row>
    <row r="257" spans="1:40"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3"/>
      <c r="AI257" s="57"/>
      <c r="AJ257" s="45"/>
      <c r="AK257" s="45"/>
      <c r="AL257" s="45"/>
      <c r="AM257" s="469"/>
      <c r="AN257" s="469"/>
    </row>
    <row r="258" spans="1:40"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3"/>
      <c r="AI258" s="57"/>
      <c r="AJ258" s="45"/>
      <c r="AK258" s="45"/>
      <c r="AL258" s="45"/>
      <c r="AM258" s="469"/>
      <c r="AN258" s="469"/>
    </row>
    <row r="259" spans="1:40"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3"/>
      <c r="AI259" s="57"/>
      <c r="AJ259" s="45"/>
      <c r="AK259" s="45"/>
      <c r="AL259" s="45"/>
      <c r="AM259" s="469"/>
      <c r="AN259" s="469"/>
    </row>
    <row r="260" spans="1:40"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3"/>
      <c r="AI260" s="57"/>
      <c r="AJ260" s="45"/>
      <c r="AK260" s="45"/>
      <c r="AL260" s="45"/>
      <c r="AM260" s="469"/>
      <c r="AN260" s="469"/>
    </row>
    <row r="261" spans="1:40" outlineLevel="3" x14ac:dyDescent="0.25">
      <c r="A261" s="45"/>
      <c r="B261" s="54"/>
      <c r="C261" s="87">
        <f>INT($C$150)+3</f>
        <v>4</v>
      </c>
      <c r="D261" s="73"/>
      <c r="E261" s="70"/>
      <c r="F261" s="70"/>
      <c r="G261" s="73"/>
      <c r="H261" s="188" t="s">
        <v>330</v>
      </c>
      <c r="I261" s="189" t="s">
        <v>323</v>
      </c>
      <c r="J261" s="345">
        <f t="shared" ref="J261:L261" si="61">J263</f>
        <v>6.2347139254594897E-2</v>
      </c>
      <c r="K261" s="345">
        <f t="shared" si="61"/>
        <v>2.129873245115288E-2</v>
      </c>
      <c r="L261" s="345">
        <f t="shared" si="61"/>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3"/>
      <c r="AI261" s="57"/>
      <c r="AJ261" s="45"/>
      <c r="AK261" s="45"/>
      <c r="AL261" s="45"/>
      <c r="AM261" s="469"/>
      <c r="AN261" s="469"/>
    </row>
    <row r="262" spans="1:40"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3"/>
      <c r="AI262" s="57"/>
      <c r="AJ262" s="45"/>
      <c r="AK262" s="45"/>
      <c r="AL262" s="45"/>
      <c r="AM262" s="469"/>
      <c r="AN262" s="469"/>
    </row>
    <row r="263" spans="1:40"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3"/>
      <c r="AI263" s="57"/>
      <c r="AJ263" s="45"/>
      <c r="AK263" s="45"/>
      <c r="AL263" s="45"/>
      <c r="AM263" s="469"/>
      <c r="AN263" s="469"/>
    </row>
    <row r="264" spans="1:40"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3"/>
      <c r="AI264" s="57"/>
      <c r="AJ264" s="45"/>
      <c r="AK264" s="45"/>
      <c r="AL264" s="45"/>
      <c r="AM264" s="469"/>
      <c r="AN264" s="469"/>
    </row>
    <row r="265" spans="1:40"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3"/>
      <c r="AI265" s="57"/>
      <c r="AJ265" s="45"/>
      <c r="AK265" s="45"/>
      <c r="AL265" s="45"/>
      <c r="AM265" s="469"/>
      <c r="AN265" s="469"/>
    </row>
    <row r="266" spans="1:40"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3"/>
      <c r="AI266" s="57"/>
      <c r="AJ266" s="45"/>
      <c r="AK266" s="45"/>
      <c r="AL266" s="45"/>
      <c r="AM266" s="469"/>
      <c r="AN266" s="469"/>
    </row>
    <row r="267" spans="1:40"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c r="AM267" s="469"/>
      <c r="AN267" s="469"/>
    </row>
    <row r="268" spans="1:40"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c r="AM268" s="469"/>
      <c r="AN268" s="469"/>
    </row>
    <row r="269" spans="1:40"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c r="AM269" s="469"/>
      <c r="AN269" s="469"/>
    </row>
    <row r="270" spans="1:40"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c r="AM270" s="469"/>
      <c r="AN270" s="469"/>
    </row>
    <row r="271" spans="1:40"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69"/>
      <c r="AN271" s="469"/>
    </row>
    <row r="272" spans="1:40"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69"/>
      <c r="AN272" s="469"/>
    </row>
    <row r="273" spans="1:40"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c r="AM273" s="469"/>
      <c r="AN273" s="469"/>
    </row>
    <row r="274" spans="1:40"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c r="AM274" s="469"/>
      <c r="AN274" s="469"/>
    </row>
    <row r="275" spans="1:40"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c r="AM275" s="469"/>
      <c r="AN275" s="469"/>
    </row>
    <row r="276" spans="1:40"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c r="AM276" s="469"/>
      <c r="AN276" s="469"/>
    </row>
    <row r="277" spans="1:40"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c r="AM277" s="469"/>
      <c r="AN277" s="469"/>
    </row>
    <row r="278" spans="1:40"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c r="AM278" s="469"/>
      <c r="AN278" s="469"/>
    </row>
    <row r="279" spans="1:40"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c r="AM279" s="469"/>
      <c r="AN279" s="469"/>
    </row>
    <row r="280" spans="1:40"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c r="AM280" s="469"/>
      <c r="AN280" s="469"/>
    </row>
    <row r="281" spans="1:40"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c r="AM281" s="469"/>
      <c r="AN281" s="469"/>
    </row>
    <row r="282" spans="1:40"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c r="AM282" s="469"/>
      <c r="AN282" s="469"/>
    </row>
    <row r="283" spans="1:40"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c r="AM283" s="469"/>
      <c r="AN283" s="469"/>
    </row>
    <row r="284" spans="1:40"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c r="AM284" s="469"/>
      <c r="AN284" s="469"/>
    </row>
    <row r="285" spans="1:40"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c r="AM285" s="469"/>
      <c r="AN285" s="469"/>
    </row>
    <row r="286" spans="1:40" outlineLevel="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c r="AM286" s="469"/>
      <c r="AN286" s="469"/>
    </row>
    <row r="287" spans="1:40"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c r="AM287" s="469"/>
      <c r="AN287" s="469"/>
    </row>
    <row r="288" spans="1:40" outlineLevel="3" x14ac:dyDescent="0.25">
      <c r="A288" s="45"/>
      <c r="B288" s="54"/>
      <c r="C288" s="87">
        <f t="shared" ref="C288:C296" si="62">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c r="AM288" s="469"/>
      <c r="AN288" s="469"/>
    </row>
    <row r="289" spans="1:40" outlineLevel="3" x14ac:dyDescent="0.25">
      <c r="A289" s="45"/>
      <c r="B289" s="54"/>
      <c r="C289" s="87">
        <f t="shared" si="62"/>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c r="AM289" s="469"/>
      <c r="AN289" s="469"/>
    </row>
    <row r="290" spans="1:40" outlineLevel="3" x14ac:dyDescent="0.25">
      <c r="A290" s="45"/>
      <c r="B290" s="54"/>
      <c r="C290" s="87">
        <f t="shared" si="62"/>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c r="AM290" s="469"/>
      <c r="AN290" s="469"/>
    </row>
    <row r="291" spans="1:40" outlineLevel="3" x14ac:dyDescent="0.25">
      <c r="A291" s="45"/>
      <c r="B291" s="54"/>
      <c r="C291" s="87">
        <f t="shared" si="62"/>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c r="AM291" s="469"/>
      <c r="AN291" s="469"/>
    </row>
    <row r="292" spans="1:40" outlineLevel="3" x14ac:dyDescent="0.25">
      <c r="A292" s="45"/>
      <c r="B292" s="54"/>
      <c r="C292" s="87">
        <f t="shared" si="62"/>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c r="AM292" s="469"/>
      <c r="AN292" s="469"/>
    </row>
    <row r="293" spans="1:40" outlineLevel="3" x14ac:dyDescent="0.25">
      <c r="A293" s="45"/>
      <c r="B293" s="54"/>
      <c r="C293" s="87">
        <f t="shared" si="62"/>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c r="AM293" s="469"/>
      <c r="AN293" s="469"/>
    </row>
    <row r="294" spans="1:40" outlineLevel="3" x14ac:dyDescent="0.25">
      <c r="A294" s="45"/>
      <c r="B294" s="54"/>
      <c r="C294" s="87">
        <f t="shared" si="62"/>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c r="AM294" s="469"/>
      <c r="AN294" s="469"/>
    </row>
    <row r="295" spans="1:40" outlineLevel="3" x14ac:dyDescent="0.25">
      <c r="A295" s="45"/>
      <c r="B295" s="54"/>
      <c r="C295" s="87">
        <f t="shared" si="62"/>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c r="AM295" s="469"/>
      <c r="AN295" s="469"/>
    </row>
    <row r="296" spans="1:40" outlineLevel="3" x14ac:dyDescent="0.25">
      <c r="A296" s="45"/>
      <c r="B296" s="54"/>
      <c r="C296" s="87">
        <f t="shared" si="62"/>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c r="AM296" s="469"/>
      <c r="AN296" s="469"/>
    </row>
    <row r="297" spans="1:40"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c r="AM297" s="469"/>
      <c r="AN297" s="469"/>
    </row>
    <row r="298" spans="1:40" outlineLevel="1" x14ac:dyDescent="0.25">
      <c r="A298" s="45"/>
      <c r="B298" s="54"/>
      <c r="C298" s="87">
        <f>INT($C$276)+1</f>
        <v>2</v>
      </c>
      <c r="D298" s="73"/>
      <c r="E298" s="70"/>
      <c r="F298" s="70"/>
      <c r="G298" s="73"/>
      <c r="H298" s="90" t="s">
        <v>2239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c r="AM298" s="469"/>
      <c r="AN298" s="469"/>
    </row>
    <row r="299" spans="1:40"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c r="AM299" s="469"/>
      <c r="AN299" s="469"/>
    </row>
    <row r="300" spans="1:40" ht="45" outlineLevel="3" x14ac:dyDescent="0.25">
      <c r="A300" s="45"/>
      <c r="B300" s="54"/>
      <c r="C300" s="87">
        <f t="shared" ref="C300:C305" si="63">INT($C$276)+3</f>
        <v>4</v>
      </c>
      <c r="D300" s="73"/>
      <c r="E300" s="70"/>
      <c r="F300" s="70"/>
      <c r="G300" s="73"/>
      <c r="H300" s="194"/>
      <c r="I300" s="76"/>
      <c r="J300" s="277" t="s">
        <v>2244</v>
      </c>
      <c r="K300" s="277" t="s">
        <v>2240</v>
      </c>
      <c r="L300" s="277" t="s">
        <v>2241</v>
      </c>
      <c r="M300" s="76"/>
      <c r="N300" s="76" t="s">
        <v>2249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c r="AM300" s="469"/>
      <c r="AN300" s="469"/>
    </row>
    <row r="301" spans="1:40" outlineLevel="3" x14ac:dyDescent="0.25">
      <c r="A301" s="45"/>
      <c r="B301" s="54"/>
      <c r="C301" s="87">
        <f t="shared" si="63"/>
        <v>4</v>
      </c>
      <c r="D301" s="73"/>
      <c r="E301" s="70"/>
      <c r="F301" s="70"/>
      <c r="G301" s="73"/>
      <c r="H301" s="76"/>
      <c r="I301" s="76"/>
      <c r="J301" s="96" t="s">
        <v>2245</v>
      </c>
      <c r="K301" s="96" t="s">
        <v>2242</v>
      </c>
      <c r="L301" s="96" t="s">
        <v>2243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c r="AM301" s="469"/>
      <c r="AN301" s="469"/>
    </row>
    <row r="302" spans="1:40" outlineLevel="3" x14ac:dyDescent="0.25">
      <c r="A302" s="45"/>
      <c r="B302" s="54"/>
      <c r="C302" s="87">
        <f t="shared" si="63"/>
        <v>4</v>
      </c>
      <c r="D302" s="73"/>
      <c r="E302" s="70"/>
      <c r="F302" s="70">
        <v>0</v>
      </c>
      <c r="G302" s="73"/>
      <c r="H302" s="195" t="s">
        <v>2246</v>
      </c>
      <c r="I302" s="76"/>
      <c r="J302" s="97">
        <v>100000</v>
      </c>
      <c r="K302" s="97">
        <v>2000</v>
      </c>
      <c r="L302" s="346">
        <v>0.05</v>
      </c>
      <c r="M302" s="76"/>
      <c r="N302" s="76" t="s">
        <v>2250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c r="AM302" s="469"/>
      <c r="AN302" s="469"/>
    </row>
    <row r="303" spans="1:40" outlineLevel="3" x14ac:dyDescent="0.25">
      <c r="A303" s="45"/>
      <c r="B303" s="54"/>
      <c r="C303" s="87">
        <f t="shared" si="63"/>
        <v>4</v>
      </c>
      <c r="D303" s="73"/>
      <c r="E303" s="70"/>
      <c r="F303" s="70">
        <v>1</v>
      </c>
      <c r="G303" s="73"/>
      <c r="H303" s="195" t="s">
        <v>2238</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c r="AM303" s="469"/>
      <c r="AN303" s="469"/>
    </row>
    <row r="304" spans="1:40" outlineLevel="3" x14ac:dyDescent="0.25">
      <c r="A304" s="45"/>
      <c r="B304" s="54"/>
      <c r="C304" s="87">
        <f t="shared" si="63"/>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c r="AM304" s="469"/>
      <c r="AN304" s="469"/>
    </row>
    <row r="305" spans="1:40" outlineLevel="3" x14ac:dyDescent="0.25">
      <c r="A305" s="45"/>
      <c r="B305" s="54"/>
      <c r="C305" s="87">
        <f t="shared" si="63"/>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c r="AM305" s="469"/>
      <c r="AN305" s="469"/>
    </row>
    <row r="306" spans="1:40"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c r="AM306" s="469"/>
      <c r="AN306" s="469"/>
    </row>
    <row r="307" spans="1:40" outlineLevel="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c r="AM307" s="469"/>
      <c r="AN307" s="469"/>
    </row>
    <row r="308" spans="1:40"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c r="AM308" s="469"/>
      <c r="AN308" s="469"/>
    </row>
    <row r="309" spans="1:40"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73"/>
      <c r="AI309" s="57"/>
      <c r="AJ309" s="45"/>
      <c r="AK309" s="45"/>
      <c r="AL309" s="45"/>
      <c r="AM309" s="469"/>
      <c r="AN309" s="469"/>
    </row>
    <row r="310" spans="1:40"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73"/>
      <c r="AI310" s="57"/>
      <c r="AJ310" s="45"/>
      <c r="AK310" s="45"/>
      <c r="AL310" s="45"/>
      <c r="AM310" s="469"/>
      <c r="AN310" s="469"/>
    </row>
    <row r="311" spans="1:40"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73"/>
      <c r="AI311" s="57"/>
      <c r="AJ311" s="45"/>
      <c r="AK311" s="45"/>
      <c r="AL311" s="45"/>
      <c r="AM311" s="469"/>
      <c r="AN311" s="469"/>
    </row>
    <row r="312" spans="1:40"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c r="AM312" s="469"/>
      <c r="AN312" s="469"/>
    </row>
    <row r="313" spans="1:40" outlineLevel="3" x14ac:dyDescent="0.25">
      <c r="A313" s="45"/>
      <c r="B313" s="54"/>
      <c r="C313" s="87">
        <f t="shared" ref="C313:C319" si="64">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73"/>
      <c r="AI313" s="57"/>
      <c r="AJ313" s="45"/>
      <c r="AK313" s="45"/>
      <c r="AL313" s="45"/>
      <c r="AM313" s="469"/>
      <c r="AN313" s="469"/>
    </row>
    <row r="314" spans="1:40" outlineLevel="3" x14ac:dyDescent="0.25">
      <c r="A314" s="45"/>
      <c r="B314" s="54"/>
      <c r="C314" s="87">
        <f t="shared" si="64"/>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73"/>
      <c r="AI314" s="57"/>
      <c r="AJ314" s="45"/>
      <c r="AK314" s="45"/>
      <c r="AL314" s="45"/>
      <c r="AM314" s="469"/>
      <c r="AN314" s="469"/>
    </row>
    <row r="315" spans="1:40" outlineLevel="3" x14ac:dyDescent="0.25">
      <c r="A315" s="45"/>
      <c r="B315" s="54"/>
      <c r="C315" s="87">
        <f t="shared" si="64"/>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c r="AM315" s="469"/>
      <c r="AN315" s="469"/>
    </row>
    <row r="316" spans="1:40" outlineLevel="3" x14ac:dyDescent="0.25">
      <c r="A316" s="45"/>
      <c r="B316" s="54"/>
      <c r="C316" s="87">
        <f t="shared" si="64"/>
        <v>4</v>
      </c>
      <c r="D316" s="73"/>
      <c r="E316" s="70"/>
      <c r="F316" s="70"/>
      <c r="G316" s="73"/>
      <c r="H316" s="76"/>
      <c r="I316" s="76"/>
      <c r="J316" s="76"/>
      <c r="K316" s="76"/>
      <c r="L316" s="76"/>
      <c r="M316" s="76"/>
      <c r="N316" s="76"/>
      <c r="O316" s="76"/>
      <c r="P316" s="76"/>
      <c r="Q316" s="76"/>
      <c r="R316" s="76"/>
      <c r="S316" s="76"/>
      <c r="T316" s="96" t="str">
        <f t="shared" ref="T316:AG316" si="65">INDEX($H$289:$H$297,T315+1,1)</f>
        <v>LW</v>
      </c>
      <c r="U316" s="96" t="str">
        <f t="shared" si="65"/>
        <v>LW</v>
      </c>
      <c r="V316" s="96" t="str">
        <f t="shared" si="65"/>
        <v>head</v>
      </c>
      <c r="W316" s="96" t="str">
        <f t="shared" si="65"/>
        <v>head</v>
      </c>
      <c r="X316" s="96" t="str">
        <f t="shared" si="65"/>
        <v>head</v>
      </c>
      <c r="Y316" s="96" t="str">
        <f t="shared" si="65"/>
        <v>head</v>
      </c>
      <c r="Z316" s="96" t="str">
        <f t="shared" si="65"/>
        <v>head</v>
      </c>
      <c r="AA316" s="96" t="str">
        <f t="shared" si="65"/>
        <v>nyatf</v>
      </c>
      <c r="AB316" s="96" t="str">
        <f t="shared" si="65"/>
        <v>nyatf</v>
      </c>
      <c r="AC316" s="96" t="str">
        <f t="shared" si="65"/>
        <v>head</v>
      </c>
      <c r="AD316" s="96" t="str">
        <f t="shared" si="65"/>
        <v>head</v>
      </c>
      <c r="AE316" s="96" t="str">
        <f t="shared" si="65"/>
        <v>head</v>
      </c>
      <c r="AF316" s="96" t="str">
        <f t="shared" si="65"/>
        <v>CFW</v>
      </c>
      <c r="AG316" s="96" t="str">
        <f t="shared" si="65"/>
        <v>mob</v>
      </c>
      <c r="AH316" s="73"/>
      <c r="AI316" s="57"/>
      <c r="AJ316" s="45"/>
      <c r="AK316" s="45"/>
      <c r="AL316" s="45"/>
      <c r="AM316" s="469"/>
      <c r="AN316" s="469"/>
    </row>
    <row r="317" spans="1:40" outlineLevel="3" x14ac:dyDescent="0.25">
      <c r="A317" s="45"/>
      <c r="B317" s="54"/>
      <c r="C317" s="87">
        <f t="shared" si="64"/>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73"/>
      <c r="AI317" s="57"/>
      <c r="AJ317" s="45"/>
      <c r="AK317" s="45"/>
      <c r="AL317" s="45"/>
      <c r="AM317" s="469"/>
      <c r="AN317" s="469"/>
    </row>
    <row r="318" spans="1:40" outlineLevel="3" x14ac:dyDescent="0.25">
      <c r="A318" s="45"/>
      <c r="B318" s="54"/>
      <c r="C318" s="87">
        <f t="shared" si="64"/>
        <v>4</v>
      </c>
      <c r="D318" s="73"/>
      <c r="E318" s="70"/>
      <c r="F318" s="70"/>
      <c r="G318" s="73"/>
      <c r="H318" s="76" t="s">
        <v>395</v>
      </c>
      <c r="I318" s="76"/>
      <c r="J318" s="76"/>
      <c r="K318" s="76"/>
      <c r="L318" s="76"/>
      <c r="M318" s="76"/>
      <c r="N318" s="76"/>
      <c r="O318" s="76"/>
      <c r="P318" s="76"/>
      <c r="Q318" s="76"/>
      <c r="R318" s="76"/>
      <c r="S318" s="76"/>
      <c r="T318" s="200">
        <f t="shared" ref="T318:AF318" si="66">T$314*T$317</f>
        <v>2.5000000000000005E-3</v>
      </c>
      <c r="U318" s="200">
        <f t="shared" si="66"/>
        <v>1.3000000000000001E-2</v>
      </c>
      <c r="V318" s="200">
        <f t="shared" si="66"/>
        <v>0.4</v>
      </c>
      <c r="W318" s="200">
        <f t="shared" si="66"/>
        <v>0.4</v>
      </c>
      <c r="X318" s="200">
        <f t="shared" si="66"/>
        <v>0.5</v>
      </c>
      <c r="Y318" s="200">
        <f t="shared" si="66"/>
        <v>2.56</v>
      </c>
      <c r="Z318" s="200">
        <f t="shared" si="66"/>
        <v>0.25</v>
      </c>
      <c r="AA318" s="200">
        <f t="shared" si="66"/>
        <v>3.3000000000000002E-2</v>
      </c>
      <c r="AB318" s="200">
        <f t="shared" si="66"/>
        <v>1.95</v>
      </c>
      <c r="AC318" s="200">
        <f t="shared" si="66"/>
        <v>0</v>
      </c>
      <c r="AD318" s="200">
        <f t="shared" si="66"/>
        <v>0</v>
      </c>
      <c r="AE318" s="200">
        <f t="shared" si="66"/>
        <v>0</v>
      </c>
      <c r="AF318" s="200">
        <f t="shared" si="66"/>
        <v>6.2903225806451621E-2</v>
      </c>
      <c r="AG318" s="200">
        <f>AG314</f>
        <v>13.5</v>
      </c>
      <c r="AH318" s="73"/>
      <c r="AI318" s="57"/>
      <c r="AJ318" s="45"/>
      <c r="AK318" s="45"/>
      <c r="AL318" s="45"/>
      <c r="AM318" s="469"/>
      <c r="AN318" s="469"/>
    </row>
    <row r="319" spans="1:40" ht="33.75" outlineLevel="3" x14ac:dyDescent="0.25">
      <c r="A319" s="45"/>
      <c r="B319" s="54"/>
      <c r="C319" s="87">
        <f t="shared" si="64"/>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73"/>
      <c r="AI319" s="57"/>
      <c r="AJ319" s="45"/>
      <c r="AK319" s="45"/>
      <c r="AL319" s="45"/>
      <c r="AM319" s="469"/>
      <c r="AN319" s="469"/>
    </row>
    <row r="320" spans="1:40"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c r="AM320" s="469"/>
      <c r="AN320" s="469"/>
    </row>
    <row r="321" spans="1:40"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c r="AM321" s="469"/>
      <c r="AN321" s="469"/>
    </row>
    <row r="322" spans="1:40" outlineLevel="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c r="AM322" s="469"/>
      <c r="AN322" s="469"/>
    </row>
    <row r="323" spans="1:40"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c r="AM323" s="469"/>
      <c r="AN323" s="469"/>
    </row>
    <row r="324" spans="1:40"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73"/>
      <c r="AI324" s="57"/>
      <c r="AJ324" s="45"/>
      <c r="AK324" s="45"/>
      <c r="AL324" s="45"/>
      <c r="AM324" s="469"/>
      <c r="AN324" s="469"/>
    </row>
    <row r="325" spans="1:40"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67">IF(T$310&lt;&gt;"",T$310,T$309)</f>
        <v>Abamectin</v>
      </c>
      <c r="U325" s="203" t="str">
        <f t="shared" si="67"/>
        <v>Q Drench</v>
      </c>
      <c r="V325" s="203" t="str">
        <f t="shared" si="67"/>
        <v>Se bullet</v>
      </c>
      <c r="W325" s="203" t="str">
        <f t="shared" si="67"/>
        <v>Co bullet</v>
      </c>
      <c r="X325" s="203" t="str">
        <f t="shared" si="67"/>
        <v>Glanvac 6S</v>
      </c>
      <c r="Y325" s="203" t="str">
        <f t="shared" si="67"/>
        <v>Gudair</v>
      </c>
      <c r="Z325" s="203" t="str">
        <f t="shared" si="67"/>
        <v>Sidney SP</v>
      </c>
      <c r="AA325" s="203" t="str">
        <f t="shared" si="67"/>
        <v>Rings</v>
      </c>
      <c r="AB325" s="203" t="str">
        <f t="shared" si="67"/>
        <v>Meloxicam</v>
      </c>
      <c r="AC325" s="203" t="str">
        <f t="shared" si="67"/>
        <v>Click</v>
      </c>
      <c r="AD325" s="203" t="str">
        <f t="shared" si="67"/>
        <v>Vetrazin</v>
      </c>
      <c r="AE325" s="203" t="str">
        <f t="shared" si="67"/>
        <v>Footrot treatment</v>
      </c>
      <c r="AF325" s="203" t="str">
        <f t="shared" si="67"/>
        <v>Wool packs</v>
      </c>
      <c r="AG325" s="203" t="str">
        <f t="shared" si="67"/>
        <v>Diesel</v>
      </c>
      <c r="AH325" s="73"/>
      <c r="AI325" s="57"/>
      <c r="AJ325" s="45"/>
      <c r="AK325" s="45"/>
      <c r="AL325" s="45"/>
      <c r="AM325" s="469"/>
      <c r="AN325" s="469"/>
    </row>
    <row r="326" spans="1:40"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2309</v>
      </c>
      <c r="R326" s="99" t="s">
        <v>425</v>
      </c>
      <c r="S326" s="205"/>
      <c r="T326" s="173" t="str">
        <f t="shared" ref="T326:AG326" si="68">T316</f>
        <v>LW</v>
      </c>
      <c r="U326" s="173" t="str">
        <f t="shared" si="68"/>
        <v>LW</v>
      </c>
      <c r="V326" s="173" t="str">
        <f t="shared" si="68"/>
        <v>head</v>
      </c>
      <c r="W326" s="173" t="str">
        <f t="shared" si="68"/>
        <v>head</v>
      </c>
      <c r="X326" s="173" t="str">
        <f t="shared" si="68"/>
        <v>head</v>
      </c>
      <c r="Y326" s="173" t="str">
        <f t="shared" si="68"/>
        <v>head</v>
      </c>
      <c r="Z326" s="173" t="str">
        <f t="shared" si="68"/>
        <v>head</v>
      </c>
      <c r="AA326" s="173" t="str">
        <f t="shared" si="68"/>
        <v>nyatf</v>
      </c>
      <c r="AB326" s="173" t="str">
        <f t="shared" si="68"/>
        <v>nyatf</v>
      </c>
      <c r="AC326" s="173" t="str">
        <f t="shared" si="68"/>
        <v>head</v>
      </c>
      <c r="AD326" s="173" t="str">
        <f t="shared" si="68"/>
        <v>head</v>
      </c>
      <c r="AE326" s="173" t="str">
        <f t="shared" si="68"/>
        <v>head</v>
      </c>
      <c r="AF326" s="173" t="str">
        <f t="shared" si="68"/>
        <v>CFW</v>
      </c>
      <c r="AG326" s="173" t="str">
        <f t="shared" si="68"/>
        <v>mob</v>
      </c>
      <c r="AH326" s="73"/>
      <c r="AI326" s="57"/>
      <c r="AJ326" s="45"/>
      <c r="AK326" s="45"/>
      <c r="AL326" s="45"/>
      <c r="AM326" s="469"/>
      <c r="AN326" s="469"/>
    </row>
    <row r="327" spans="1:40" outlineLevel="3" x14ac:dyDescent="0.25">
      <c r="A327" s="45"/>
      <c r="B327" s="54"/>
      <c r="C327" s="87">
        <f t="shared" ref="C327:C336" si="69">INT($C$276+3)</f>
        <v>4</v>
      </c>
      <c r="D327" s="73"/>
      <c r="E327" s="70"/>
      <c r="F327" s="70"/>
      <c r="G327" s="73"/>
      <c r="H327" s="105" t="s">
        <v>426</v>
      </c>
      <c r="I327" s="99">
        <v>1</v>
      </c>
      <c r="J327" s="184" t="str">
        <f t="shared" ref="J327:J353" si="70">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73"/>
      <c r="AI327" s="57"/>
      <c r="AJ327" s="45"/>
      <c r="AK327" s="45"/>
      <c r="AL327" s="45"/>
      <c r="AM327" s="469"/>
      <c r="AN327" s="469"/>
    </row>
    <row r="328" spans="1:40" outlineLevel="3" x14ac:dyDescent="0.25">
      <c r="A328" s="45"/>
      <c r="B328" s="54"/>
      <c r="C328" s="87">
        <f t="shared" si="69"/>
        <v>4</v>
      </c>
      <c r="D328" s="73"/>
      <c r="E328" s="70"/>
      <c r="F328" s="70"/>
      <c r="G328" s="73"/>
      <c r="H328" s="76" t="s">
        <v>427</v>
      </c>
      <c r="I328" s="99">
        <v>1</v>
      </c>
      <c r="J328" s="96" t="str">
        <f t="shared" si="70"/>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73"/>
      <c r="AI328" s="57"/>
      <c r="AJ328" s="45"/>
      <c r="AK328" s="45"/>
      <c r="AL328" s="45"/>
      <c r="AM328" s="469"/>
      <c r="AN328" s="469"/>
    </row>
    <row r="329" spans="1:40" outlineLevel="3" x14ac:dyDescent="0.25">
      <c r="A329" s="45"/>
      <c r="B329" s="54"/>
      <c r="C329" s="87">
        <f t="shared" si="69"/>
        <v>4</v>
      </c>
      <c r="D329" s="73"/>
      <c r="E329" s="70"/>
      <c r="F329" s="70"/>
      <c r="G329" s="73"/>
      <c r="H329" s="76" t="s">
        <v>428</v>
      </c>
      <c r="I329" s="99">
        <v>0</v>
      </c>
      <c r="J329" s="96" t="str">
        <f t="shared" si="70"/>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73"/>
      <c r="AI329" s="57"/>
      <c r="AJ329" s="45"/>
      <c r="AK329" s="45"/>
      <c r="AL329" s="45"/>
      <c r="AM329" s="469"/>
      <c r="AN329" s="469"/>
    </row>
    <row r="330" spans="1:40" outlineLevel="3" x14ac:dyDescent="0.25">
      <c r="A330" s="45"/>
      <c r="B330" s="54"/>
      <c r="C330" s="87">
        <f t="shared" si="69"/>
        <v>4</v>
      </c>
      <c r="D330" s="73"/>
      <c r="E330" s="70"/>
      <c r="F330" s="70"/>
      <c r="G330" s="73"/>
      <c r="H330" s="76" t="s">
        <v>429</v>
      </c>
      <c r="I330" s="99">
        <v>1</v>
      </c>
      <c r="J330" s="96" t="str">
        <f t="shared" si="70"/>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73"/>
      <c r="AI330" s="57"/>
      <c r="AJ330" s="45"/>
      <c r="AK330" s="45"/>
      <c r="AL330" s="45"/>
      <c r="AM330" s="469"/>
      <c r="AN330" s="469"/>
    </row>
    <row r="331" spans="1:40" outlineLevel="3" x14ac:dyDescent="0.25">
      <c r="A331" s="45"/>
      <c r="B331" s="54"/>
      <c r="C331" s="87">
        <f t="shared" si="69"/>
        <v>4</v>
      </c>
      <c r="D331" s="73"/>
      <c r="E331" s="70"/>
      <c r="F331" s="70"/>
      <c r="G331" s="73"/>
      <c r="H331" s="76" t="s">
        <v>430</v>
      </c>
      <c r="I331" s="99">
        <v>1</v>
      </c>
      <c r="J331" s="96" t="str">
        <f t="shared" si="70"/>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73"/>
      <c r="AI331" s="57"/>
      <c r="AJ331" s="45"/>
      <c r="AK331" s="45"/>
      <c r="AL331" s="45"/>
      <c r="AM331" s="469"/>
      <c r="AN331" s="469"/>
    </row>
    <row r="332" spans="1:40" outlineLevel="3" x14ac:dyDescent="0.25">
      <c r="A332" s="45"/>
      <c r="B332" s="54"/>
      <c r="C332" s="87">
        <f t="shared" si="69"/>
        <v>4</v>
      </c>
      <c r="D332" s="73"/>
      <c r="E332" s="70"/>
      <c r="F332" s="70"/>
      <c r="G332" s="73"/>
      <c r="H332" s="76" t="s">
        <v>431</v>
      </c>
      <c r="I332" s="99">
        <v>1</v>
      </c>
      <c r="J332" s="96" t="str">
        <f t="shared" si="70"/>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73"/>
      <c r="AI332" s="57"/>
      <c r="AJ332" s="45"/>
      <c r="AK332" s="45"/>
      <c r="AL332" s="45"/>
      <c r="AM332" s="469"/>
      <c r="AN332" s="469"/>
    </row>
    <row r="333" spans="1:40" outlineLevel="3" x14ac:dyDescent="0.25">
      <c r="A333" s="45"/>
      <c r="B333" s="54"/>
      <c r="C333" s="87">
        <f t="shared" si="69"/>
        <v>4</v>
      </c>
      <c r="D333" s="73"/>
      <c r="E333" s="70"/>
      <c r="F333" s="70"/>
      <c r="G333" s="73"/>
      <c r="H333" s="76" t="s">
        <v>432</v>
      </c>
      <c r="I333" s="99">
        <v>0</v>
      </c>
      <c r="J333" s="96" t="str">
        <f t="shared" si="70"/>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73"/>
      <c r="AI333" s="57"/>
      <c r="AJ333" s="45"/>
      <c r="AK333" s="45"/>
      <c r="AL333" s="45"/>
      <c r="AM333" s="469"/>
      <c r="AN333" s="469"/>
    </row>
    <row r="334" spans="1:40" outlineLevel="3" x14ac:dyDescent="0.25">
      <c r="A334" s="45"/>
      <c r="B334" s="54"/>
      <c r="C334" s="87">
        <f t="shared" si="69"/>
        <v>4</v>
      </c>
      <c r="D334" s="73"/>
      <c r="E334" s="70"/>
      <c r="F334" s="70"/>
      <c r="G334" s="73"/>
      <c r="H334" s="76" t="s">
        <v>433</v>
      </c>
      <c r="I334" s="99">
        <v>0</v>
      </c>
      <c r="J334" s="96" t="str">
        <f t="shared" si="70"/>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73"/>
      <c r="AI334" s="57"/>
      <c r="AJ334" s="45"/>
      <c r="AK334" s="45"/>
      <c r="AL334" s="45"/>
      <c r="AM334" s="469"/>
      <c r="AN334" s="469"/>
    </row>
    <row r="335" spans="1:40" outlineLevel="3" x14ac:dyDescent="0.25">
      <c r="A335" s="45"/>
      <c r="B335" s="54"/>
      <c r="C335" s="87">
        <f t="shared" si="69"/>
        <v>4</v>
      </c>
      <c r="D335" s="73"/>
      <c r="E335" s="70"/>
      <c r="F335" s="70"/>
      <c r="G335" s="73"/>
      <c r="H335" s="76" t="s">
        <v>434</v>
      </c>
      <c r="I335" s="99">
        <v>0</v>
      </c>
      <c r="J335" s="96" t="str">
        <f t="shared" si="70"/>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73"/>
      <c r="AI335" s="57"/>
      <c r="AJ335" s="45"/>
      <c r="AK335" s="45"/>
      <c r="AL335" s="45"/>
      <c r="AM335" s="469"/>
      <c r="AN335" s="469"/>
    </row>
    <row r="336" spans="1:40" outlineLevel="3" x14ac:dyDescent="0.25">
      <c r="A336" s="45"/>
      <c r="B336" s="54"/>
      <c r="C336" s="87">
        <f t="shared" si="69"/>
        <v>4</v>
      </c>
      <c r="D336" s="73"/>
      <c r="E336" s="70"/>
      <c r="F336" s="70"/>
      <c r="G336" s="73"/>
      <c r="H336" s="76" t="s">
        <v>435</v>
      </c>
      <c r="I336" s="99">
        <v>0</v>
      </c>
      <c r="J336" s="96" t="str">
        <f t="shared" si="70"/>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73"/>
      <c r="AI336" s="57"/>
      <c r="AJ336" s="45"/>
      <c r="AK336" s="45"/>
      <c r="AL336" s="45"/>
      <c r="AM336" s="469"/>
      <c r="AN336" s="469"/>
    </row>
    <row r="337" spans="1:40" outlineLevel="3" x14ac:dyDescent="0.25">
      <c r="A337" s="45"/>
      <c r="B337" s="54"/>
      <c r="C337" s="87">
        <f>INT($C$276+3)</f>
        <v>4</v>
      </c>
      <c r="D337" s="73"/>
      <c r="E337" s="70"/>
      <c r="F337" s="70"/>
      <c r="G337" s="73"/>
      <c r="H337" s="76" t="s">
        <v>436</v>
      </c>
      <c r="I337" s="99">
        <v>0</v>
      </c>
      <c r="J337" s="96" t="str">
        <f t="shared" si="70"/>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73"/>
      <c r="AI337" s="57"/>
      <c r="AJ337" s="45"/>
      <c r="AK337" s="45"/>
      <c r="AL337" s="45"/>
      <c r="AM337" s="469"/>
      <c r="AN337" s="469"/>
    </row>
    <row r="338" spans="1:40" outlineLevel="3" x14ac:dyDescent="0.25">
      <c r="A338" s="45"/>
      <c r="B338" s="54"/>
      <c r="C338" s="87">
        <f>INT($C$276+3)</f>
        <v>4</v>
      </c>
      <c r="D338" s="73"/>
      <c r="E338" s="70"/>
      <c r="F338" s="70"/>
      <c r="G338" s="73"/>
      <c r="H338" s="76" t="s">
        <v>437</v>
      </c>
      <c r="I338" s="99">
        <v>0</v>
      </c>
      <c r="J338" s="96" t="str">
        <f t="shared" si="70"/>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73"/>
      <c r="AI338" s="57"/>
      <c r="AJ338" s="45"/>
      <c r="AK338" s="45"/>
      <c r="AL338" s="45"/>
      <c r="AM338" s="469"/>
      <c r="AN338" s="469"/>
    </row>
    <row r="339" spans="1:40" outlineLevel="3" x14ac:dyDescent="0.25">
      <c r="A339" s="45"/>
      <c r="B339" s="54"/>
      <c r="C339" s="87">
        <f>INT($C$276+3)</f>
        <v>4</v>
      </c>
      <c r="D339" s="73"/>
      <c r="E339" s="70"/>
      <c r="F339" s="70"/>
      <c r="G339" s="73"/>
      <c r="H339" s="76" t="s">
        <v>438</v>
      </c>
      <c r="I339" s="99">
        <v>0</v>
      </c>
      <c r="J339" s="96" t="str">
        <f t="shared" si="70"/>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73"/>
      <c r="AI339" s="57"/>
      <c r="AJ339" s="45"/>
      <c r="AK339" s="45"/>
      <c r="AL339" s="45"/>
      <c r="AM339" s="469"/>
      <c r="AN339" s="469"/>
    </row>
    <row r="340" spans="1:40" outlineLevel="3" x14ac:dyDescent="0.25">
      <c r="A340" s="45"/>
      <c r="B340" s="54"/>
      <c r="C340" s="87">
        <f t="shared" ref="C340:C360" si="71">INT($C$276+3)</f>
        <v>4</v>
      </c>
      <c r="D340" s="73"/>
      <c r="E340" s="70"/>
      <c r="F340" s="70"/>
      <c r="G340" s="73"/>
      <c r="H340" s="76" t="s">
        <v>439</v>
      </c>
      <c r="I340" s="99">
        <v>0</v>
      </c>
      <c r="J340" s="96" t="str">
        <f t="shared" si="70"/>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73"/>
      <c r="AI340" s="57"/>
      <c r="AJ340" s="45"/>
      <c r="AK340" s="45"/>
      <c r="AL340" s="45"/>
      <c r="AM340" s="469"/>
      <c r="AN340" s="469"/>
    </row>
    <row r="341" spans="1:40" outlineLevel="3" x14ac:dyDescent="0.25">
      <c r="A341" s="45"/>
      <c r="B341" s="54"/>
      <c r="C341" s="87">
        <f t="shared" si="71"/>
        <v>4</v>
      </c>
      <c r="D341" s="73"/>
      <c r="E341" s="70"/>
      <c r="F341" s="70"/>
      <c r="G341" s="73"/>
      <c r="H341" s="76" t="s">
        <v>440</v>
      </c>
      <c r="I341" s="99">
        <v>5</v>
      </c>
      <c r="J341" s="96" t="str">
        <f t="shared" si="70"/>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73"/>
      <c r="AI341" s="57"/>
      <c r="AJ341" s="45"/>
      <c r="AK341" s="45"/>
      <c r="AL341" s="45"/>
      <c r="AM341" s="469"/>
      <c r="AN341" s="469"/>
    </row>
    <row r="342" spans="1:40" outlineLevel="3" x14ac:dyDescent="0.25">
      <c r="A342" s="45"/>
      <c r="B342" s="54"/>
      <c r="C342" s="87">
        <f t="shared" si="71"/>
        <v>4</v>
      </c>
      <c r="D342" s="73"/>
      <c r="E342" s="70"/>
      <c r="F342" s="70"/>
      <c r="G342" s="73"/>
      <c r="H342" s="76" t="s">
        <v>441</v>
      </c>
      <c r="I342" s="99">
        <v>5</v>
      </c>
      <c r="J342" s="96" t="str">
        <f t="shared" si="70"/>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73"/>
      <c r="AI342" s="57"/>
      <c r="AJ342" s="45"/>
      <c r="AK342" s="45"/>
      <c r="AL342" s="45"/>
      <c r="AM342" s="469"/>
      <c r="AN342" s="469"/>
    </row>
    <row r="343" spans="1:40" outlineLevel="3" x14ac:dyDescent="0.25">
      <c r="A343" s="45"/>
      <c r="B343" s="54"/>
      <c r="C343" s="87">
        <f t="shared" si="71"/>
        <v>4</v>
      </c>
      <c r="D343" s="73"/>
      <c r="E343" s="70"/>
      <c r="F343" s="70"/>
      <c r="G343" s="73"/>
      <c r="H343" s="76" t="s">
        <v>442</v>
      </c>
      <c r="I343" s="99">
        <v>0</v>
      </c>
      <c r="J343" s="96" t="str">
        <f t="shared" si="70"/>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73"/>
      <c r="AI343" s="57"/>
      <c r="AJ343" s="45"/>
      <c r="AK343" s="45"/>
      <c r="AL343" s="45"/>
      <c r="AM343" s="469"/>
      <c r="AN343" s="469"/>
    </row>
    <row r="344" spans="1:40" outlineLevel="3" x14ac:dyDescent="0.25">
      <c r="A344" s="45"/>
      <c r="B344" s="54"/>
      <c r="C344" s="87">
        <f t="shared" si="71"/>
        <v>4</v>
      </c>
      <c r="D344" s="73"/>
      <c r="E344" s="70"/>
      <c r="F344" s="70"/>
      <c r="G344" s="73"/>
      <c r="H344" s="76" t="s">
        <v>443</v>
      </c>
      <c r="I344" s="99">
        <v>0</v>
      </c>
      <c r="J344" s="96" t="str">
        <f t="shared" si="70"/>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73"/>
      <c r="AI344" s="57"/>
      <c r="AJ344" s="45"/>
      <c r="AK344" s="45"/>
      <c r="AL344" s="45"/>
      <c r="AM344" s="469"/>
      <c r="AN344" s="469"/>
    </row>
    <row r="345" spans="1:40" outlineLevel="3" x14ac:dyDescent="0.25">
      <c r="A345" s="45"/>
      <c r="B345" s="54"/>
      <c r="C345" s="87">
        <f t="shared" si="71"/>
        <v>4</v>
      </c>
      <c r="D345" s="73"/>
      <c r="E345" s="70"/>
      <c r="F345" s="70"/>
      <c r="G345" s="73"/>
      <c r="H345" s="76" t="s">
        <v>444</v>
      </c>
      <c r="I345" s="99">
        <v>0</v>
      </c>
      <c r="J345" s="96" t="str">
        <f t="shared" si="70"/>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73"/>
      <c r="AI345" s="57"/>
      <c r="AJ345" s="45"/>
      <c r="AK345" s="45"/>
      <c r="AL345" s="45"/>
      <c r="AM345" s="469"/>
      <c r="AN345" s="469"/>
    </row>
    <row r="346" spans="1:40" outlineLevel="3" x14ac:dyDescent="0.25">
      <c r="A346" s="45"/>
      <c r="B346" s="54"/>
      <c r="C346" s="87">
        <f t="shared" si="71"/>
        <v>4</v>
      </c>
      <c r="D346" s="73"/>
      <c r="E346" s="70"/>
      <c r="F346" s="70"/>
      <c r="G346" s="73"/>
      <c r="H346" s="76" t="s">
        <v>445</v>
      </c>
      <c r="I346" s="99">
        <v>1</v>
      </c>
      <c r="J346" s="96" t="str">
        <f t="shared" si="70"/>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73"/>
      <c r="AI346" s="57"/>
      <c r="AJ346" s="45"/>
      <c r="AK346" s="45"/>
      <c r="AL346" s="45"/>
      <c r="AM346" s="469"/>
      <c r="AN346" s="469"/>
    </row>
    <row r="347" spans="1:40" outlineLevel="3" x14ac:dyDescent="0.25">
      <c r="A347" s="45"/>
      <c r="B347" s="54"/>
      <c r="C347" s="87">
        <f t="shared" si="71"/>
        <v>4</v>
      </c>
      <c r="D347" s="73"/>
      <c r="E347" s="70"/>
      <c r="F347" s="70"/>
      <c r="G347" s="73"/>
      <c r="H347" s="76" t="s">
        <v>446</v>
      </c>
      <c r="I347" s="99">
        <v>1</v>
      </c>
      <c r="J347" s="96" t="str">
        <f t="shared" si="70"/>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73"/>
      <c r="AI347" s="57"/>
      <c r="AJ347" s="45"/>
      <c r="AK347" s="45"/>
      <c r="AL347" s="45"/>
      <c r="AM347" s="469"/>
      <c r="AN347" s="469"/>
    </row>
    <row r="348" spans="1:40" outlineLevel="3" x14ac:dyDescent="0.25">
      <c r="A348" s="45"/>
      <c r="B348" s="54"/>
      <c r="C348" s="87">
        <f t="shared" si="71"/>
        <v>4</v>
      </c>
      <c r="D348" s="73"/>
      <c r="E348" s="70"/>
      <c r="F348" s="70"/>
      <c r="G348" s="73"/>
      <c r="H348" s="76" t="s">
        <v>447</v>
      </c>
      <c r="I348" s="99">
        <v>0</v>
      </c>
      <c r="J348" s="96" t="str">
        <f t="shared" si="70"/>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73"/>
      <c r="AI348" s="57"/>
      <c r="AJ348" s="45"/>
      <c r="AK348" s="45"/>
      <c r="AL348" s="45"/>
      <c r="AM348" s="469"/>
      <c r="AN348" s="469"/>
    </row>
    <row r="349" spans="1:40" outlineLevel="3" x14ac:dyDescent="0.25">
      <c r="A349" s="45"/>
      <c r="B349" s="54"/>
      <c r="C349" s="87">
        <f t="shared" si="71"/>
        <v>4</v>
      </c>
      <c r="D349" s="73"/>
      <c r="E349" s="70"/>
      <c r="F349" s="70"/>
      <c r="G349" s="73"/>
      <c r="H349" s="76" t="s">
        <v>448</v>
      </c>
      <c r="I349" s="99">
        <v>1</v>
      </c>
      <c r="J349" s="96" t="str">
        <f t="shared" si="70"/>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73"/>
      <c r="AI349" s="57"/>
      <c r="AJ349" s="45"/>
      <c r="AK349" s="45"/>
      <c r="AL349" s="45"/>
      <c r="AM349" s="469"/>
      <c r="AN349" s="469"/>
    </row>
    <row r="350" spans="1:40" outlineLevel="3" x14ac:dyDescent="0.25">
      <c r="A350" s="45"/>
      <c r="B350" s="54"/>
      <c r="C350" s="87">
        <f t="shared" si="71"/>
        <v>4</v>
      </c>
      <c r="D350" s="73"/>
      <c r="E350" s="70"/>
      <c r="F350" s="70"/>
      <c r="G350" s="73"/>
      <c r="H350" s="76" t="s">
        <v>449</v>
      </c>
      <c r="I350" s="99">
        <v>0</v>
      </c>
      <c r="J350" s="96" t="str">
        <f t="shared" si="70"/>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73"/>
      <c r="AI350" s="57"/>
      <c r="AJ350" s="45"/>
      <c r="AK350" s="45"/>
      <c r="AL350" s="45"/>
      <c r="AM350" s="469"/>
      <c r="AN350" s="469"/>
    </row>
    <row r="351" spans="1:40" outlineLevel="3" x14ac:dyDescent="0.25">
      <c r="A351" s="45"/>
      <c r="B351" s="54"/>
      <c r="C351" s="87">
        <f t="shared" si="71"/>
        <v>4</v>
      </c>
      <c r="D351" s="73"/>
      <c r="E351" s="70"/>
      <c r="F351" s="70"/>
      <c r="G351" s="73"/>
      <c r="H351" s="76" t="s">
        <v>450</v>
      </c>
      <c r="I351" s="99">
        <v>2</v>
      </c>
      <c r="J351" s="96" t="str">
        <f t="shared" si="70"/>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73"/>
      <c r="AI351" s="57"/>
      <c r="AJ351" s="45"/>
      <c r="AK351" s="45"/>
      <c r="AL351" s="45"/>
      <c r="AM351" s="469"/>
      <c r="AN351" s="469"/>
    </row>
    <row r="352" spans="1:40" outlineLevel="3" x14ac:dyDescent="0.25">
      <c r="A352" s="45"/>
      <c r="B352" s="54"/>
      <c r="C352" s="87">
        <f t="shared" si="71"/>
        <v>4</v>
      </c>
      <c r="D352" s="73"/>
      <c r="E352" s="70"/>
      <c r="F352" s="70"/>
      <c r="G352" s="73"/>
      <c r="H352" s="76" t="s">
        <v>2440</v>
      </c>
      <c r="I352" s="99">
        <v>2</v>
      </c>
      <c r="J352" s="96" t="str">
        <f t="shared" si="70"/>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73"/>
      <c r="AI352" s="57"/>
      <c r="AJ352" s="45"/>
      <c r="AK352" s="45"/>
      <c r="AL352" s="45"/>
      <c r="AM352" s="469"/>
      <c r="AN352" s="469"/>
    </row>
    <row r="353" spans="1:40" outlineLevel="3" x14ac:dyDescent="0.25">
      <c r="A353" s="45"/>
      <c r="B353" s="54"/>
      <c r="C353" s="87">
        <f t="shared" si="71"/>
        <v>4</v>
      </c>
      <c r="D353" s="73"/>
      <c r="E353" s="70"/>
      <c r="F353" s="70"/>
      <c r="G353" s="73"/>
      <c r="H353" s="76" t="s">
        <v>2441</v>
      </c>
      <c r="I353" s="99">
        <v>2</v>
      </c>
      <c r="J353" s="96" t="str">
        <f t="shared" si="70"/>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73"/>
      <c r="AI353" s="57"/>
      <c r="AJ353" s="45"/>
      <c r="AK353" s="45"/>
      <c r="AL353" s="45"/>
      <c r="AM353" s="469"/>
      <c r="AN353" s="469"/>
    </row>
    <row r="354" spans="1:40"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c r="AM354" s="469"/>
      <c r="AN354" s="469"/>
    </row>
    <row r="355" spans="1:40" outlineLevel="3" x14ac:dyDescent="0.25">
      <c r="A355" s="45"/>
      <c r="B355" s="54"/>
      <c r="C355" s="87">
        <f t="shared" si="71"/>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c r="AM355" s="469"/>
      <c r="AN355" s="469"/>
    </row>
    <row r="356" spans="1:40" outlineLevel="3" x14ac:dyDescent="0.25">
      <c r="A356" s="45"/>
      <c r="B356" s="54"/>
      <c r="C356" s="87">
        <f t="shared" si="71"/>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73"/>
      <c r="AI356" s="57"/>
      <c r="AJ356" s="45"/>
      <c r="AK356" s="45"/>
      <c r="AL356" s="45"/>
      <c r="AM356" s="469"/>
      <c r="AN356" s="469"/>
    </row>
    <row r="357" spans="1:40"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c r="AM357" s="469"/>
      <c r="AN357" s="469"/>
    </row>
    <row r="358" spans="1:40" outlineLevel="3" x14ac:dyDescent="0.25">
      <c r="A358" s="45"/>
      <c r="B358" s="54"/>
      <c r="C358" s="87">
        <f t="shared" si="71"/>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73"/>
      <c r="AI358" s="57"/>
      <c r="AJ358" s="45"/>
      <c r="AK358" s="45"/>
      <c r="AL358" s="45"/>
      <c r="AM358" s="469"/>
      <c r="AN358" s="469"/>
    </row>
    <row r="359" spans="1:40" outlineLevel="3" x14ac:dyDescent="0.25">
      <c r="A359" s="45"/>
      <c r="B359" s="54"/>
      <c r="C359" s="87">
        <f t="shared" si="71"/>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73"/>
      <c r="AI359" s="57"/>
      <c r="AJ359" s="45"/>
      <c r="AK359" s="45"/>
      <c r="AL359" s="45"/>
      <c r="AM359" s="469"/>
      <c r="AN359" s="469"/>
    </row>
    <row r="360" spans="1:40" outlineLevel="3" x14ac:dyDescent="0.25">
      <c r="A360" s="45"/>
      <c r="B360" s="54"/>
      <c r="C360" s="87">
        <f t="shared" si="71"/>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73"/>
      <c r="AI360" s="57"/>
      <c r="AJ360" s="45"/>
      <c r="AK360" s="45"/>
      <c r="AL360" s="45"/>
      <c r="AM360" s="469"/>
      <c r="AN360" s="469"/>
    </row>
    <row r="361" spans="1:40"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c r="AM361" s="469"/>
      <c r="AN361" s="469"/>
    </row>
    <row r="362" spans="1:40"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c r="AM362" s="469"/>
      <c r="AN362" s="469"/>
    </row>
    <row r="363" spans="1:40"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c r="AM363" s="469"/>
      <c r="AN363" s="469"/>
    </row>
    <row r="364" spans="1:40"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c r="AM364" s="469"/>
      <c r="AN364" s="469"/>
    </row>
    <row r="365" spans="1:40"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69"/>
      <c r="AN365" s="469"/>
    </row>
    <row r="366" spans="1:40"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69"/>
      <c r="AN366" s="469"/>
    </row>
    <row r="367" spans="1:40"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c r="AM367" s="469"/>
      <c r="AN367" s="469"/>
    </row>
    <row r="368" spans="1:40"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52"/>
      <c r="AI368" s="53"/>
      <c r="AJ368" s="45"/>
      <c r="AK368" s="45"/>
      <c r="AL368" s="45"/>
      <c r="AM368" s="469"/>
      <c r="AN368" s="469"/>
    </row>
    <row r="369" spans="1:40"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55"/>
      <c r="AI369" s="57"/>
      <c r="AJ369" s="45"/>
      <c r="AK369" s="45"/>
      <c r="AL369" s="45"/>
      <c r="AM369" s="469"/>
      <c r="AN369" s="469"/>
    </row>
    <row r="370" spans="1:40"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64"/>
      <c r="AI370" s="57"/>
      <c r="AJ370" s="45"/>
      <c r="AK370" s="45"/>
      <c r="AL370" s="45"/>
      <c r="AM370" s="469"/>
      <c r="AN370" s="469"/>
    </row>
    <row r="371" spans="1:40" ht="20.100000000000001" customHeight="1" outlineLevel="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69"/>
      <c r="AI371" s="57"/>
      <c r="AJ371" s="45"/>
      <c r="AK371" s="45"/>
      <c r="AL371" s="45"/>
      <c r="AM371" s="469"/>
      <c r="AN371" s="469"/>
    </row>
    <row r="372" spans="1:40"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c r="AM372" s="469"/>
      <c r="AN372" s="469"/>
    </row>
    <row r="373" spans="1:40"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c r="AM373" s="469"/>
      <c r="AN373" s="469"/>
    </row>
    <row r="374" spans="1:40" ht="15" customHeight="1" outlineLevel="2" x14ac:dyDescent="0.25">
      <c r="A374" s="45"/>
      <c r="B374" s="54"/>
      <c r="C374" s="87">
        <f>INT($C$370)+2</f>
        <v>3</v>
      </c>
      <c r="D374" s="55"/>
      <c r="E374" s="70"/>
      <c r="F374" s="70"/>
      <c r="G374" s="55"/>
      <c r="H374" s="72"/>
      <c r="I374" s="72"/>
      <c r="J374" s="235" t="s">
        <v>2252</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55"/>
      <c r="AI374" s="57"/>
      <c r="AJ374" s="45"/>
      <c r="AK374" s="45"/>
      <c r="AL374" s="45"/>
      <c r="AM374" s="469"/>
      <c r="AN374" s="469"/>
    </row>
    <row r="375" spans="1:40"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55"/>
      <c r="AI375" s="57"/>
      <c r="AJ375" s="45"/>
      <c r="AK375" s="45"/>
      <c r="AL375" s="45"/>
      <c r="AM375" s="469"/>
      <c r="AN375" s="469"/>
    </row>
    <row r="376" spans="1:40" outlineLevel="2" x14ac:dyDescent="0.25">
      <c r="A376" s="45"/>
      <c r="B376" s="54"/>
      <c r="C376" s="87">
        <f>INT($C$370)+2</f>
        <v>3</v>
      </c>
      <c r="D376" s="55"/>
      <c r="E376" s="70"/>
      <c r="F376" s="70"/>
      <c r="G376" s="55"/>
      <c r="H376" s="72" t="s">
        <v>2251</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55"/>
      <c r="AI376" s="57"/>
      <c r="AJ376" s="45"/>
      <c r="AK376" s="45"/>
      <c r="AL376" s="45"/>
      <c r="AM376" s="469"/>
      <c r="AN376" s="469"/>
    </row>
    <row r="377" spans="1:40" ht="11.45"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55"/>
      <c r="AI377" s="57"/>
      <c r="AJ377" s="45"/>
      <c r="AK377" s="45"/>
      <c r="AL377" s="45"/>
      <c r="AM377" s="469"/>
      <c r="AN377" s="469"/>
    </row>
    <row r="378" spans="1:40"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c r="AM378" s="469"/>
      <c r="AN378" s="469"/>
    </row>
    <row r="379" spans="1:40"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c r="AM379" s="469"/>
      <c r="AN379" s="469"/>
    </row>
    <row r="380" spans="1:40"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c r="AM380" s="469"/>
      <c r="AN380" s="469"/>
    </row>
    <row r="381" spans="1:40"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c r="AM381" s="469"/>
      <c r="AN381" s="469"/>
    </row>
    <row r="382" spans="1:40" outlineLevel="2" x14ac:dyDescent="0.25">
      <c r="A382" s="45"/>
      <c r="B382" s="54"/>
      <c r="C382" s="87">
        <f>INT($C$370)+2</f>
        <v>3</v>
      </c>
      <c r="D382" s="73"/>
      <c r="E382" s="70"/>
      <c r="F382" s="70"/>
      <c r="G382" s="73"/>
      <c r="H382" s="76" t="s">
        <v>463</v>
      </c>
      <c r="I382" s="97" t="b">
        <v>0</v>
      </c>
      <c r="J382" s="76"/>
      <c r="K382" s="76"/>
      <c r="L382" s="76"/>
      <c r="M382" s="76"/>
      <c r="N382" s="237" t="s">
        <v>2794</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c r="AM382" s="469"/>
      <c r="AN382" s="469"/>
    </row>
    <row r="383" spans="1:40" outlineLevel="2" x14ac:dyDescent="0.25">
      <c r="A383" s="45"/>
      <c r="B383" s="54"/>
      <c r="C383" s="87">
        <f>INT($C$370)+2</f>
        <v>3</v>
      </c>
      <c r="D383" s="73"/>
      <c r="E383" s="70"/>
      <c r="F383" s="70"/>
      <c r="G383" s="73"/>
      <c r="H383" s="76"/>
      <c r="I383" s="238" t="s">
        <v>172</v>
      </c>
      <c r="J383" s="237" t="s">
        <v>464</v>
      </c>
      <c r="K383" s="95"/>
      <c r="L383" s="95"/>
      <c r="M383" s="76"/>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3"/>
      <c r="AI383" s="57"/>
      <c r="AJ383" s="45"/>
      <c r="AK383" s="45"/>
      <c r="AL383" s="45"/>
      <c r="AM383" s="469"/>
      <c r="AN383" s="469"/>
    </row>
    <row r="384" spans="1:40"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73"/>
      <c r="AI384" s="57"/>
      <c r="AJ384" s="45"/>
      <c r="AK384" s="45"/>
      <c r="AL384" s="45"/>
      <c r="AM384" s="469"/>
      <c r="AN384" s="469"/>
    </row>
    <row r="385" spans="1:40"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3"/>
      <c r="AI385" s="57"/>
      <c r="AJ385" s="45"/>
      <c r="AK385" s="45"/>
      <c r="AL385" s="45"/>
      <c r="AM385" s="469"/>
      <c r="AN385" s="469"/>
    </row>
    <row r="386" spans="1:40" outlineLevel="3" x14ac:dyDescent="0.25">
      <c r="A386" s="45"/>
      <c r="B386" s="54"/>
      <c r="C386" s="87">
        <f t="shared" ref="C386:C401" si="72">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3"/>
      <c r="AI386" s="57"/>
      <c r="AJ386" s="45"/>
      <c r="AK386" s="45"/>
      <c r="AL386" s="45"/>
      <c r="AM386" s="469"/>
      <c r="AN386" s="469"/>
    </row>
    <row r="387" spans="1:40" outlineLevel="3" x14ac:dyDescent="0.25">
      <c r="A387" s="45"/>
      <c r="B387" s="54"/>
      <c r="C387" s="87">
        <f t="shared" si="72"/>
        <v>4</v>
      </c>
      <c r="D387" s="73"/>
      <c r="E387" s="70"/>
      <c r="F387" s="70"/>
      <c r="G387" s="73"/>
      <c r="H387" s="291" t="s">
        <v>2368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3"/>
      <c r="AI387" s="57"/>
      <c r="AJ387" s="45"/>
      <c r="AK387" s="45"/>
      <c r="AL387" s="45"/>
      <c r="AM387" s="469"/>
      <c r="AN387" s="469"/>
    </row>
    <row r="388" spans="1:40" outlineLevel="3" x14ac:dyDescent="0.25">
      <c r="A388" s="45"/>
      <c r="B388" s="54"/>
      <c r="C388" s="87">
        <f t="shared" si="72"/>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c r="AM388" s="469"/>
      <c r="AN388" s="469"/>
    </row>
    <row r="389" spans="1:40" outlineLevel="3" x14ac:dyDescent="0.25">
      <c r="A389" s="45"/>
      <c r="B389" s="54"/>
      <c r="C389" s="87">
        <f t="shared" si="72"/>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c r="AM389" s="469"/>
      <c r="AN389" s="469"/>
    </row>
    <row r="390" spans="1:40" outlineLevel="3" x14ac:dyDescent="0.25">
      <c r="A390" s="45"/>
      <c r="B390" s="54"/>
      <c r="C390" s="87">
        <f t="shared" si="72"/>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c r="AM390" s="469"/>
      <c r="AN390" s="469"/>
    </row>
    <row r="391" spans="1:40" outlineLevel="3" x14ac:dyDescent="0.25">
      <c r="A391" s="45"/>
      <c r="B391" s="54"/>
      <c r="C391" s="87">
        <f t="shared" si="72"/>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c r="AM391" s="469"/>
      <c r="AN391" s="469"/>
    </row>
    <row r="392" spans="1:40" outlineLevel="3" x14ac:dyDescent="0.25">
      <c r="A392" s="45"/>
      <c r="B392" s="54"/>
      <c r="C392" s="87">
        <f t="shared" si="72"/>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c r="AM392" s="469"/>
      <c r="AN392" s="469"/>
    </row>
    <row r="393" spans="1:40" outlineLevel="3" x14ac:dyDescent="0.25">
      <c r="A393" s="45"/>
      <c r="B393" s="54"/>
      <c r="C393" s="87">
        <f t="shared" si="72"/>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3"/>
      <c r="AI393" s="57"/>
      <c r="AJ393" s="45"/>
      <c r="AK393" s="45"/>
      <c r="AL393" s="45"/>
      <c r="AM393" s="469"/>
      <c r="AN393" s="469"/>
    </row>
    <row r="394" spans="1:40" outlineLevel="3" x14ac:dyDescent="0.25">
      <c r="A394" s="45"/>
      <c r="B394" s="54"/>
      <c r="C394" s="87">
        <f t="shared" si="72"/>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3"/>
      <c r="AI394" s="57"/>
      <c r="AJ394" s="45"/>
      <c r="AK394" s="45"/>
      <c r="AL394" s="45"/>
      <c r="AM394" s="469"/>
      <c r="AN394" s="469"/>
    </row>
    <row r="395" spans="1:40" outlineLevel="3" x14ac:dyDescent="0.25">
      <c r="A395" s="45"/>
      <c r="B395" s="54"/>
      <c r="C395" s="87">
        <f t="shared" si="72"/>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3"/>
      <c r="AI395" s="57"/>
      <c r="AJ395" s="45"/>
      <c r="AK395" s="45"/>
      <c r="AL395" s="45"/>
      <c r="AM395" s="469"/>
      <c r="AN395" s="469"/>
    </row>
    <row r="396" spans="1:40" outlineLevel="3" x14ac:dyDescent="0.25">
      <c r="A396" s="45"/>
      <c r="B396" s="54"/>
      <c r="C396" s="87">
        <f t="shared" si="72"/>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c r="AM396" s="469"/>
      <c r="AN396" s="469"/>
    </row>
    <row r="397" spans="1:40" outlineLevel="3" x14ac:dyDescent="0.25">
      <c r="A397" s="45"/>
      <c r="B397" s="54"/>
      <c r="C397" s="87">
        <f t="shared" si="72"/>
        <v>4</v>
      </c>
      <c r="D397" s="73"/>
      <c r="E397" s="70"/>
      <c r="F397" s="70"/>
      <c r="G397" s="73"/>
      <c r="H397" s="291" t="s">
        <v>2254</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3"/>
      <c r="AI397" s="57"/>
      <c r="AJ397" s="45"/>
      <c r="AK397" s="45"/>
      <c r="AL397" s="45"/>
      <c r="AM397" s="469"/>
      <c r="AN397" s="469"/>
    </row>
    <row r="398" spans="1:40" outlineLevel="3" x14ac:dyDescent="0.25">
      <c r="A398" s="45"/>
      <c r="B398" s="54"/>
      <c r="C398" s="87">
        <f t="shared" si="72"/>
        <v>4</v>
      </c>
      <c r="D398" s="73"/>
      <c r="E398" s="70"/>
      <c r="F398" s="70"/>
      <c r="G398" s="73"/>
      <c r="H398" s="291" t="s">
        <v>2328</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3"/>
      <c r="AI398" s="57"/>
      <c r="AJ398" s="45"/>
      <c r="AK398" s="45"/>
      <c r="AL398" s="45"/>
      <c r="AM398" s="469"/>
      <c r="AN398" s="469"/>
    </row>
    <row r="399" spans="1:40" outlineLevel="3" x14ac:dyDescent="0.25">
      <c r="A399" s="45"/>
      <c r="B399" s="54"/>
      <c r="C399" s="87">
        <f t="shared" si="72"/>
        <v>4</v>
      </c>
      <c r="D399" s="73"/>
      <c r="E399" s="70"/>
      <c r="F399" s="70"/>
      <c r="G399" s="73"/>
      <c r="H399" s="291" t="s">
        <v>2369</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3"/>
      <c r="AI399" s="57"/>
      <c r="AJ399" s="45"/>
      <c r="AK399" s="45"/>
      <c r="AL399" s="45"/>
      <c r="AM399" s="469"/>
      <c r="AN399" s="469"/>
    </row>
    <row r="400" spans="1:40" outlineLevel="3" x14ac:dyDescent="0.25">
      <c r="A400" s="45"/>
      <c r="B400" s="54"/>
      <c r="C400" s="87">
        <f t="shared" si="72"/>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c r="AM400" s="469"/>
      <c r="AN400" s="469"/>
    </row>
    <row r="401" spans="1:40" outlineLevel="3" x14ac:dyDescent="0.25">
      <c r="A401" s="45"/>
      <c r="B401" s="54"/>
      <c r="C401" s="87">
        <f t="shared" si="72"/>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c r="AM401" s="469"/>
      <c r="AN401" s="469"/>
    </row>
    <row r="402" spans="1:40"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c r="AM402" s="469"/>
      <c r="AN402" s="469"/>
    </row>
    <row r="403" spans="1:40"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c r="AM403" s="469"/>
      <c r="AN403" s="469"/>
    </row>
    <row r="404" spans="1:40"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c r="AM404" s="469"/>
      <c r="AN404" s="469"/>
    </row>
    <row r="405" spans="1:40"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69"/>
      <c r="AN405" s="469"/>
    </row>
    <row r="406" spans="1:40"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69"/>
      <c r="AN406" s="469"/>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AU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opLeftCell="A32" zoomScale="80" zoomScaleNormal="80" workbookViewId="0">
      <selection activeCell="A63" sqref="A63:XFD6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45064.748086226798</v>
      </c>
      <c r="J11" s="461" t="s">
        <v>2895</v>
      </c>
      <c r="K11" s="462"/>
      <c r="L11" s="462"/>
      <c r="M11" s="462"/>
      <c r="N11" s="462"/>
      <c r="O11" s="462"/>
      <c r="P11" s="462"/>
      <c r="Q11" s="462"/>
      <c r="R11" s="462"/>
      <c r="S11" s="462"/>
      <c r="T11" s="462"/>
      <c r="U11" s="462"/>
      <c r="V11" s="462"/>
      <c r="W11" s="462"/>
      <c r="X11" s="462"/>
      <c r="Y11" s="462"/>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8">
        <v>45078.962848726798</v>
      </c>
      <c r="J12" s="463" t="s">
        <v>2897</v>
      </c>
      <c r="K12" s="464"/>
      <c r="L12" s="464"/>
      <c r="M12" s="464"/>
      <c r="N12" s="464"/>
      <c r="O12" s="464"/>
      <c r="P12" s="464"/>
      <c r="Q12" s="464"/>
      <c r="R12" s="464"/>
      <c r="S12" s="464"/>
      <c r="T12" s="464"/>
      <c r="U12" s="464"/>
      <c r="V12" s="464"/>
      <c r="W12" s="464"/>
      <c r="X12" s="464"/>
      <c r="Y12" s="464"/>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2315</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519</v>
      </c>
      <c r="I45" s="96"/>
      <c r="J45" s="96"/>
      <c r="K45" s="76"/>
      <c r="L45" s="76"/>
      <c r="M45" s="76"/>
      <c r="N45" s="76"/>
      <c r="O45" s="76"/>
      <c r="P45" s="76"/>
      <c r="Q45" s="76"/>
      <c r="R45" s="76"/>
      <c r="S45" s="76"/>
      <c r="T45" s="76"/>
      <c r="U45" s="255">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520</v>
      </c>
      <c r="I46" s="96"/>
      <c r="J46" s="96"/>
      <c r="K46" s="76"/>
      <c r="L46" s="76"/>
      <c r="M46" s="76"/>
      <c r="N46" s="76"/>
      <c r="O46" s="76"/>
      <c r="P46" s="76"/>
      <c r="Q46" s="76"/>
      <c r="R46" s="76"/>
      <c r="S46" s="76"/>
      <c r="T46" s="76"/>
      <c r="U46" s="255">
        <v>1</v>
      </c>
      <c r="V46" s="97">
        <v>1</v>
      </c>
      <c r="W46" s="97">
        <v>1</v>
      </c>
      <c r="X46" s="97">
        <v>0</v>
      </c>
      <c r="Y46" s="97">
        <v>0.75</v>
      </c>
      <c r="Z46" s="97">
        <v>0.75</v>
      </c>
      <c r="AA46" s="97">
        <v>0.75</v>
      </c>
      <c r="AB46" s="97">
        <v>0.5</v>
      </c>
      <c r="AC46" s="76"/>
      <c r="AD46" s="97" t="s">
        <v>521</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522</v>
      </c>
      <c r="I47" s="96" t="s">
        <v>523</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521</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524</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525</v>
      </c>
      <c r="I49" s="96" t="s">
        <v>526</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527</v>
      </c>
      <c r="I50" s="96" t="s">
        <v>1501</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528</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529</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530</v>
      </c>
      <c r="I53" s="96" t="s">
        <v>120</v>
      </c>
      <c r="J53" s="96"/>
      <c r="K53" s="76"/>
      <c r="L53" s="76"/>
      <c r="M53" s="76"/>
      <c r="N53" s="76"/>
      <c r="O53" s="76"/>
      <c r="P53" s="76"/>
      <c r="Q53" s="76"/>
      <c r="R53" s="76"/>
      <c r="S53" s="76"/>
      <c r="T53" s="76"/>
      <c r="U53" s="256">
        <f>1-(U51+U52)</f>
        <v>0.88</v>
      </c>
      <c r="V53" s="256">
        <f t="shared" ref="V53:AB53" si="1">1-(V51+V52)</f>
        <v>0.88</v>
      </c>
      <c r="W53" s="256">
        <f t="shared" si="1"/>
        <v>0.88</v>
      </c>
      <c r="X53" s="256">
        <f t="shared" si="1"/>
        <v>0.88</v>
      </c>
      <c r="Y53" s="256">
        <f t="shared" si="1"/>
        <v>0.88</v>
      </c>
      <c r="Z53" s="256">
        <f t="shared" si="1"/>
        <v>0.88</v>
      </c>
      <c r="AA53" s="256">
        <f t="shared" si="1"/>
        <v>0.88</v>
      </c>
      <c r="AB53" s="256">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531</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532</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533</v>
      </c>
      <c r="I56" s="96" t="s">
        <v>120</v>
      </c>
      <c r="J56" s="96"/>
      <c r="K56" s="76"/>
      <c r="L56" s="76"/>
      <c r="M56" s="76"/>
      <c r="N56" s="76"/>
      <c r="O56" s="76"/>
      <c r="P56" s="76"/>
      <c r="Q56" s="76"/>
      <c r="R56" s="76"/>
      <c r="S56" s="76"/>
      <c r="T56" s="76"/>
      <c r="U56" s="256">
        <f>1-(U54+U55)</f>
        <v>0.83000000000000007</v>
      </c>
      <c r="V56" s="256">
        <f t="shared" ref="V56:AB56" si="2">1-(V54+V55)</f>
        <v>0.83000000000000007</v>
      </c>
      <c r="W56" s="256">
        <f t="shared" si="2"/>
        <v>0.83000000000000007</v>
      </c>
      <c r="X56" s="256">
        <f t="shared" si="2"/>
        <v>0.83000000000000007</v>
      </c>
      <c r="Y56" s="256">
        <f t="shared" si="2"/>
        <v>0.83000000000000007</v>
      </c>
      <c r="Z56" s="256">
        <f t="shared" si="2"/>
        <v>0.83000000000000007</v>
      </c>
      <c r="AA56" s="256">
        <f t="shared" si="2"/>
        <v>0.83000000000000007</v>
      </c>
      <c r="AB56" s="256">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2636</v>
      </c>
      <c r="I57" s="96" t="s">
        <v>120</v>
      </c>
      <c r="J57" s="96"/>
      <c r="K57" s="76"/>
      <c r="L57" s="76"/>
      <c r="M57" s="76"/>
      <c r="N57" s="76"/>
      <c r="O57" s="76"/>
      <c r="P57" s="76"/>
      <c r="Q57" s="76"/>
      <c r="R57" s="76"/>
      <c r="S57" s="76"/>
      <c r="T57" s="76"/>
      <c r="U57" s="123">
        <v>1.1000000000000001</v>
      </c>
      <c r="V57" s="123">
        <v>1.25</v>
      </c>
      <c r="W57" s="123">
        <v>1.28</v>
      </c>
      <c r="X57" s="257">
        <f>Y57</f>
        <v>1.35</v>
      </c>
      <c r="Y57" s="123">
        <v>1.35</v>
      </c>
      <c r="Z57" s="257">
        <f t="shared" ref="Z57:AB62" si="3">Y57</f>
        <v>1.35</v>
      </c>
      <c r="AA57" s="257">
        <f t="shared" si="3"/>
        <v>1.35</v>
      </c>
      <c r="AB57" s="257">
        <f t="shared" si="3"/>
        <v>1.35</v>
      </c>
      <c r="AC57" s="76"/>
      <c r="AD57" s="97" t="s">
        <v>2391</v>
      </c>
      <c r="AE57" s="76"/>
      <c r="AF57" s="97">
        <v>1</v>
      </c>
      <c r="AG57" s="97">
        <v>1</v>
      </c>
      <c r="AH57" s="73"/>
      <c r="AI57" s="57"/>
      <c r="AJ57" s="45"/>
      <c r="AK57" s="45"/>
      <c r="AL57" s="45"/>
    </row>
    <row r="58" spans="1:38" outlineLevel="2" x14ac:dyDescent="0.25">
      <c r="A58" s="45"/>
      <c r="B58" s="54"/>
      <c r="C58" s="47">
        <f t="shared" si="0"/>
        <v>3</v>
      </c>
      <c r="D58" s="73"/>
      <c r="E58" s="70"/>
      <c r="F58" s="70"/>
      <c r="G58" s="73"/>
      <c r="H58" s="76" t="s">
        <v>2663</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2664</v>
      </c>
      <c r="AE58" s="76"/>
      <c r="AF58" s="97">
        <v>1</v>
      </c>
      <c r="AG58" s="97">
        <v>1</v>
      </c>
      <c r="AH58" s="73"/>
      <c r="AI58" s="57"/>
      <c r="AJ58" s="45"/>
      <c r="AK58" s="45"/>
      <c r="AL58" s="45"/>
    </row>
    <row r="59" spans="1:38" outlineLevel="2" x14ac:dyDescent="0.25">
      <c r="A59" s="45"/>
      <c r="B59" s="54"/>
      <c r="C59" s="47">
        <f t="shared" si="0"/>
        <v>3</v>
      </c>
      <c r="D59" s="73"/>
      <c r="E59" s="70"/>
      <c r="F59" s="70"/>
      <c r="G59" s="73"/>
      <c r="H59" s="76" t="s">
        <v>2848</v>
      </c>
      <c r="I59" s="96" t="s">
        <v>2476</v>
      </c>
      <c r="J59" s="96"/>
      <c r="K59" s="76"/>
      <c r="L59" s="76"/>
      <c r="M59" s="76"/>
      <c r="N59" s="76"/>
      <c r="O59" s="76"/>
      <c r="P59" s="76"/>
      <c r="Q59" s="76"/>
      <c r="R59" s="76"/>
      <c r="S59" s="76"/>
      <c r="T59" s="76"/>
      <c r="U59" s="265">
        <v>40</v>
      </c>
      <c r="V59" s="265">
        <v>40</v>
      </c>
      <c r="W59" s="265">
        <v>40</v>
      </c>
      <c r="X59" s="384">
        <f>Y59</f>
        <v>40</v>
      </c>
      <c r="Y59" s="265">
        <v>40</v>
      </c>
      <c r="Z59" s="384">
        <f t="shared" ref="Z59" si="4">Y59</f>
        <v>40</v>
      </c>
      <c r="AA59" s="384">
        <f t="shared" ref="AA59" si="5">Z59</f>
        <v>40</v>
      </c>
      <c r="AB59" s="384">
        <f t="shared" ref="AB59" si="6">AA59</f>
        <v>40</v>
      </c>
      <c r="AC59" s="76"/>
      <c r="AD59" s="97" t="s">
        <v>2633</v>
      </c>
      <c r="AE59" s="76"/>
      <c r="AF59" s="97">
        <v>1</v>
      </c>
      <c r="AG59" s="97">
        <v>1</v>
      </c>
      <c r="AH59" s="73"/>
      <c r="AI59" s="57"/>
      <c r="AJ59" s="45"/>
      <c r="AK59" s="45"/>
      <c r="AL59" s="45"/>
    </row>
    <row r="60" spans="1:38" outlineLevel="2" x14ac:dyDescent="0.25">
      <c r="A60" s="45"/>
      <c r="B60" s="54"/>
      <c r="C60" s="47">
        <f t="shared" si="0"/>
        <v>3</v>
      </c>
      <c r="D60" s="73"/>
      <c r="E60" s="70"/>
      <c r="F60" s="70"/>
      <c r="G60" s="73"/>
      <c r="H60" s="76" t="s">
        <v>534</v>
      </c>
      <c r="I60" s="96" t="s">
        <v>120</v>
      </c>
      <c r="J60" s="385" t="s">
        <v>2373</v>
      </c>
      <c r="K60" s="76"/>
      <c r="L60" s="76"/>
      <c r="M60" s="76"/>
      <c r="N60" s="76"/>
      <c r="O60" s="76"/>
      <c r="P60" s="76"/>
      <c r="Q60" s="76"/>
      <c r="R60" s="76"/>
      <c r="S60" s="76"/>
      <c r="T60" s="76"/>
      <c r="U60" s="123">
        <v>0.8</v>
      </c>
      <c r="V60" s="123">
        <v>0.88</v>
      </c>
      <c r="W60" s="123">
        <v>0.9</v>
      </c>
      <c r="X60" s="257">
        <f t="shared" ref="X60:X62" si="7">Y60</f>
        <v>0.94</v>
      </c>
      <c r="Y60" s="123">
        <v>0.94</v>
      </c>
      <c r="Z60" s="257">
        <f t="shared" si="3"/>
        <v>0.94</v>
      </c>
      <c r="AA60" s="257">
        <f t="shared" si="3"/>
        <v>0.94</v>
      </c>
      <c r="AB60" s="257">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535</v>
      </c>
      <c r="I61" s="96" t="s">
        <v>120</v>
      </c>
      <c r="J61" s="96"/>
      <c r="K61" s="76"/>
      <c r="L61" s="76"/>
      <c r="M61" s="76"/>
      <c r="N61" s="76"/>
      <c r="O61" s="76"/>
      <c r="P61" s="76"/>
      <c r="Q61" s="76"/>
      <c r="R61" s="76"/>
      <c r="S61" s="76"/>
      <c r="T61" s="76"/>
      <c r="U61" s="123">
        <v>0.55000000000000004</v>
      </c>
      <c r="V61" s="123">
        <v>0.65</v>
      </c>
      <c r="W61" s="123">
        <v>0.65</v>
      </c>
      <c r="X61" s="257">
        <f t="shared" si="7"/>
        <v>0.75</v>
      </c>
      <c r="Y61" s="123">
        <v>0.75</v>
      </c>
      <c r="Z61" s="257">
        <f t="shared" si="3"/>
        <v>0.75</v>
      </c>
      <c r="AA61" s="257">
        <f t="shared" si="3"/>
        <v>0.75</v>
      </c>
      <c r="AB61" s="257">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536</v>
      </c>
      <c r="I62" s="96" t="s">
        <v>120</v>
      </c>
      <c r="J62" s="96"/>
      <c r="K62" s="76"/>
      <c r="L62" s="76"/>
      <c r="M62" s="76"/>
      <c r="N62" s="76"/>
      <c r="O62" s="76"/>
      <c r="P62" s="76"/>
      <c r="Q62" s="76"/>
      <c r="R62" s="76"/>
      <c r="S62" s="76"/>
      <c r="T62" s="76"/>
      <c r="U62" s="123">
        <v>0.4</v>
      </c>
      <c r="V62" s="123">
        <v>0.5</v>
      </c>
      <c r="W62" s="123">
        <v>0.5</v>
      </c>
      <c r="X62" s="257">
        <f t="shared" si="7"/>
        <v>0.55000000000000004</v>
      </c>
      <c r="Y62" s="123">
        <v>0.55000000000000004</v>
      </c>
      <c r="Z62" s="257">
        <f t="shared" si="3"/>
        <v>0.55000000000000004</v>
      </c>
      <c r="AA62" s="257">
        <f t="shared" si="3"/>
        <v>0.55000000000000004</v>
      </c>
      <c r="AB62" s="257">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2364</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2847</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2846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2847</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2366</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2847</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2365</v>
      </c>
      <c r="I66" s="96" t="s">
        <v>2327</v>
      </c>
      <c r="J66" s="96"/>
      <c r="K66" s="76"/>
      <c r="L66" s="76"/>
      <c r="M66" s="76"/>
      <c r="N66" s="76"/>
      <c r="O66" s="76"/>
      <c r="P66" s="76"/>
      <c r="Q66" s="76"/>
      <c r="R66" s="76"/>
      <c r="S66" s="76"/>
      <c r="T66" s="76"/>
      <c r="U66" s="265">
        <f>0.15*U$65</f>
        <v>1.7999999999999999E-2</v>
      </c>
      <c r="V66" s="265">
        <f t="shared" ref="V66:AB66" si="8">0.15*V$65</f>
        <v>1.7999999999999999E-2</v>
      </c>
      <c r="W66" s="265">
        <f t="shared" si="8"/>
        <v>1.7999999999999999E-2</v>
      </c>
      <c r="X66" s="265">
        <f t="shared" si="8"/>
        <v>1.7999999999999999E-2</v>
      </c>
      <c r="Y66" s="265">
        <f t="shared" si="8"/>
        <v>1.7999999999999999E-2</v>
      </c>
      <c r="Z66" s="265">
        <f t="shared" si="8"/>
        <v>1.7999999999999999E-2</v>
      </c>
      <c r="AA66" s="265">
        <f t="shared" si="8"/>
        <v>1.7999999999999999E-2</v>
      </c>
      <c r="AB66" s="265">
        <f t="shared" si="8"/>
        <v>1.7999999999999999E-2</v>
      </c>
      <c r="AC66" s="76"/>
      <c r="AD66" s="97" t="s">
        <v>2868</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2313</v>
      </c>
      <c r="I68" s="96" t="s">
        <v>120</v>
      </c>
      <c r="J68" s="385" t="s">
        <v>2372</v>
      </c>
      <c r="K68" s="76"/>
      <c r="L68" s="76"/>
      <c r="M68" s="76"/>
      <c r="N68" s="76"/>
      <c r="O68" s="76"/>
      <c r="P68" s="76"/>
      <c r="Q68" s="76"/>
      <c r="R68" s="76"/>
      <c r="S68" s="76"/>
      <c r="T68" s="76"/>
      <c r="U68" s="123">
        <v>0</v>
      </c>
      <c r="V68" s="258">
        <f t="shared" ref="V68:AB75" si="9">U68</f>
        <v>0</v>
      </c>
      <c r="W68" s="258">
        <f t="shared" si="9"/>
        <v>0</v>
      </c>
      <c r="X68" s="257">
        <f t="shared" si="9"/>
        <v>0</v>
      </c>
      <c r="Y68" s="257">
        <f t="shared" si="9"/>
        <v>0</v>
      </c>
      <c r="Z68" s="257">
        <f t="shared" si="9"/>
        <v>0</v>
      </c>
      <c r="AA68" s="257">
        <f t="shared" si="9"/>
        <v>0</v>
      </c>
      <c r="AB68" s="257">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2689</v>
      </c>
      <c r="I69" s="96" t="s">
        <v>120</v>
      </c>
      <c r="J69" s="96"/>
      <c r="K69" s="76"/>
      <c r="L69" s="76"/>
      <c r="M69" s="76"/>
      <c r="N69" s="76"/>
      <c r="O69" s="76"/>
      <c r="P69" s="76"/>
      <c r="Q69" s="76"/>
      <c r="R69" s="76"/>
      <c r="S69" s="76"/>
      <c r="T69" s="76"/>
      <c r="U69" s="259">
        <f>0.96^$F69*(1-0.96)/(1-0.96^$T$67)*($F69&lt;$T$67)*(1-$U$68)</f>
        <v>0.16093178091915078</v>
      </c>
      <c r="V69" s="258">
        <f t="shared" si="9"/>
        <v>0.16093178091915078</v>
      </c>
      <c r="W69" s="258">
        <f t="shared" si="9"/>
        <v>0.16093178091915078</v>
      </c>
      <c r="X69" s="257">
        <f t="shared" si="9"/>
        <v>0.16093178091915078</v>
      </c>
      <c r="Y69" s="257">
        <f t="shared" si="9"/>
        <v>0.16093178091915078</v>
      </c>
      <c r="Z69" s="257">
        <f t="shared" si="9"/>
        <v>0.16093178091915078</v>
      </c>
      <c r="AA69" s="257">
        <f t="shared" si="9"/>
        <v>0.16093178091915078</v>
      </c>
      <c r="AB69" s="257">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537</v>
      </c>
      <c r="I70" s="96" t="s">
        <v>120</v>
      </c>
      <c r="J70" s="96"/>
      <c r="K70" s="76"/>
      <c r="L70" s="76"/>
      <c r="M70" s="76"/>
      <c r="N70" s="76"/>
      <c r="O70" s="76"/>
      <c r="P70" s="76"/>
      <c r="Q70" s="76"/>
      <c r="R70" s="76"/>
      <c r="S70" s="76"/>
      <c r="T70" s="76"/>
      <c r="U70" s="259">
        <f t="shared" ref="U70:U75" si="10">0.96^$F70*(1-0.96)/(1-0.96^$T$67)*($F70&lt;$T$67)*(1-$U$68)</f>
        <v>0.15449450968238473</v>
      </c>
      <c r="V70" s="258">
        <f t="shared" si="9"/>
        <v>0.15449450968238473</v>
      </c>
      <c r="W70" s="258">
        <f t="shared" si="9"/>
        <v>0.15449450968238473</v>
      </c>
      <c r="X70" s="257">
        <f t="shared" si="9"/>
        <v>0.15449450968238473</v>
      </c>
      <c r="Y70" s="257">
        <f t="shared" si="9"/>
        <v>0.15449450968238473</v>
      </c>
      <c r="Z70" s="257">
        <f t="shared" si="9"/>
        <v>0.15449450968238473</v>
      </c>
      <c r="AA70" s="257">
        <f t="shared" si="9"/>
        <v>0.15449450968238473</v>
      </c>
      <c r="AB70" s="257">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538</v>
      </c>
      <c r="I71" s="96" t="s">
        <v>120</v>
      </c>
      <c r="J71" s="96"/>
      <c r="K71" s="76"/>
      <c r="L71" s="76"/>
      <c r="M71" s="76"/>
      <c r="N71" s="76"/>
      <c r="O71" s="76"/>
      <c r="P71" s="76"/>
      <c r="Q71" s="76"/>
      <c r="R71" s="76"/>
      <c r="S71" s="76"/>
      <c r="T71" s="76"/>
      <c r="U71" s="259">
        <f t="shared" si="10"/>
        <v>0.14831472929508935</v>
      </c>
      <c r="V71" s="258">
        <f t="shared" si="9"/>
        <v>0.14831472929508935</v>
      </c>
      <c r="W71" s="258">
        <f t="shared" si="9"/>
        <v>0.14831472929508935</v>
      </c>
      <c r="X71" s="257">
        <f t="shared" si="9"/>
        <v>0.14831472929508935</v>
      </c>
      <c r="Y71" s="257">
        <f t="shared" si="9"/>
        <v>0.14831472929508935</v>
      </c>
      <c r="Z71" s="257">
        <f t="shared" si="9"/>
        <v>0.14831472929508935</v>
      </c>
      <c r="AA71" s="257">
        <f t="shared" si="9"/>
        <v>0.14831472929508935</v>
      </c>
      <c r="AB71" s="257">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539</v>
      </c>
      <c r="I72" s="96" t="s">
        <v>120</v>
      </c>
      <c r="J72" s="96"/>
      <c r="K72" s="76"/>
      <c r="L72" s="76"/>
      <c r="M72" s="76"/>
      <c r="N72" s="76"/>
      <c r="O72" s="76"/>
      <c r="P72" s="76"/>
      <c r="Q72" s="76"/>
      <c r="R72" s="76"/>
      <c r="S72" s="76"/>
      <c r="T72" s="76"/>
      <c r="U72" s="259">
        <f t="shared" si="10"/>
        <v>0.14238214012328579</v>
      </c>
      <c r="V72" s="258">
        <f t="shared" si="9"/>
        <v>0.14238214012328579</v>
      </c>
      <c r="W72" s="258">
        <f t="shared" si="9"/>
        <v>0.14238214012328579</v>
      </c>
      <c r="X72" s="257">
        <f t="shared" si="9"/>
        <v>0.14238214012328579</v>
      </c>
      <c r="Y72" s="257">
        <f t="shared" si="9"/>
        <v>0.14238214012328579</v>
      </c>
      <c r="Z72" s="257">
        <f t="shared" si="9"/>
        <v>0.14238214012328579</v>
      </c>
      <c r="AA72" s="257">
        <f t="shared" si="9"/>
        <v>0.14238214012328579</v>
      </c>
      <c r="AB72" s="257">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540</v>
      </c>
      <c r="I73" s="96" t="s">
        <v>120</v>
      </c>
      <c r="J73" s="96"/>
      <c r="K73" s="76"/>
      <c r="L73" s="76"/>
      <c r="M73" s="76"/>
      <c r="N73" s="76"/>
      <c r="O73" s="76"/>
      <c r="P73" s="76"/>
      <c r="Q73" s="76"/>
      <c r="R73" s="76"/>
      <c r="S73" s="76"/>
      <c r="T73" s="76"/>
      <c r="U73" s="259">
        <f t="shared" si="10"/>
        <v>0.13668685451835433</v>
      </c>
      <c r="V73" s="258">
        <f t="shared" si="9"/>
        <v>0.13668685451835433</v>
      </c>
      <c r="W73" s="258">
        <f t="shared" si="9"/>
        <v>0.13668685451835433</v>
      </c>
      <c r="X73" s="257">
        <f t="shared" si="9"/>
        <v>0.13668685451835433</v>
      </c>
      <c r="Y73" s="257">
        <f t="shared" si="9"/>
        <v>0.13668685451835433</v>
      </c>
      <c r="Z73" s="257">
        <f t="shared" si="9"/>
        <v>0.13668685451835433</v>
      </c>
      <c r="AA73" s="257">
        <f t="shared" si="9"/>
        <v>0.13668685451835433</v>
      </c>
      <c r="AB73" s="257">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541</v>
      </c>
      <c r="I74" s="96" t="s">
        <v>120</v>
      </c>
      <c r="J74" s="96"/>
      <c r="K74" s="76"/>
      <c r="L74" s="76"/>
      <c r="M74" s="76"/>
      <c r="N74" s="76"/>
      <c r="O74" s="76"/>
      <c r="P74" s="76"/>
      <c r="Q74" s="76"/>
      <c r="R74" s="76"/>
      <c r="S74" s="76"/>
      <c r="T74" s="76"/>
      <c r="U74" s="259">
        <f t="shared" si="10"/>
        <v>0.13121938033762018</v>
      </c>
      <c r="V74" s="258">
        <f t="shared" si="9"/>
        <v>0.13121938033762018</v>
      </c>
      <c r="W74" s="258">
        <f t="shared" si="9"/>
        <v>0.13121938033762018</v>
      </c>
      <c r="X74" s="257">
        <f t="shared" si="9"/>
        <v>0.13121938033762018</v>
      </c>
      <c r="Y74" s="257">
        <f t="shared" si="9"/>
        <v>0.13121938033762018</v>
      </c>
      <c r="Z74" s="257">
        <f t="shared" si="9"/>
        <v>0.13121938033762018</v>
      </c>
      <c r="AA74" s="257">
        <f t="shared" si="9"/>
        <v>0.13121938033762018</v>
      </c>
      <c r="AB74" s="257">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542</v>
      </c>
      <c r="I75" s="96" t="s">
        <v>120</v>
      </c>
      <c r="J75" s="96"/>
      <c r="K75" s="76"/>
      <c r="L75" s="76"/>
      <c r="M75" s="76"/>
      <c r="N75" s="76"/>
      <c r="O75" s="76"/>
      <c r="P75" s="76"/>
      <c r="Q75" s="76"/>
      <c r="R75" s="76"/>
      <c r="S75" s="76"/>
      <c r="T75" s="76"/>
      <c r="U75" s="259">
        <f t="shared" si="10"/>
        <v>0.12597060512411537</v>
      </c>
      <c r="V75" s="258">
        <f t="shared" si="9"/>
        <v>0.12597060512411537</v>
      </c>
      <c r="W75" s="258">
        <f t="shared" si="9"/>
        <v>0.12597060512411537</v>
      </c>
      <c r="X75" s="257">
        <f t="shared" si="9"/>
        <v>0.12597060512411537</v>
      </c>
      <c r="Y75" s="257">
        <f t="shared" si="9"/>
        <v>0.12597060512411537</v>
      </c>
      <c r="Z75" s="257">
        <f t="shared" si="9"/>
        <v>0.12597060512411537</v>
      </c>
      <c r="AA75" s="257">
        <f t="shared" si="9"/>
        <v>0.12597060512411537</v>
      </c>
      <c r="AB75" s="257">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3" t="s">
        <v>543</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544</v>
      </c>
      <c r="I77" s="96" t="s">
        <v>545</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546</v>
      </c>
      <c r="I78" s="96" t="s">
        <v>545</v>
      </c>
      <c r="J78" s="96"/>
      <c r="K78" s="76"/>
      <c r="L78" s="76"/>
      <c r="M78" s="76"/>
      <c r="N78" s="76"/>
      <c r="O78" s="76"/>
      <c r="P78" s="76"/>
      <c r="Q78" s="76"/>
      <c r="R78" s="76"/>
      <c r="S78" s="76"/>
      <c r="T78" s="76"/>
      <c r="U78" s="260">
        <f t="shared" ref="U78:AB79" si="11">U77</f>
        <v>15</v>
      </c>
      <c r="V78" s="260">
        <f t="shared" si="11"/>
        <v>15</v>
      </c>
      <c r="W78" s="260">
        <f t="shared" si="11"/>
        <v>15</v>
      </c>
      <c r="X78" s="260">
        <f t="shared" si="11"/>
        <v>15</v>
      </c>
      <c r="Y78" s="260">
        <f t="shared" si="11"/>
        <v>15</v>
      </c>
      <c r="Z78" s="260">
        <f t="shared" si="11"/>
        <v>15</v>
      </c>
      <c r="AA78" s="260">
        <f t="shared" si="11"/>
        <v>15</v>
      </c>
      <c r="AB78" s="260">
        <f t="shared" si="11"/>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547</v>
      </c>
      <c r="I79" s="96" t="s">
        <v>545</v>
      </c>
      <c r="J79" s="96"/>
      <c r="K79" s="76"/>
      <c r="L79" s="76"/>
      <c r="M79" s="76"/>
      <c r="N79" s="76"/>
      <c r="O79" s="76"/>
      <c r="P79" s="76"/>
      <c r="Q79" s="76"/>
      <c r="R79" s="76"/>
      <c r="S79" s="76"/>
      <c r="T79" s="76"/>
      <c r="U79" s="260">
        <f t="shared" si="11"/>
        <v>15</v>
      </c>
      <c r="V79" s="260">
        <f t="shared" si="11"/>
        <v>15</v>
      </c>
      <c r="W79" s="260">
        <f t="shared" si="11"/>
        <v>15</v>
      </c>
      <c r="X79" s="260">
        <f t="shared" si="11"/>
        <v>15</v>
      </c>
      <c r="Y79" s="260">
        <f t="shared" si="11"/>
        <v>15</v>
      </c>
      <c r="Z79" s="260">
        <f t="shared" si="11"/>
        <v>15</v>
      </c>
      <c r="AA79" s="260">
        <f t="shared" si="11"/>
        <v>15</v>
      </c>
      <c r="AB79" s="260">
        <f t="shared" si="11"/>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548</v>
      </c>
      <c r="I80" s="96" t="s">
        <v>545</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549</v>
      </c>
      <c r="I81" s="96" t="s">
        <v>545</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550</v>
      </c>
      <c r="I82" s="96" t="s">
        <v>545</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551</v>
      </c>
      <c r="I83" s="96" t="s">
        <v>545</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2385</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2397</v>
      </c>
      <c r="I85" s="96" t="s">
        <v>545</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546</v>
      </c>
      <c r="I86" s="96" t="s">
        <v>545</v>
      </c>
      <c r="J86" s="96"/>
      <c r="K86" s="76"/>
      <c r="L86" s="76"/>
      <c r="M86" s="76"/>
      <c r="N86" s="76"/>
      <c r="O86" s="76"/>
      <c r="P86" s="76"/>
      <c r="Q86" s="76"/>
      <c r="R86" s="76"/>
      <c r="S86" s="76"/>
      <c r="T86" s="76"/>
      <c r="U86" s="260">
        <f t="shared" ref="U86:AB86" si="12">U85</f>
        <v>0</v>
      </c>
      <c r="V86" s="260">
        <f t="shared" si="12"/>
        <v>0</v>
      </c>
      <c r="W86" s="260">
        <f t="shared" si="12"/>
        <v>0</v>
      </c>
      <c r="X86" s="260">
        <f t="shared" si="12"/>
        <v>0</v>
      </c>
      <c r="Y86" s="260">
        <f t="shared" si="12"/>
        <v>0</v>
      </c>
      <c r="Z86" s="260">
        <f t="shared" si="12"/>
        <v>0</v>
      </c>
      <c r="AA86" s="260">
        <f t="shared" si="12"/>
        <v>0</v>
      </c>
      <c r="AB86" s="260">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547</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548</v>
      </c>
      <c r="I88" s="96" t="s">
        <v>545</v>
      </c>
      <c r="J88" s="96"/>
      <c r="K88" s="76"/>
      <c r="L88" s="76"/>
      <c r="M88" s="76"/>
      <c r="N88" s="76"/>
      <c r="O88" s="76"/>
      <c r="P88" s="76"/>
      <c r="Q88" s="76"/>
      <c r="R88" s="76"/>
      <c r="S88" s="76"/>
      <c r="T88" s="76"/>
      <c r="U88" s="260">
        <f>U77</f>
        <v>15</v>
      </c>
      <c r="V88" s="260">
        <f t="shared" ref="V88:AB88" si="14">V77</f>
        <v>15</v>
      </c>
      <c r="W88" s="260">
        <f t="shared" si="14"/>
        <v>15</v>
      </c>
      <c r="X88" s="260">
        <f t="shared" si="14"/>
        <v>15</v>
      </c>
      <c r="Y88" s="260">
        <f t="shared" si="14"/>
        <v>15</v>
      </c>
      <c r="Z88" s="260">
        <f t="shared" si="14"/>
        <v>15</v>
      </c>
      <c r="AA88" s="260">
        <f t="shared" si="14"/>
        <v>15</v>
      </c>
      <c r="AB88" s="260">
        <f t="shared" si="14"/>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549</v>
      </c>
      <c r="I89" s="96" t="s">
        <v>545</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550</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551</v>
      </c>
      <c r="I91" s="96" t="s">
        <v>545</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2385</v>
      </c>
      <c r="I92" s="96" t="s">
        <v>545</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552</v>
      </c>
      <c r="I93" s="96" t="s">
        <v>120</v>
      </c>
      <c r="J93" s="96"/>
      <c r="K93" s="76"/>
      <c r="L93" s="76"/>
      <c r="M93" s="76"/>
      <c r="N93" s="76"/>
      <c r="O93" s="76"/>
      <c r="P93" s="76"/>
      <c r="Q93" s="76"/>
      <c r="R93" s="76"/>
      <c r="S93" s="76"/>
      <c r="T93" s="76"/>
      <c r="U93" s="261">
        <v>-2.5000000000000001E-2</v>
      </c>
      <c r="V93" s="261">
        <v>-2.5000000000000001E-2</v>
      </c>
      <c r="W93" s="261">
        <v>-2.5000000000000001E-2</v>
      </c>
      <c r="X93" s="261">
        <v>0</v>
      </c>
      <c r="Y93" s="261">
        <v>0</v>
      </c>
      <c r="Z93" s="261">
        <v>0</v>
      </c>
      <c r="AA93" s="261">
        <v>-5.0000000000000001E-3</v>
      </c>
      <c r="AB93" s="261">
        <v>1.4999999999999999E-2</v>
      </c>
      <c r="AC93" s="76"/>
      <c r="AD93" s="97" t="s">
        <v>553</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3" t="s">
        <v>554</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555</v>
      </c>
      <c r="I96" s="96" t="s">
        <v>2331</v>
      </c>
      <c r="J96" s="96"/>
      <c r="K96" s="76"/>
      <c r="L96" s="76"/>
      <c r="M96" s="76"/>
      <c r="N96" s="76"/>
      <c r="O96" s="76"/>
      <c r="P96" s="76"/>
      <c r="Q96" s="76"/>
      <c r="R96" s="76"/>
      <c r="S96" s="76"/>
      <c r="T96" s="76"/>
      <c r="U96" s="118">
        <v>0.45</v>
      </c>
      <c r="V96" s="118">
        <v>0.45</v>
      </c>
      <c r="W96" s="118">
        <v>0.45</v>
      </c>
      <c r="X96" s="313">
        <f t="shared" ref="X96:AB99" si="15">W96</f>
        <v>0.45</v>
      </c>
      <c r="Y96" s="313">
        <f t="shared" si="15"/>
        <v>0.45</v>
      </c>
      <c r="Z96" s="313">
        <f t="shared" si="15"/>
        <v>0.45</v>
      </c>
      <c r="AA96" s="313">
        <f t="shared" si="15"/>
        <v>0.45</v>
      </c>
      <c r="AB96" s="313">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556</v>
      </c>
      <c r="I97" s="96" t="s">
        <v>2332</v>
      </c>
      <c r="J97" s="96"/>
      <c r="K97" s="76"/>
      <c r="L97" s="76"/>
      <c r="M97" s="76"/>
      <c r="N97" s="76"/>
      <c r="O97" s="76"/>
      <c r="P97" s="76"/>
      <c r="Q97" s="76"/>
      <c r="R97" s="76"/>
      <c r="S97" s="76"/>
      <c r="T97" s="76"/>
      <c r="U97" s="118">
        <v>0.15</v>
      </c>
      <c r="V97" s="118">
        <v>0.15</v>
      </c>
      <c r="W97" s="118">
        <v>0.15</v>
      </c>
      <c r="X97" s="313">
        <f t="shared" si="15"/>
        <v>0.15</v>
      </c>
      <c r="Y97" s="313">
        <f t="shared" si="15"/>
        <v>0.15</v>
      </c>
      <c r="Z97" s="313">
        <f t="shared" si="15"/>
        <v>0.15</v>
      </c>
      <c r="AA97" s="313">
        <f t="shared" si="15"/>
        <v>0.15</v>
      </c>
      <c r="AB97" s="313">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557</v>
      </c>
      <c r="I98" s="96"/>
      <c r="J98" s="96"/>
      <c r="K98" s="76"/>
      <c r="L98" s="76"/>
      <c r="M98" s="76"/>
      <c r="N98" s="76"/>
      <c r="O98" s="76"/>
      <c r="P98" s="76"/>
      <c r="Q98" s="76"/>
      <c r="R98" s="76"/>
      <c r="S98" s="76"/>
      <c r="T98" s="76"/>
      <c r="U98" s="97">
        <v>17</v>
      </c>
      <c r="V98" s="97">
        <v>19</v>
      </c>
      <c r="W98" s="97">
        <v>19</v>
      </c>
      <c r="X98" s="262">
        <f t="shared" si="15"/>
        <v>19</v>
      </c>
      <c r="Y98" s="262">
        <f t="shared" si="15"/>
        <v>19</v>
      </c>
      <c r="Z98" s="262">
        <f t="shared" si="15"/>
        <v>19</v>
      </c>
      <c r="AA98" s="262">
        <f t="shared" si="15"/>
        <v>19</v>
      </c>
      <c r="AB98" s="262">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558</v>
      </c>
      <c r="I99" s="96" t="s">
        <v>523</v>
      </c>
      <c r="J99" s="96"/>
      <c r="K99" s="76"/>
      <c r="L99" s="76"/>
      <c r="M99" s="76"/>
      <c r="N99" s="76"/>
      <c r="O99" s="76"/>
      <c r="P99" s="76"/>
      <c r="Q99" s="76"/>
      <c r="R99" s="76"/>
      <c r="S99" s="76"/>
      <c r="T99" s="76"/>
      <c r="U99" s="97">
        <v>2.5</v>
      </c>
      <c r="V99" s="97">
        <v>2.5</v>
      </c>
      <c r="W99" s="97">
        <v>2.5</v>
      </c>
      <c r="X99" s="262">
        <f t="shared" si="15"/>
        <v>2.5</v>
      </c>
      <c r="Y99" s="262">
        <f t="shared" si="15"/>
        <v>2.5</v>
      </c>
      <c r="Z99" s="262">
        <f t="shared" si="15"/>
        <v>2.5</v>
      </c>
      <c r="AA99" s="262">
        <f t="shared" si="15"/>
        <v>2.5</v>
      </c>
      <c r="AB99" s="262">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3" t="s">
        <v>559</v>
      </c>
      <c r="G101" s="73"/>
      <c r="H101" s="253" t="s">
        <v>560</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561</v>
      </c>
      <c r="F102" s="70" t="s">
        <v>562</v>
      </c>
      <c r="G102" s="73"/>
      <c r="H102" s="76" t="s">
        <v>563</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564</v>
      </c>
      <c r="G103" s="73"/>
      <c r="H103" s="76" t="s">
        <v>565</v>
      </c>
      <c r="I103" s="96" t="s">
        <v>566</v>
      </c>
      <c r="J103" s="96"/>
      <c r="K103" s="97">
        <v>1.5699999999999999E-2</v>
      </c>
      <c r="L103" s="97">
        <v>1.5699999999999999E-2</v>
      </c>
      <c r="M103" s="97">
        <v>1.15E-2</v>
      </c>
      <c r="N103" s="97">
        <v>1.15E-2</v>
      </c>
      <c r="O103" s="97">
        <v>1.15E-2</v>
      </c>
      <c r="P103" s="97">
        <v>1.15E-2</v>
      </c>
      <c r="Q103" s="76"/>
      <c r="R103" s="76" t="s">
        <v>567</v>
      </c>
      <c r="S103" s="76" t="s">
        <v>567</v>
      </c>
      <c r="T103" s="76"/>
      <c r="U103" s="260">
        <f>INDEX($K103:$Q103,1,U$43)</f>
        <v>1.5699999999999999E-2</v>
      </c>
      <c r="V103" s="260">
        <f t="shared" ref="V103:AB106" si="16">INDEX($K103:$Q103,1,V$43)</f>
        <v>1.5699999999999999E-2</v>
      </c>
      <c r="W103" s="260">
        <f t="shared" si="16"/>
        <v>1.5699999999999999E-2</v>
      </c>
      <c r="X103" s="260">
        <f t="shared" si="16"/>
        <v>1.5699999999999999E-2</v>
      </c>
      <c r="Y103" s="260">
        <f t="shared" si="16"/>
        <v>1.5699999999999999E-2</v>
      </c>
      <c r="Z103" s="260">
        <f t="shared" si="16"/>
        <v>1.5699999999999999E-2</v>
      </c>
      <c r="AA103" s="260">
        <f t="shared" si="16"/>
        <v>1.5699999999999999E-2</v>
      </c>
      <c r="AB103" s="260">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568</v>
      </c>
      <c r="G104" s="73"/>
      <c r="H104" s="76" t="s">
        <v>569</v>
      </c>
      <c r="I104" s="96" t="s">
        <v>570</v>
      </c>
      <c r="J104" s="96"/>
      <c r="K104" s="97">
        <v>0.27</v>
      </c>
      <c r="L104" s="97">
        <v>0.27</v>
      </c>
      <c r="M104" s="97">
        <v>0.27</v>
      </c>
      <c r="N104" s="97">
        <v>0.27</v>
      </c>
      <c r="O104" s="97">
        <v>0.27</v>
      </c>
      <c r="P104" s="97">
        <v>0.27</v>
      </c>
      <c r="Q104" s="76"/>
      <c r="R104" s="76" t="s">
        <v>571</v>
      </c>
      <c r="S104" s="76" t="s">
        <v>571</v>
      </c>
      <c r="T104" s="76"/>
      <c r="U104" s="260">
        <f>INDEX($K104:$Q104,1,U$43)</f>
        <v>0.27</v>
      </c>
      <c r="V104" s="260">
        <f t="shared" si="16"/>
        <v>0.27</v>
      </c>
      <c r="W104" s="260">
        <f t="shared" si="16"/>
        <v>0.27</v>
      </c>
      <c r="X104" s="260">
        <f t="shared" si="16"/>
        <v>0.27</v>
      </c>
      <c r="Y104" s="260">
        <f t="shared" si="16"/>
        <v>0.27</v>
      </c>
      <c r="Z104" s="260">
        <f t="shared" si="16"/>
        <v>0.27</v>
      </c>
      <c r="AA104" s="260">
        <f t="shared" si="16"/>
        <v>0.27</v>
      </c>
      <c r="AB104" s="260">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572</v>
      </c>
      <c r="G105" s="73"/>
      <c r="H105" s="264" t="s">
        <v>573</v>
      </c>
      <c r="I105" s="96" t="s">
        <v>570</v>
      </c>
      <c r="J105" s="96"/>
      <c r="K105" s="97">
        <v>0.4</v>
      </c>
      <c r="L105" s="97">
        <v>0.4</v>
      </c>
      <c r="M105" s="97">
        <v>0.4</v>
      </c>
      <c r="N105" s="97">
        <v>0.4</v>
      </c>
      <c r="O105" s="97">
        <v>0.4</v>
      </c>
      <c r="P105" s="97">
        <v>0.4</v>
      </c>
      <c r="Q105" s="76"/>
      <c r="R105" s="76" t="s">
        <v>574</v>
      </c>
      <c r="S105" s="76" t="s">
        <v>574</v>
      </c>
      <c r="T105" s="76"/>
      <c r="U105" s="260">
        <f>INDEX($K105:$Q105,1,U$43)</f>
        <v>0.4</v>
      </c>
      <c r="V105" s="260">
        <f t="shared" si="16"/>
        <v>0.4</v>
      </c>
      <c r="W105" s="260">
        <f t="shared" si="16"/>
        <v>0.4</v>
      </c>
      <c r="X105" s="260">
        <f t="shared" si="16"/>
        <v>0.4</v>
      </c>
      <c r="Y105" s="260">
        <f t="shared" si="16"/>
        <v>0.4</v>
      </c>
      <c r="Z105" s="260">
        <f t="shared" si="16"/>
        <v>0.4</v>
      </c>
      <c r="AA105" s="260">
        <f t="shared" si="16"/>
        <v>0.4</v>
      </c>
      <c r="AB105" s="260">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575</v>
      </c>
      <c r="G106" s="73"/>
      <c r="H106" s="264" t="s">
        <v>576</v>
      </c>
      <c r="I106" s="96" t="s">
        <v>570</v>
      </c>
      <c r="J106" s="96"/>
      <c r="K106" s="97">
        <v>0.6</v>
      </c>
      <c r="L106" s="97">
        <v>0.6</v>
      </c>
      <c r="M106" s="97">
        <v>1</v>
      </c>
      <c r="N106" s="97">
        <v>1</v>
      </c>
      <c r="O106" s="97">
        <v>1</v>
      </c>
      <c r="P106" s="97">
        <v>1</v>
      </c>
      <c r="Q106" s="76"/>
      <c r="R106" s="76" t="s">
        <v>577</v>
      </c>
      <c r="S106" s="76" t="s">
        <v>578</v>
      </c>
      <c r="T106" s="76"/>
      <c r="U106" s="260">
        <f>INDEX($K106:$Q106,1,U$43)</f>
        <v>0.6</v>
      </c>
      <c r="V106" s="260">
        <f t="shared" si="16"/>
        <v>0.6</v>
      </c>
      <c r="W106" s="260">
        <f t="shared" si="16"/>
        <v>0.6</v>
      </c>
      <c r="X106" s="260">
        <f t="shared" si="16"/>
        <v>0.6</v>
      </c>
      <c r="Y106" s="260">
        <f t="shared" si="16"/>
        <v>0.6</v>
      </c>
      <c r="Z106" s="260">
        <f t="shared" si="16"/>
        <v>0.6</v>
      </c>
      <c r="AA106" s="260">
        <f t="shared" si="16"/>
        <v>0.6</v>
      </c>
      <c r="AB106" s="260">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579</v>
      </c>
      <c r="G107" s="73"/>
      <c r="H107" s="76" t="s">
        <v>2893</v>
      </c>
      <c r="I107" s="96" t="s">
        <v>1807</v>
      </c>
      <c r="J107" s="96"/>
      <c r="K107" s="344">
        <v>0.15</v>
      </c>
      <c r="L107" s="344">
        <v>0.15</v>
      </c>
      <c r="M107" s="344">
        <v>0.15</v>
      </c>
      <c r="N107" s="344">
        <v>0.15</v>
      </c>
      <c r="O107" s="344">
        <v>0.15</v>
      </c>
      <c r="P107" s="344">
        <v>0.15</v>
      </c>
      <c r="Q107" s="76"/>
      <c r="R107" s="76" t="s">
        <v>580</v>
      </c>
      <c r="S107" s="76" t="s">
        <v>580</v>
      </c>
      <c r="T107" s="76"/>
      <c r="U107" s="273">
        <v>0.19</v>
      </c>
      <c r="V107" s="273">
        <v>0.19</v>
      </c>
      <c r="W107" s="273">
        <v>0.19</v>
      </c>
      <c r="X107" s="273">
        <v>0.25</v>
      </c>
      <c r="Y107" s="273">
        <v>0.25</v>
      </c>
      <c r="Z107" s="273">
        <v>0.25</v>
      </c>
      <c r="AA107" s="273">
        <v>0.25</v>
      </c>
      <c r="AB107" s="273">
        <v>0.25</v>
      </c>
      <c r="AC107" s="76"/>
      <c r="AD107" s="97" t="s">
        <v>2367</v>
      </c>
      <c r="AE107" s="76"/>
      <c r="AF107" s="97">
        <v>1</v>
      </c>
      <c r="AG107" s="97">
        <v>1</v>
      </c>
      <c r="AH107" s="73"/>
      <c r="AI107" s="57"/>
      <c r="AJ107" s="45"/>
      <c r="AK107" s="45"/>
      <c r="AL107" s="45"/>
    </row>
    <row r="108" spans="1:38" outlineLevel="3" x14ac:dyDescent="0.25">
      <c r="A108" s="45"/>
      <c r="B108" s="54"/>
      <c r="C108" s="47">
        <f>INT($C$29)+3</f>
        <v>4</v>
      </c>
      <c r="D108" s="73"/>
      <c r="E108" s="70"/>
      <c r="F108" s="70" t="s">
        <v>581</v>
      </c>
      <c r="G108" s="73"/>
      <c r="H108" s="76" t="s">
        <v>582</v>
      </c>
      <c r="I108" s="96" t="s">
        <v>570</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583</v>
      </c>
      <c r="G109" s="73"/>
      <c r="H109" s="76" t="s">
        <v>584</v>
      </c>
      <c r="I109" s="96" t="s">
        <v>2327</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521</v>
      </c>
      <c r="AE109" s="76"/>
      <c r="AF109" s="97">
        <v>1</v>
      </c>
      <c r="AG109" s="97">
        <v>1</v>
      </c>
      <c r="AH109" s="73"/>
      <c r="AI109" s="57"/>
      <c r="AJ109" s="45"/>
      <c r="AK109" s="45"/>
      <c r="AL109" s="45"/>
    </row>
    <row r="110" spans="1:38" outlineLevel="1" x14ac:dyDescent="0.25">
      <c r="A110" s="45"/>
      <c r="B110" s="54"/>
      <c r="C110" s="47">
        <f>INT($C$29)+1</f>
        <v>2</v>
      </c>
      <c r="D110" s="73"/>
      <c r="E110" s="70"/>
      <c r="F110" s="263" t="s">
        <v>585</v>
      </c>
      <c r="G110" s="73"/>
      <c r="H110" s="253" t="s">
        <v>586</v>
      </c>
      <c r="I110" s="96"/>
      <c r="J110" s="96" t="s">
        <v>587</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588</v>
      </c>
      <c r="F111" s="70" t="s">
        <v>589</v>
      </c>
      <c r="G111" s="73"/>
      <c r="H111" s="76" t="s">
        <v>563</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590</v>
      </c>
      <c r="G112" s="73"/>
      <c r="H112" s="76" t="s">
        <v>591</v>
      </c>
      <c r="I112" s="96" t="s">
        <v>592</v>
      </c>
      <c r="J112" s="96"/>
      <c r="K112" s="97">
        <v>0.04</v>
      </c>
      <c r="L112" s="97">
        <v>0.05</v>
      </c>
      <c r="M112" s="97">
        <v>2.5000000000000001E-2</v>
      </c>
      <c r="N112" s="97">
        <v>2.5000000000000001E-2</v>
      </c>
      <c r="O112" s="97">
        <v>2.5000000000000001E-2</v>
      </c>
      <c r="P112" s="97">
        <v>2.5000000000000001E-2</v>
      </c>
      <c r="Q112" s="76"/>
      <c r="R112" s="76" t="s">
        <v>2392</v>
      </c>
      <c r="S112" s="76" t="s">
        <v>580</v>
      </c>
      <c r="T112" s="76"/>
      <c r="U112" s="260">
        <f t="shared" ref="U112:AB126" si="18">INDEX($K112:$Q112,1,U$43)</f>
        <v>0.04</v>
      </c>
      <c r="V112" s="260">
        <f t="shared" si="18"/>
        <v>0.04</v>
      </c>
      <c r="W112" s="260">
        <f t="shared" si="18"/>
        <v>0.04</v>
      </c>
      <c r="X112" s="260">
        <f t="shared" si="18"/>
        <v>0.05</v>
      </c>
      <c r="Y112" s="260">
        <f t="shared" si="18"/>
        <v>0.05</v>
      </c>
      <c r="Z112" s="260">
        <f t="shared" si="18"/>
        <v>0.05</v>
      </c>
      <c r="AA112" s="260">
        <f t="shared" si="18"/>
        <v>0.05</v>
      </c>
      <c r="AB112" s="260">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593</v>
      </c>
      <c r="G113" s="73"/>
      <c r="H113" s="76" t="s">
        <v>594</v>
      </c>
      <c r="I113" s="96" t="s">
        <v>570</v>
      </c>
      <c r="J113" s="96"/>
      <c r="K113" s="97">
        <v>1.7</v>
      </c>
      <c r="L113" s="97">
        <v>1.7</v>
      </c>
      <c r="M113" s="97">
        <v>1.7</v>
      </c>
      <c r="N113" s="97">
        <v>1.7</v>
      </c>
      <c r="O113" s="97">
        <v>1.7</v>
      </c>
      <c r="P113" s="97">
        <v>1.7</v>
      </c>
      <c r="Q113" s="76"/>
      <c r="R113" s="76" t="s">
        <v>580</v>
      </c>
      <c r="S113" s="76" t="s">
        <v>580</v>
      </c>
      <c r="T113" s="76"/>
      <c r="U113" s="260">
        <f t="shared" si="18"/>
        <v>1.7</v>
      </c>
      <c r="V113" s="260">
        <f t="shared" si="18"/>
        <v>1.7</v>
      </c>
      <c r="W113" s="260">
        <f t="shared" si="18"/>
        <v>1.7</v>
      </c>
      <c r="X113" s="260">
        <f t="shared" si="18"/>
        <v>1.7</v>
      </c>
      <c r="Y113" s="260">
        <f t="shared" si="18"/>
        <v>1.7</v>
      </c>
      <c r="Z113" s="260">
        <f t="shared" si="18"/>
        <v>1.7</v>
      </c>
      <c r="AA113" s="260">
        <f t="shared" si="18"/>
        <v>1.7</v>
      </c>
      <c r="AB113" s="260">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595</v>
      </c>
      <c r="G114" s="73"/>
      <c r="H114" s="76" t="s">
        <v>596</v>
      </c>
      <c r="I114" s="96" t="s">
        <v>597</v>
      </c>
      <c r="J114" s="96"/>
      <c r="K114" s="97">
        <v>0.5</v>
      </c>
      <c r="L114" s="97">
        <v>0.5</v>
      </c>
      <c r="M114" s="97">
        <v>0.22</v>
      </c>
      <c r="N114" s="97">
        <v>0.22</v>
      </c>
      <c r="O114" s="97">
        <v>0.22</v>
      </c>
      <c r="P114" s="97">
        <v>0.22</v>
      </c>
      <c r="Q114" s="76"/>
      <c r="R114" s="76" t="s">
        <v>580</v>
      </c>
      <c r="S114" s="76" t="s">
        <v>580</v>
      </c>
      <c r="T114" s="76"/>
      <c r="U114" s="260">
        <f t="shared" si="18"/>
        <v>0.5</v>
      </c>
      <c r="V114" s="260">
        <f t="shared" si="18"/>
        <v>0.5</v>
      </c>
      <c r="W114" s="260">
        <f t="shared" si="18"/>
        <v>0.5</v>
      </c>
      <c r="X114" s="260">
        <f t="shared" si="18"/>
        <v>0.5</v>
      </c>
      <c r="Y114" s="260">
        <f t="shared" si="18"/>
        <v>0.5</v>
      </c>
      <c r="Z114" s="260">
        <f t="shared" si="18"/>
        <v>0.5</v>
      </c>
      <c r="AA114" s="260">
        <f t="shared" si="18"/>
        <v>0.5</v>
      </c>
      <c r="AB114" s="260">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598</v>
      </c>
      <c r="G115" s="73"/>
      <c r="H115" s="76" t="s">
        <v>596</v>
      </c>
      <c r="I115" s="96" t="s">
        <v>599</v>
      </c>
      <c r="J115" s="96"/>
      <c r="K115" s="97">
        <v>25</v>
      </c>
      <c r="L115" s="97">
        <v>25</v>
      </c>
      <c r="M115" s="97">
        <v>60</v>
      </c>
      <c r="N115" s="97">
        <v>60</v>
      </c>
      <c r="O115" s="97">
        <v>60</v>
      </c>
      <c r="P115" s="97">
        <v>60</v>
      </c>
      <c r="Q115" s="76"/>
      <c r="R115" s="76" t="s">
        <v>580</v>
      </c>
      <c r="S115" s="76" t="s">
        <v>580</v>
      </c>
      <c r="T115" s="76"/>
      <c r="U115" s="260">
        <f t="shared" si="18"/>
        <v>25</v>
      </c>
      <c r="V115" s="260">
        <f t="shared" si="18"/>
        <v>25</v>
      </c>
      <c r="W115" s="260">
        <f t="shared" si="18"/>
        <v>25</v>
      </c>
      <c r="X115" s="260">
        <f t="shared" si="18"/>
        <v>25</v>
      </c>
      <c r="Y115" s="260">
        <f t="shared" si="18"/>
        <v>25</v>
      </c>
      <c r="Z115" s="260">
        <f t="shared" si="18"/>
        <v>25</v>
      </c>
      <c r="AA115" s="260">
        <f t="shared" si="18"/>
        <v>25</v>
      </c>
      <c r="AB115" s="260">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600</v>
      </c>
      <c r="G116" s="73"/>
      <c r="H116" s="76" t="s">
        <v>601</v>
      </c>
      <c r="I116" s="96" t="s">
        <v>570</v>
      </c>
      <c r="J116" s="96"/>
      <c r="K116" s="97">
        <v>0.01</v>
      </c>
      <c r="L116" s="97">
        <v>0.01</v>
      </c>
      <c r="M116" s="97">
        <v>0.02</v>
      </c>
      <c r="N116" s="97">
        <v>0.01</v>
      </c>
      <c r="O116" s="97">
        <v>0.02</v>
      </c>
      <c r="P116" s="97">
        <v>0.02</v>
      </c>
      <c r="Q116" s="76"/>
      <c r="R116" s="76" t="s">
        <v>602</v>
      </c>
      <c r="S116" s="76" t="s">
        <v>602</v>
      </c>
      <c r="T116" s="76"/>
      <c r="U116" s="260">
        <f t="shared" si="18"/>
        <v>0.01</v>
      </c>
      <c r="V116" s="260">
        <f t="shared" si="18"/>
        <v>0.01</v>
      </c>
      <c r="W116" s="260">
        <f t="shared" si="18"/>
        <v>0.01</v>
      </c>
      <c r="X116" s="260">
        <f t="shared" si="18"/>
        <v>0.01</v>
      </c>
      <c r="Y116" s="260">
        <f t="shared" si="18"/>
        <v>0.01</v>
      </c>
      <c r="Z116" s="260">
        <f t="shared" si="18"/>
        <v>0.01</v>
      </c>
      <c r="AA116" s="260">
        <f t="shared" si="18"/>
        <v>0.01</v>
      </c>
      <c r="AB116" s="260">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603</v>
      </c>
      <c r="G117" s="73"/>
      <c r="H117" s="76" t="s">
        <v>604</v>
      </c>
      <c r="I117" s="96" t="s">
        <v>605</v>
      </c>
      <c r="J117" s="96"/>
      <c r="K117" s="97">
        <v>25</v>
      </c>
      <c r="L117" s="97">
        <v>25</v>
      </c>
      <c r="M117" s="97">
        <v>25</v>
      </c>
      <c r="N117" s="97">
        <v>25</v>
      </c>
      <c r="O117" s="97">
        <v>25</v>
      </c>
      <c r="P117" s="97">
        <v>25</v>
      </c>
      <c r="Q117" s="76"/>
      <c r="R117" s="76" t="s">
        <v>602</v>
      </c>
      <c r="S117" s="76" t="s">
        <v>602</v>
      </c>
      <c r="T117" s="76"/>
      <c r="U117" s="260">
        <f t="shared" si="18"/>
        <v>25</v>
      </c>
      <c r="V117" s="260">
        <f t="shared" si="18"/>
        <v>25</v>
      </c>
      <c r="W117" s="260">
        <f t="shared" si="18"/>
        <v>25</v>
      </c>
      <c r="X117" s="260">
        <f t="shared" si="18"/>
        <v>25</v>
      </c>
      <c r="Y117" s="260">
        <f t="shared" si="18"/>
        <v>25</v>
      </c>
      <c r="Z117" s="260">
        <f t="shared" si="18"/>
        <v>25</v>
      </c>
      <c r="AA117" s="260">
        <f t="shared" si="18"/>
        <v>25</v>
      </c>
      <c r="AB117" s="260">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606</v>
      </c>
      <c r="G118" s="73"/>
      <c r="H118" s="76" t="s">
        <v>607</v>
      </c>
      <c r="I118" s="96" t="s">
        <v>605</v>
      </c>
      <c r="J118" s="96"/>
      <c r="K118" s="97">
        <v>22</v>
      </c>
      <c r="L118" s="97">
        <v>22</v>
      </c>
      <c r="M118" s="97">
        <v>22</v>
      </c>
      <c r="N118" s="97">
        <v>22</v>
      </c>
      <c r="O118" s="97">
        <v>22</v>
      </c>
      <c r="P118" s="97">
        <v>22</v>
      </c>
      <c r="Q118" s="76"/>
      <c r="R118" s="76" t="s">
        <v>602</v>
      </c>
      <c r="S118" s="76" t="s">
        <v>602</v>
      </c>
      <c r="T118" s="76"/>
      <c r="U118" s="260">
        <f t="shared" si="18"/>
        <v>22</v>
      </c>
      <c r="V118" s="260">
        <f t="shared" si="18"/>
        <v>22</v>
      </c>
      <c r="W118" s="260">
        <f t="shared" si="18"/>
        <v>22</v>
      </c>
      <c r="X118" s="260">
        <f t="shared" si="18"/>
        <v>22</v>
      </c>
      <c r="Y118" s="260">
        <f t="shared" si="18"/>
        <v>22</v>
      </c>
      <c r="Z118" s="260">
        <f t="shared" si="18"/>
        <v>22</v>
      </c>
      <c r="AA118" s="260">
        <f t="shared" si="18"/>
        <v>22</v>
      </c>
      <c r="AB118" s="260">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608</v>
      </c>
      <c r="G119" s="73"/>
      <c r="H119" s="76" t="s">
        <v>609</v>
      </c>
      <c r="I119" s="96" t="s">
        <v>599</v>
      </c>
      <c r="J119" s="96"/>
      <c r="K119" s="97">
        <v>28</v>
      </c>
      <c r="L119" s="97">
        <v>28</v>
      </c>
      <c r="M119" s="97">
        <v>62</v>
      </c>
      <c r="N119" s="97">
        <v>62</v>
      </c>
      <c r="O119" s="97">
        <v>62</v>
      </c>
      <c r="P119" s="97">
        <v>81</v>
      </c>
      <c r="Q119" s="76"/>
      <c r="R119" s="76" t="s">
        <v>580</v>
      </c>
      <c r="S119" s="76" t="s">
        <v>580</v>
      </c>
      <c r="T119" s="76"/>
      <c r="U119" s="260">
        <f t="shared" si="18"/>
        <v>28</v>
      </c>
      <c r="V119" s="260">
        <f t="shared" si="18"/>
        <v>28</v>
      </c>
      <c r="W119" s="260">
        <f t="shared" si="18"/>
        <v>28</v>
      </c>
      <c r="X119" s="260">
        <f t="shared" si="18"/>
        <v>28</v>
      </c>
      <c r="Y119" s="260">
        <f t="shared" si="18"/>
        <v>28</v>
      </c>
      <c r="Z119" s="260">
        <f t="shared" si="18"/>
        <v>28</v>
      </c>
      <c r="AA119" s="260">
        <f t="shared" si="18"/>
        <v>28</v>
      </c>
      <c r="AB119" s="260">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610</v>
      </c>
      <c r="G120" s="73"/>
      <c r="H120" s="76" t="s">
        <v>611</v>
      </c>
      <c r="I120" s="96" t="s">
        <v>570</v>
      </c>
      <c r="J120" s="96"/>
      <c r="K120" s="97">
        <v>1.4</v>
      </c>
      <c r="L120" s="97">
        <v>1.4</v>
      </c>
      <c r="M120" s="97">
        <v>1.7</v>
      </c>
      <c r="N120" s="97">
        <v>1.7</v>
      </c>
      <c r="O120" s="97">
        <v>1.7</v>
      </c>
      <c r="P120" s="97">
        <v>0.7</v>
      </c>
      <c r="Q120" s="76"/>
      <c r="R120" s="76" t="s">
        <v>580</v>
      </c>
      <c r="S120" s="76" t="s">
        <v>580</v>
      </c>
      <c r="T120" s="76"/>
      <c r="U120" s="260">
        <f t="shared" si="18"/>
        <v>1.4</v>
      </c>
      <c r="V120" s="260">
        <f t="shared" si="18"/>
        <v>1.4</v>
      </c>
      <c r="W120" s="260">
        <f t="shared" si="18"/>
        <v>1.4</v>
      </c>
      <c r="X120" s="260">
        <f t="shared" si="18"/>
        <v>1.4</v>
      </c>
      <c r="Y120" s="260">
        <f t="shared" si="18"/>
        <v>1.4</v>
      </c>
      <c r="Z120" s="260">
        <f t="shared" si="18"/>
        <v>1.4</v>
      </c>
      <c r="AA120" s="260">
        <f t="shared" si="18"/>
        <v>1.4</v>
      </c>
      <c r="AB120" s="260">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612</v>
      </c>
      <c r="G121" s="73"/>
      <c r="H121" s="76" t="s">
        <v>613</v>
      </c>
      <c r="I121" s="96" t="s">
        <v>614</v>
      </c>
      <c r="J121" s="96"/>
      <c r="K121" s="76"/>
      <c r="L121" s="76"/>
      <c r="M121" s="97">
        <v>0.6</v>
      </c>
      <c r="N121" s="97">
        <v>0.6</v>
      </c>
      <c r="O121" s="97">
        <v>0.6</v>
      </c>
      <c r="P121" s="97">
        <v>0.6</v>
      </c>
      <c r="Q121" s="76"/>
      <c r="R121" s="76"/>
      <c r="S121" s="76"/>
      <c r="T121" s="76"/>
      <c r="U121" s="260">
        <f t="shared" si="18"/>
        <v>0</v>
      </c>
      <c r="V121" s="260">
        <f t="shared" si="18"/>
        <v>0</v>
      </c>
      <c r="W121" s="260">
        <f t="shared" si="18"/>
        <v>0</v>
      </c>
      <c r="X121" s="260">
        <f t="shared" si="18"/>
        <v>0</v>
      </c>
      <c r="Y121" s="260">
        <f t="shared" si="18"/>
        <v>0</v>
      </c>
      <c r="Z121" s="260">
        <f t="shared" si="18"/>
        <v>0</v>
      </c>
      <c r="AA121" s="260">
        <f t="shared" si="18"/>
        <v>0</v>
      </c>
      <c r="AB121" s="260">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615</v>
      </c>
      <c r="G122" s="73"/>
      <c r="H122" s="76" t="s">
        <v>613</v>
      </c>
      <c r="I122" s="96" t="s">
        <v>570</v>
      </c>
      <c r="J122" s="96"/>
      <c r="K122" s="76"/>
      <c r="L122" s="76"/>
      <c r="M122" s="97">
        <v>0.05</v>
      </c>
      <c r="N122" s="97">
        <v>0.05</v>
      </c>
      <c r="O122" s="97">
        <v>0.05</v>
      </c>
      <c r="P122" s="97">
        <v>0.05</v>
      </c>
      <c r="Q122" s="76"/>
      <c r="R122" s="76"/>
      <c r="S122" s="76"/>
      <c r="T122" s="76"/>
      <c r="U122" s="260">
        <f t="shared" si="18"/>
        <v>0</v>
      </c>
      <c r="V122" s="260">
        <f t="shared" si="18"/>
        <v>0</v>
      </c>
      <c r="W122" s="260">
        <f t="shared" si="18"/>
        <v>0</v>
      </c>
      <c r="X122" s="260">
        <f t="shared" si="18"/>
        <v>0</v>
      </c>
      <c r="Y122" s="260">
        <f t="shared" si="18"/>
        <v>0</v>
      </c>
      <c r="Z122" s="260">
        <f t="shared" si="18"/>
        <v>0</v>
      </c>
      <c r="AA122" s="260">
        <f t="shared" si="18"/>
        <v>0</v>
      </c>
      <c r="AB122" s="260">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616</v>
      </c>
      <c r="G123" s="73"/>
      <c r="H123" s="76" t="s">
        <v>617</v>
      </c>
      <c r="I123" s="96" t="s">
        <v>570</v>
      </c>
      <c r="J123" s="96"/>
      <c r="K123" s="97">
        <v>0.15</v>
      </c>
      <c r="L123" s="97">
        <v>0.15</v>
      </c>
      <c r="M123" s="97">
        <v>0.15</v>
      </c>
      <c r="N123" s="97">
        <v>0.15</v>
      </c>
      <c r="O123" s="97">
        <v>0.15</v>
      </c>
      <c r="P123" s="97">
        <v>0.15</v>
      </c>
      <c r="Q123" s="76"/>
      <c r="R123" s="76" t="s">
        <v>618</v>
      </c>
      <c r="S123" s="76" t="s">
        <v>618</v>
      </c>
      <c r="T123" s="76"/>
      <c r="U123" s="260">
        <f t="shared" si="18"/>
        <v>0.15</v>
      </c>
      <c r="V123" s="260">
        <f t="shared" si="18"/>
        <v>0.15</v>
      </c>
      <c r="W123" s="260">
        <f t="shared" si="18"/>
        <v>0.15</v>
      </c>
      <c r="X123" s="260">
        <f t="shared" si="18"/>
        <v>0.15</v>
      </c>
      <c r="Y123" s="260">
        <f t="shared" si="18"/>
        <v>0.15</v>
      </c>
      <c r="Z123" s="260">
        <f t="shared" si="18"/>
        <v>0.15</v>
      </c>
      <c r="AA123" s="260">
        <f t="shared" si="18"/>
        <v>0.15</v>
      </c>
      <c r="AB123" s="260">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619</v>
      </c>
      <c r="G124" s="73"/>
      <c r="H124" s="76" t="s">
        <v>617</v>
      </c>
      <c r="I124" s="96" t="s">
        <v>597</v>
      </c>
      <c r="J124" s="96"/>
      <c r="K124" s="97">
        <v>0.02</v>
      </c>
      <c r="L124" s="97">
        <v>0.02</v>
      </c>
      <c r="M124" s="97">
        <v>5.0000000000000001E-3</v>
      </c>
      <c r="N124" s="97">
        <v>5.0000000000000001E-3</v>
      </c>
      <c r="O124" s="97">
        <v>5.0000000000000001E-3</v>
      </c>
      <c r="P124" s="97">
        <v>5.0000000000000001E-3</v>
      </c>
      <c r="Q124" s="76"/>
      <c r="R124" s="76" t="s">
        <v>618</v>
      </c>
      <c r="S124" s="76" t="s">
        <v>618</v>
      </c>
      <c r="T124" s="76"/>
      <c r="U124" s="260">
        <f t="shared" si="18"/>
        <v>0.02</v>
      </c>
      <c r="V124" s="260">
        <f t="shared" si="18"/>
        <v>0.02</v>
      </c>
      <c r="W124" s="260">
        <f t="shared" si="18"/>
        <v>0.02</v>
      </c>
      <c r="X124" s="260">
        <f t="shared" si="18"/>
        <v>0.02</v>
      </c>
      <c r="Y124" s="260">
        <f t="shared" si="18"/>
        <v>0.02</v>
      </c>
      <c r="Z124" s="260">
        <f t="shared" si="18"/>
        <v>0.02</v>
      </c>
      <c r="AA124" s="260">
        <f t="shared" si="18"/>
        <v>0.02</v>
      </c>
      <c r="AB124" s="260">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620</v>
      </c>
      <c r="G125" s="73"/>
      <c r="H125" s="76" t="s">
        <v>617</v>
      </c>
      <c r="I125" s="96" t="s">
        <v>597</v>
      </c>
      <c r="J125" s="96"/>
      <c r="K125" s="97">
        <v>2E-3</v>
      </c>
      <c r="L125" s="97">
        <v>2E-3</v>
      </c>
      <c r="M125" s="97">
        <v>2E-3</v>
      </c>
      <c r="N125" s="97">
        <v>2E-3</v>
      </c>
      <c r="O125" s="97">
        <v>2E-3</v>
      </c>
      <c r="P125" s="97">
        <v>2E-3</v>
      </c>
      <c r="Q125" s="76"/>
      <c r="R125" s="76" t="s">
        <v>618</v>
      </c>
      <c r="S125" s="76" t="s">
        <v>618</v>
      </c>
      <c r="T125" s="76"/>
      <c r="U125" s="260">
        <f t="shared" si="18"/>
        <v>2E-3</v>
      </c>
      <c r="V125" s="260">
        <f t="shared" si="18"/>
        <v>2E-3</v>
      </c>
      <c r="W125" s="260">
        <f t="shared" si="18"/>
        <v>2E-3</v>
      </c>
      <c r="X125" s="260">
        <f t="shared" si="18"/>
        <v>2E-3</v>
      </c>
      <c r="Y125" s="260">
        <f t="shared" si="18"/>
        <v>2E-3</v>
      </c>
      <c r="Z125" s="260">
        <f t="shared" si="18"/>
        <v>2E-3</v>
      </c>
      <c r="AA125" s="260">
        <f t="shared" si="18"/>
        <v>2E-3</v>
      </c>
      <c r="AB125" s="260">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621</v>
      </c>
      <c r="G126" s="73"/>
      <c r="H126" s="76" t="s">
        <v>622</v>
      </c>
      <c r="I126" s="96" t="s">
        <v>570</v>
      </c>
      <c r="J126" s="96"/>
      <c r="K126" s="97">
        <v>0.5</v>
      </c>
      <c r="L126" s="97">
        <v>0.5</v>
      </c>
      <c r="M126" s="97">
        <v>0.5</v>
      </c>
      <c r="N126" s="97">
        <v>0.5</v>
      </c>
      <c r="O126" s="97">
        <v>0.5</v>
      </c>
      <c r="P126" s="97">
        <v>0.5</v>
      </c>
      <c r="Q126" s="76"/>
      <c r="R126" s="76" t="s">
        <v>618</v>
      </c>
      <c r="S126" s="76" t="s">
        <v>618</v>
      </c>
      <c r="T126" s="76"/>
      <c r="U126" s="260">
        <f t="shared" si="18"/>
        <v>0.5</v>
      </c>
      <c r="V126" s="260">
        <f t="shared" si="18"/>
        <v>0.5</v>
      </c>
      <c r="W126" s="260">
        <f t="shared" si="18"/>
        <v>0.5</v>
      </c>
      <c r="X126" s="260">
        <f t="shared" si="18"/>
        <v>0.5</v>
      </c>
      <c r="Y126" s="260">
        <f t="shared" si="18"/>
        <v>0.5</v>
      </c>
      <c r="Z126" s="260">
        <f t="shared" si="18"/>
        <v>0.5</v>
      </c>
      <c r="AA126" s="260">
        <f t="shared" si="18"/>
        <v>0.5</v>
      </c>
      <c r="AB126" s="260">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623</v>
      </c>
      <c r="G127" s="73"/>
      <c r="H127" s="76" t="s">
        <v>624</v>
      </c>
      <c r="I127" s="96" t="s">
        <v>570</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625</v>
      </c>
      <c r="G128" s="73"/>
      <c r="H128" s="76" t="s">
        <v>626</v>
      </c>
      <c r="I128" s="96" t="s">
        <v>570</v>
      </c>
      <c r="J128" s="96"/>
      <c r="K128" s="97">
        <v>0.01</v>
      </c>
      <c r="L128" s="97">
        <v>0.01</v>
      </c>
      <c r="M128" s="97">
        <v>0.01</v>
      </c>
      <c r="N128" s="97">
        <v>0.01</v>
      </c>
      <c r="O128" s="97">
        <v>0.01</v>
      </c>
      <c r="P128" s="97">
        <v>0.01</v>
      </c>
      <c r="Q128" s="76"/>
      <c r="R128" s="76" t="s">
        <v>627</v>
      </c>
      <c r="S128" s="76" t="s">
        <v>627</v>
      </c>
      <c r="T128" s="76"/>
      <c r="U128" s="260">
        <f t="shared" ref="U128:AB129" si="19">INDEX($K128:$Q128,1,U$43)</f>
        <v>0.01</v>
      </c>
      <c r="V128" s="260">
        <f t="shared" si="19"/>
        <v>0.01</v>
      </c>
      <c r="W128" s="260">
        <f t="shared" si="19"/>
        <v>0.01</v>
      </c>
      <c r="X128" s="260">
        <f t="shared" si="19"/>
        <v>0.01</v>
      </c>
      <c r="Y128" s="260">
        <f t="shared" si="19"/>
        <v>0.01</v>
      </c>
      <c r="Z128" s="260">
        <f t="shared" si="19"/>
        <v>0.01</v>
      </c>
      <c r="AA128" s="260">
        <f t="shared" si="19"/>
        <v>0.01</v>
      </c>
      <c r="AB128" s="260">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628</v>
      </c>
      <c r="G129" s="73"/>
      <c r="H129" s="76" t="s">
        <v>629</v>
      </c>
      <c r="I129" s="96" t="s">
        <v>570</v>
      </c>
      <c r="J129" s="96"/>
      <c r="K129" s="97">
        <v>20</v>
      </c>
      <c r="L129" s="97">
        <v>20</v>
      </c>
      <c r="M129" s="97">
        <v>20</v>
      </c>
      <c r="N129" s="97">
        <v>20</v>
      </c>
      <c r="O129" s="97">
        <v>20</v>
      </c>
      <c r="P129" s="97">
        <v>20</v>
      </c>
      <c r="Q129" s="76"/>
      <c r="R129" s="76" t="s">
        <v>627</v>
      </c>
      <c r="S129" s="76" t="s">
        <v>627</v>
      </c>
      <c r="T129" s="76"/>
      <c r="U129" s="260">
        <f t="shared" si="19"/>
        <v>20</v>
      </c>
      <c r="V129" s="260">
        <f t="shared" si="19"/>
        <v>20</v>
      </c>
      <c r="W129" s="260">
        <f t="shared" si="19"/>
        <v>20</v>
      </c>
      <c r="X129" s="260">
        <f t="shared" si="19"/>
        <v>20</v>
      </c>
      <c r="Y129" s="260">
        <f t="shared" si="19"/>
        <v>20</v>
      </c>
      <c r="Z129" s="260">
        <f t="shared" si="19"/>
        <v>20</v>
      </c>
      <c r="AA129" s="260">
        <f t="shared" si="19"/>
        <v>20</v>
      </c>
      <c r="AB129" s="260">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630</v>
      </c>
      <c r="G130" s="73"/>
      <c r="H130" s="76" t="s">
        <v>631</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632</v>
      </c>
      <c r="G131" s="73"/>
      <c r="H131" s="76" t="s">
        <v>633</v>
      </c>
      <c r="I131" s="96" t="s">
        <v>570</v>
      </c>
      <c r="J131" s="96"/>
      <c r="K131" s="97">
        <v>1.5</v>
      </c>
      <c r="L131" s="97">
        <v>1.7</v>
      </c>
      <c r="M131" s="97">
        <v>1.5</v>
      </c>
      <c r="N131" s="97">
        <v>1.5</v>
      </c>
      <c r="O131" s="97">
        <v>1.5</v>
      </c>
      <c r="P131" s="97">
        <v>1.5</v>
      </c>
      <c r="Q131" s="76"/>
      <c r="R131" s="76" t="s">
        <v>2393</v>
      </c>
      <c r="S131" s="76" t="s">
        <v>618</v>
      </c>
      <c r="T131" s="76"/>
      <c r="U131" s="260">
        <f t="shared" ref="U131:AB132" si="20">INDEX($K131:$Q131,1,U$43)</f>
        <v>1.5</v>
      </c>
      <c r="V131" s="260">
        <f t="shared" si="20"/>
        <v>1.5</v>
      </c>
      <c r="W131" s="260">
        <f t="shared" si="20"/>
        <v>1.5</v>
      </c>
      <c r="X131" s="260">
        <f t="shared" si="20"/>
        <v>1.7</v>
      </c>
      <c r="Y131" s="260">
        <f t="shared" si="20"/>
        <v>1.7</v>
      </c>
      <c r="Z131" s="260">
        <f t="shared" si="20"/>
        <v>1.7</v>
      </c>
      <c r="AA131" s="260">
        <f t="shared" si="20"/>
        <v>1.7</v>
      </c>
      <c r="AB131" s="260">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634</v>
      </c>
      <c r="G132" s="73"/>
      <c r="H132" s="76" t="s">
        <v>635</v>
      </c>
      <c r="I132" s="96" t="s">
        <v>570</v>
      </c>
      <c r="J132" s="96"/>
      <c r="K132" s="97">
        <v>3</v>
      </c>
      <c r="L132" s="97">
        <v>3</v>
      </c>
      <c r="M132" s="97">
        <v>3</v>
      </c>
      <c r="N132" s="97">
        <v>3</v>
      </c>
      <c r="O132" s="97">
        <v>3</v>
      </c>
      <c r="P132" s="97">
        <v>3</v>
      </c>
      <c r="Q132" s="76"/>
      <c r="R132" s="76"/>
      <c r="S132" s="76" t="s">
        <v>574</v>
      </c>
      <c r="T132" s="76"/>
      <c r="U132" s="260">
        <f t="shared" si="20"/>
        <v>3</v>
      </c>
      <c r="V132" s="260">
        <f t="shared" si="20"/>
        <v>3</v>
      </c>
      <c r="W132" s="260">
        <f t="shared" si="20"/>
        <v>3</v>
      </c>
      <c r="X132" s="260">
        <f t="shared" si="20"/>
        <v>3</v>
      </c>
      <c r="Y132" s="260">
        <f t="shared" si="20"/>
        <v>3</v>
      </c>
      <c r="Z132" s="260">
        <f t="shared" si="20"/>
        <v>3</v>
      </c>
      <c r="AA132" s="260">
        <f t="shared" si="20"/>
        <v>3</v>
      </c>
      <c r="AB132" s="260">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3" t="s">
        <v>636</v>
      </c>
      <c r="G133" s="73"/>
      <c r="H133" s="253" t="s">
        <v>637</v>
      </c>
      <c r="I133" s="96"/>
      <c r="J133" s="96" t="s">
        <v>587</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638</v>
      </c>
      <c r="F134" s="70" t="s">
        <v>639</v>
      </c>
      <c r="G134" s="73"/>
      <c r="H134" s="76" t="s">
        <v>563</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640</v>
      </c>
      <c r="G135" s="73"/>
      <c r="H135" s="76" t="s">
        <v>641</v>
      </c>
      <c r="I135" s="96" t="s">
        <v>642</v>
      </c>
      <c r="J135" s="96"/>
      <c r="K135" s="97">
        <v>0.8</v>
      </c>
      <c r="L135" s="97">
        <v>0.8</v>
      </c>
      <c r="M135" s="97">
        <v>0.8</v>
      </c>
      <c r="N135" s="97">
        <v>0.8</v>
      </c>
      <c r="O135" s="97">
        <v>0.8</v>
      </c>
      <c r="P135" s="97">
        <v>0.8</v>
      </c>
      <c r="Q135" s="76"/>
      <c r="R135" s="76" t="s">
        <v>580</v>
      </c>
      <c r="S135" s="76" t="s">
        <v>580</v>
      </c>
      <c r="T135" s="76"/>
      <c r="U135" s="260">
        <f t="shared" ref="U135:AB148" si="22">INDEX($K135:$Q135,1,U$43)</f>
        <v>0.8</v>
      </c>
      <c r="V135" s="260">
        <f t="shared" si="22"/>
        <v>0.8</v>
      </c>
      <c r="W135" s="260">
        <f t="shared" si="22"/>
        <v>0.8</v>
      </c>
      <c r="X135" s="260">
        <f t="shared" si="22"/>
        <v>0.8</v>
      </c>
      <c r="Y135" s="260">
        <f t="shared" si="22"/>
        <v>0.8</v>
      </c>
      <c r="Z135" s="260">
        <f t="shared" si="22"/>
        <v>0.8</v>
      </c>
      <c r="AA135" s="260">
        <f t="shared" si="22"/>
        <v>0.8</v>
      </c>
      <c r="AB135" s="260">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643</v>
      </c>
      <c r="G136" s="73"/>
      <c r="H136" s="76" t="s">
        <v>644</v>
      </c>
      <c r="I136" s="96" t="s">
        <v>570</v>
      </c>
      <c r="J136" s="96"/>
      <c r="K136" s="97">
        <v>0.17</v>
      </c>
      <c r="L136" s="97">
        <v>0.17</v>
      </c>
      <c r="M136" s="97">
        <v>0.17</v>
      </c>
      <c r="N136" s="97">
        <v>0.17</v>
      </c>
      <c r="O136" s="97">
        <v>0.17</v>
      </c>
      <c r="P136" s="97">
        <v>0.17</v>
      </c>
      <c r="Q136" s="76"/>
      <c r="R136" s="76" t="s">
        <v>580</v>
      </c>
      <c r="S136" s="76" t="s">
        <v>580</v>
      </c>
      <c r="T136" s="76"/>
      <c r="U136" s="260">
        <f t="shared" si="22"/>
        <v>0.17</v>
      </c>
      <c r="V136" s="260">
        <f t="shared" si="22"/>
        <v>0.17</v>
      </c>
      <c r="W136" s="260">
        <f t="shared" si="22"/>
        <v>0.17</v>
      </c>
      <c r="X136" s="260">
        <f t="shared" si="22"/>
        <v>0.17</v>
      </c>
      <c r="Y136" s="260">
        <f t="shared" si="22"/>
        <v>0.17</v>
      </c>
      <c r="Z136" s="260">
        <f t="shared" si="22"/>
        <v>0.17</v>
      </c>
      <c r="AA136" s="260">
        <f t="shared" si="22"/>
        <v>0.17</v>
      </c>
      <c r="AB136" s="260">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645</v>
      </c>
      <c r="G137" s="73"/>
      <c r="H137" s="76" t="s">
        <v>646</v>
      </c>
      <c r="I137" s="96" t="s">
        <v>570</v>
      </c>
      <c r="J137" s="96"/>
      <c r="K137" s="97">
        <v>1.7</v>
      </c>
      <c r="L137" s="97">
        <v>1.7</v>
      </c>
      <c r="M137" s="97">
        <v>1.7</v>
      </c>
      <c r="N137" s="97">
        <v>1.7</v>
      </c>
      <c r="O137" s="97">
        <v>1.7</v>
      </c>
      <c r="P137" s="97">
        <v>1.7</v>
      </c>
      <c r="Q137" s="76"/>
      <c r="R137" s="76" t="s">
        <v>580</v>
      </c>
      <c r="S137" s="76" t="s">
        <v>580</v>
      </c>
      <c r="T137" s="76"/>
      <c r="U137" s="260">
        <f t="shared" si="22"/>
        <v>1.7</v>
      </c>
      <c r="V137" s="260">
        <f t="shared" si="22"/>
        <v>1.7</v>
      </c>
      <c r="W137" s="260">
        <f t="shared" si="22"/>
        <v>1.7</v>
      </c>
      <c r="X137" s="260">
        <f t="shared" si="22"/>
        <v>1.7</v>
      </c>
      <c r="Y137" s="260">
        <f t="shared" si="22"/>
        <v>1.7</v>
      </c>
      <c r="Z137" s="260">
        <f t="shared" si="22"/>
        <v>1.7</v>
      </c>
      <c r="AA137" s="260">
        <f t="shared" si="22"/>
        <v>1.7</v>
      </c>
      <c r="AB137" s="260">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647</v>
      </c>
      <c r="G138" s="73"/>
      <c r="H138" s="76" t="s">
        <v>648</v>
      </c>
      <c r="I138" s="96" t="s">
        <v>614</v>
      </c>
      <c r="J138" s="96"/>
      <c r="K138" s="97">
        <v>1.1199999999999999E-3</v>
      </c>
      <c r="L138" s="97">
        <v>1.1199999999999999E-3</v>
      </c>
      <c r="M138" s="97">
        <v>7.7999999999999999E-4</v>
      </c>
      <c r="N138" s="97">
        <v>7.7999999999999999E-4</v>
      </c>
      <c r="O138" s="97">
        <v>7.7999999999999999E-4</v>
      </c>
      <c r="P138" s="97">
        <v>7.7999999999999999E-4</v>
      </c>
      <c r="Q138" s="76"/>
      <c r="R138" s="76" t="s">
        <v>580</v>
      </c>
      <c r="S138" s="76" t="s">
        <v>580</v>
      </c>
      <c r="T138" s="76"/>
      <c r="U138" s="260">
        <f t="shared" si="22"/>
        <v>1.1199999999999999E-3</v>
      </c>
      <c r="V138" s="260">
        <f t="shared" si="22"/>
        <v>1.1199999999999999E-3</v>
      </c>
      <c r="W138" s="260">
        <f t="shared" si="22"/>
        <v>1.1199999999999999E-3</v>
      </c>
      <c r="X138" s="260">
        <f t="shared" si="22"/>
        <v>1.1199999999999999E-3</v>
      </c>
      <c r="Y138" s="260">
        <f t="shared" si="22"/>
        <v>1.1199999999999999E-3</v>
      </c>
      <c r="Z138" s="260">
        <f t="shared" si="22"/>
        <v>1.1199999999999999E-3</v>
      </c>
      <c r="AA138" s="260">
        <f t="shared" si="22"/>
        <v>1.1199999999999999E-3</v>
      </c>
      <c r="AB138" s="260">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649</v>
      </c>
      <c r="G139" s="73"/>
      <c r="H139" s="76" t="s">
        <v>650</v>
      </c>
      <c r="I139" s="96" t="s">
        <v>570</v>
      </c>
      <c r="J139" s="96"/>
      <c r="K139" s="97">
        <v>0.6</v>
      </c>
      <c r="L139" s="97">
        <v>0.6</v>
      </c>
      <c r="M139" s="97">
        <v>0.6</v>
      </c>
      <c r="N139" s="97">
        <v>0.6</v>
      </c>
      <c r="O139" s="97">
        <v>0.6</v>
      </c>
      <c r="P139" s="97">
        <v>0.6</v>
      </c>
      <c r="Q139" s="76"/>
      <c r="R139" s="76" t="s">
        <v>580</v>
      </c>
      <c r="S139" s="76" t="s">
        <v>580</v>
      </c>
      <c r="T139" s="76"/>
      <c r="U139" s="260">
        <f t="shared" si="22"/>
        <v>0.6</v>
      </c>
      <c r="V139" s="260">
        <f t="shared" si="22"/>
        <v>0.6</v>
      </c>
      <c r="W139" s="260">
        <f t="shared" si="22"/>
        <v>0.6</v>
      </c>
      <c r="X139" s="260">
        <f t="shared" si="22"/>
        <v>0.6</v>
      </c>
      <c r="Y139" s="260">
        <f t="shared" si="22"/>
        <v>0.6</v>
      </c>
      <c r="Z139" s="260">
        <f t="shared" si="22"/>
        <v>0.6</v>
      </c>
      <c r="AA139" s="260">
        <f t="shared" si="22"/>
        <v>0.6</v>
      </c>
      <c r="AB139" s="260">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651</v>
      </c>
      <c r="G140" s="73"/>
      <c r="H140" s="76" t="s">
        <v>652</v>
      </c>
      <c r="I140" s="96" t="s">
        <v>614</v>
      </c>
      <c r="J140" s="96"/>
      <c r="K140" s="97">
        <v>1.1199999999999999E-3</v>
      </c>
      <c r="L140" s="97">
        <v>1.1199999999999999E-3</v>
      </c>
      <c r="M140" s="97">
        <v>7.3999999999999999E-4</v>
      </c>
      <c r="N140" s="97">
        <v>7.3999999999999999E-4</v>
      </c>
      <c r="O140" s="97">
        <v>7.3999999999999999E-4</v>
      </c>
      <c r="P140" s="97">
        <v>7.3999999999999999E-4</v>
      </c>
      <c r="Q140" s="76"/>
      <c r="R140" s="76" t="s">
        <v>580</v>
      </c>
      <c r="S140" s="76" t="s">
        <v>580</v>
      </c>
      <c r="T140" s="76"/>
      <c r="U140" s="260">
        <f t="shared" si="22"/>
        <v>1.1199999999999999E-3</v>
      </c>
      <c r="V140" s="260">
        <f t="shared" si="22"/>
        <v>1.1199999999999999E-3</v>
      </c>
      <c r="W140" s="260">
        <f t="shared" si="22"/>
        <v>1.1199999999999999E-3</v>
      </c>
      <c r="X140" s="260">
        <f t="shared" si="22"/>
        <v>1.1199999999999999E-3</v>
      </c>
      <c r="Y140" s="260">
        <f t="shared" si="22"/>
        <v>1.1199999999999999E-3</v>
      </c>
      <c r="Z140" s="260">
        <f t="shared" si="22"/>
        <v>1.1199999999999999E-3</v>
      </c>
      <c r="AA140" s="260">
        <f t="shared" si="22"/>
        <v>1.1199999999999999E-3</v>
      </c>
      <c r="AB140" s="260">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653</v>
      </c>
      <c r="G141" s="73"/>
      <c r="H141" s="76" t="s">
        <v>654</v>
      </c>
      <c r="I141" s="96" t="s">
        <v>570</v>
      </c>
      <c r="J141" s="96"/>
      <c r="K141" s="97">
        <v>0</v>
      </c>
      <c r="L141" s="97">
        <v>0</v>
      </c>
      <c r="M141" s="97">
        <v>0.5</v>
      </c>
      <c r="N141" s="97">
        <v>0.5</v>
      </c>
      <c r="O141" s="97">
        <v>0.5</v>
      </c>
      <c r="P141" s="97">
        <v>0.5</v>
      </c>
      <c r="Q141" s="76"/>
      <c r="R141" s="76"/>
      <c r="S141" s="76" t="s">
        <v>655</v>
      </c>
      <c r="T141" s="76"/>
      <c r="U141" s="260">
        <f t="shared" si="22"/>
        <v>0</v>
      </c>
      <c r="V141" s="260">
        <f t="shared" si="22"/>
        <v>0</v>
      </c>
      <c r="W141" s="260">
        <f t="shared" si="22"/>
        <v>0</v>
      </c>
      <c r="X141" s="260">
        <f t="shared" si="22"/>
        <v>0</v>
      </c>
      <c r="Y141" s="260">
        <f t="shared" si="22"/>
        <v>0</v>
      </c>
      <c r="Z141" s="260">
        <f t="shared" si="22"/>
        <v>0</v>
      </c>
      <c r="AA141" s="260">
        <f t="shared" si="22"/>
        <v>0</v>
      </c>
      <c r="AB141" s="260">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656</v>
      </c>
      <c r="G142" s="73"/>
      <c r="H142" s="76" t="s">
        <v>657</v>
      </c>
      <c r="I142" s="96" t="s">
        <v>599</v>
      </c>
      <c r="J142" s="96"/>
      <c r="K142" s="76"/>
      <c r="L142" s="76"/>
      <c r="M142" s="97">
        <v>64</v>
      </c>
      <c r="N142" s="97">
        <v>64</v>
      </c>
      <c r="O142" s="97">
        <v>64</v>
      </c>
      <c r="P142" s="97">
        <v>150</v>
      </c>
      <c r="Q142" s="76"/>
      <c r="R142" s="76"/>
      <c r="S142" s="76" t="s">
        <v>655</v>
      </c>
      <c r="T142" s="76"/>
      <c r="U142" s="260">
        <f t="shared" si="22"/>
        <v>0</v>
      </c>
      <c r="V142" s="260">
        <f t="shared" si="22"/>
        <v>0</v>
      </c>
      <c r="W142" s="260">
        <f t="shared" si="22"/>
        <v>0</v>
      </c>
      <c r="X142" s="260">
        <f t="shared" si="22"/>
        <v>0</v>
      </c>
      <c r="Y142" s="260">
        <f t="shared" si="22"/>
        <v>0</v>
      </c>
      <c r="Z142" s="260">
        <f t="shared" si="22"/>
        <v>0</v>
      </c>
      <c r="AA142" s="260">
        <f t="shared" si="22"/>
        <v>0</v>
      </c>
      <c r="AB142" s="260">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658</v>
      </c>
      <c r="G143" s="73"/>
      <c r="H143" s="76" t="s">
        <v>659</v>
      </c>
      <c r="I143" s="96" t="s">
        <v>570</v>
      </c>
      <c r="J143" s="96"/>
      <c r="K143" s="76"/>
      <c r="L143" s="76"/>
      <c r="M143" s="97">
        <v>1.7</v>
      </c>
      <c r="N143" s="97">
        <v>1.7</v>
      </c>
      <c r="O143" s="97">
        <v>1.7</v>
      </c>
      <c r="P143" s="97">
        <v>1.7</v>
      </c>
      <c r="Q143" s="76"/>
      <c r="R143" s="76"/>
      <c r="S143" s="76" t="s">
        <v>655</v>
      </c>
      <c r="T143" s="76"/>
      <c r="U143" s="260">
        <f t="shared" si="22"/>
        <v>0</v>
      </c>
      <c r="V143" s="260">
        <f t="shared" si="22"/>
        <v>0</v>
      </c>
      <c r="W143" s="260">
        <f t="shared" si="22"/>
        <v>0</v>
      </c>
      <c r="X143" s="260">
        <f t="shared" si="22"/>
        <v>0</v>
      </c>
      <c r="Y143" s="260">
        <f t="shared" si="22"/>
        <v>0</v>
      </c>
      <c r="Z143" s="260">
        <f t="shared" si="22"/>
        <v>0</v>
      </c>
      <c r="AA143" s="260">
        <f t="shared" si="22"/>
        <v>0</v>
      </c>
      <c r="AB143" s="260">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660</v>
      </c>
      <c r="G144" s="73"/>
      <c r="H144" s="76" t="s">
        <v>659</v>
      </c>
      <c r="I144" s="96" t="s">
        <v>570</v>
      </c>
      <c r="J144" s="96"/>
      <c r="K144" s="76"/>
      <c r="L144" s="76"/>
      <c r="M144" s="97">
        <v>0.1</v>
      </c>
      <c r="N144" s="97">
        <v>0.1</v>
      </c>
      <c r="O144" s="97">
        <v>0.1</v>
      </c>
      <c r="P144" s="97">
        <v>0.1</v>
      </c>
      <c r="Q144" s="76"/>
      <c r="R144" s="76"/>
      <c r="S144" s="76" t="s">
        <v>655</v>
      </c>
      <c r="T144" s="76"/>
      <c r="U144" s="260">
        <f t="shared" si="22"/>
        <v>0</v>
      </c>
      <c r="V144" s="260">
        <f t="shared" si="22"/>
        <v>0</v>
      </c>
      <c r="W144" s="260">
        <f t="shared" si="22"/>
        <v>0</v>
      </c>
      <c r="X144" s="260">
        <f t="shared" si="22"/>
        <v>0</v>
      </c>
      <c r="Y144" s="260">
        <f t="shared" si="22"/>
        <v>0</v>
      </c>
      <c r="Z144" s="260">
        <f t="shared" si="22"/>
        <v>0</v>
      </c>
      <c r="AA144" s="260">
        <f t="shared" si="22"/>
        <v>0</v>
      </c>
      <c r="AB144" s="260">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661</v>
      </c>
      <c r="G145" s="73"/>
      <c r="H145" s="76" t="s">
        <v>662</v>
      </c>
      <c r="I145" s="96" t="s">
        <v>663</v>
      </c>
      <c r="J145" s="96"/>
      <c r="K145" s="97">
        <v>10.5</v>
      </c>
      <c r="L145" s="97">
        <v>10.5</v>
      </c>
      <c r="M145" s="97">
        <v>10.5</v>
      </c>
      <c r="N145" s="97">
        <v>10.5</v>
      </c>
      <c r="O145" s="97">
        <v>10.5</v>
      </c>
      <c r="P145" s="97">
        <v>10.5</v>
      </c>
      <c r="Q145" s="76"/>
      <c r="R145" s="76" t="s">
        <v>664</v>
      </c>
      <c r="S145" s="76" t="s">
        <v>655</v>
      </c>
      <c r="T145" s="76"/>
      <c r="U145" s="260">
        <f t="shared" si="22"/>
        <v>10.5</v>
      </c>
      <c r="V145" s="260">
        <f t="shared" si="22"/>
        <v>10.5</v>
      </c>
      <c r="W145" s="260">
        <f t="shared" si="22"/>
        <v>10.5</v>
      </c>
      <c r="X145" s="260">
        <f t="shared" si="22"/>
        <v>10.5</v>
      </c>
      <c r="Y145" s="260">
        <f t="shared" si="22"/>
        <v>10.5</v>
      </c>
      <c r="Z145" s="260">
        <f t="shared" si="22"/>
        <v>10.5</v>
      </c>
      <c r="AA145" s="260">
        <f t="shared" si="22"/>
        <v>10.5</v>
      </c>
      <c r="AB145" s="260">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665</v>
      </c>
      <c r="G146" s="73"/>
      <c r="H146" s="76" t="s">
        <v>666</v>
      </c>
      <c r="I146" s="96" t="s">
        <v>570</v>
      </c>
      <c r="J146" s="96"/>
      <c r="K146" s="97">
        <v>1</v>
      </c>
      <c r="L146" s="97">
        <v>1</v>
      </c>
      <c r="M146" s="97">
        <v>1</v>
      </c>
      <c r="N146" s="97">
        <v>1</v>
      </c>
      <c r="O146" s="97">
        <v>1</v>
      </c>
      <c r="P146" s="97">
        <v>1</v>
      </c>
      <c r="Q146" s="76"/>
      <c r="R146" s="76" t="s">
        <v>655</v>
      </c>
      <c r="S146" s="76" t="s">
        <v>655</v>
      </c>
      <c r="T146" s="76"/>
      <c r="U146" s="260">
        <f t="shared" si="22"/>
        <v>1</v>
      </c>
      <c r="V146" s="260">
        <f t="shared" si="22"/>
        <v>1</v>
      </c>
      <c r="W146" s="260">
        <f t="shared" si="22"/>
        <v>1</v>
      </c>
      <c r="X146" s="260">
        <f t="shared" si="22"/>
        <v>1</v>
      </c>
      <c r="Y146" s="260">
        <f t="shared" si="22"/>
        <v>1</v>
      </c>
      <c r="Z146" s="260">
        <f t="shared" si="22"/>
        <v>1</v>
      </c>
      <c r="AA146" s="260">
        <f t="shared" si="22"/>
        <v>1</v>
      </c>
      <c r="AB146" s="260">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667</v>
      </c>
      <c r="G147" s="73"/>
      <c r="H147" s="76" t="s">
        <v>668</v>
      </c>
      <c r="I147" s="96" t="s">
        <v>570</v>
      </c>
      <c r="J147" s="96"/>
      <c r="K147" s="97">
        <v>0.35</v>
      </c>
      <c r="L147" s="97">
        <v>0.35</v>
      </c>
      <c r="M147" s="97">
        <v>0.35</v>
      </c>
      <c r="N147" s="97">
        <v>0.35</v>
      </c>
      <c r="O147" s="97">
        <v>0.35</v>
      </c>
      <c r="P147" s="97">
        <v>0.35</v>
      </c>
      <c r="Q147" s="76"/>
      <c r="R147" s="76" t="s">
        <v>655</v>
      </c>
      <c r="S147" s="76" t="s">
        <v>655</v>
      </c>
      <c r="T147" s="76"/>
      <c r="U147" s="260">
        <f t="shared" si="22"/>
        <v>0.35</v>
      </c>
      <c r="V147" s="260">
        <f t="shared" si="22"/>
        <v>0.35</v>
      </c>
      <c r="W147" s="260">
        <f t="shared" si="22"/>
        <v>0.35</v>
      </c>
      <c r="X147" s="260">
        <f t="shared" si="22"/>
        <v>0.35</v>
      </c>
      <c r="Y147" s="260">
        <f t="shared" si="22"/>
        <v>0.35</v>
      </c>
      <c r="Z147" s="260">
        <f t="shared" si="22"/>
        <v>0.35</v>
      </c>
      <c r="AA147" s="260">
        <f t="shared" si="22"/>
        <v>0.35</v>
      </c>
      <c r="AB147" s="260">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669</v>
      </c>
      <c r="G148" s="73"/>
      <c r="H148" s="76" t="s">
        <v>670</v>
      </c>
      <c r="I148" s="96" t="s">
        <v>570</v>
      </c>
      <c r="J148" s="96"/>
      <c r="K148" s="97">
        <v>1</v>
      </c>
      <c r="L148" s="97">
        <v>1</v>
      </c>
      <c r="M148" s="97">
        <v>1</v>
      </c>
      <c r="N148" s="97">
        <v>1</v>
      </c>
      <c r="O148" s="97">
        <v>1</v>
      </c>
      <c r="P148" s="97">
        <v>1</v>
      </c>
      <c r="Q148" s="76"/>
      <c r="R148" s="76" t="s">
        <v>655</v>
      </c>
      <c r="S148" s="76" t="s">
        <v>655</v>
      </c>
      <c r="T148" s="76"/>
      <c r="U148" s="260">
        <f t="shared" si="22"/>
        <v>1</v>
      </c>
      <c r="V148" s="260">
        <f t="shared" si="22"/>
        <v>1</v>
      </c>
      <c r="W148" s="260">
        <f t="shared" si="22"/>
        <v>1</v>
      </c>
      <c r="X148" s="260">
        <f t="shared" si="22"/>
        <v>1</v>
      </c>
      <c r="Y148" s="260">
        <f t="shared" si="22"/>
        <v>1</v>
      </c>
      <c r="Z148" s="260">
        <f t="shared" si="22"/>
        <v>1</v>
      </c>
      <c r="AA148" s="260">
        <f t="shared" si="22"/>
        <v>1</v>
      </c>
      <c r="AB148" s="260">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671</v>
      </c>
      <c r="G149" s="73"/>
      <c r="H149" s="76" t="s">
        <v>672</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673</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674</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675</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676</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677</v>
      </c>
      <c r="G154" s="73"/>
      <c r="H154" s="76" t="s">
        <v>678</v>
      </c>
      <c r="I154" s="96" t="s">
        <v>663</v>
      </c>
      <c r="J154" s="96"/>
      <c r="K154" s="97">
        <v>11.5</v>
      </c>
      <c r="L154" s="97">
        <v>11.5</v>
      </c>
      <c r="M154" s="97">
        <v>11.5</v>
      </c>
      <c r="N154" s="97">
        <v>11.5</v>
      </c>
      <c r="O154" s="97">
        <v>11.5</v>
      </c>
      <c r="P154" s="97">
        <v>11.5</v>
      </c>
      <c r="Q154" s="76"/>
      <c r="R154" s="76" t="s">
        <v>679</v>
      </c>
      <c r="S154" s="76"/>
      <c r="T154" s="76"/>
      <c r="U154" s="260">
        <f t="shared" ref="U154:AB156" si="23">INDEX($K154:$Q154,1,U$43)</f>
        <v>11.5</v>
      </c>
      <c r="V154" s="260">
        <f t="shared" si="23"/>
        <v>11.5</v>
      </c>
      <c r="W154" s="260">
        <f t="shared" si="23"/>
        <v>11.5</v>
      </c>
      <c r="X154" s="260">
        <f t="shared" si="23"/>
        <v>11.5</v>
      </c>
      <c r="Y154" s="260">
        <f t="shared" si="23"/>
        <v>11.5</v>
      </c>
      <c r="Z154" s="260">
        <f t="shared" si="23"/>
        <v>11.5</v>
      </c>
      <c r="AA154" s="260">
        <f t="shared" si="23"/>
        <v>11.5</v>
      </c>
      <c r="AB154" s="260">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680</v>
      </c>
      <c r="G155" s="73"/>
      <c r="H155" s="76" t="s">
        <v>681</v>
      </c>
      <c r="I155" s="96" t="s">
        <v>663</v>
      </c>
      <c r="J155" s="96"/>
      <c r="K155" s="97">
        <v>0</v>
      </c>
      <c r="L155" s="97">
        <v>0</v>
      </c>
      <c r="M155" s="97">
        <v>0</v>
      </c>
      <c r="N155" s="97">
        <v>0</v>
      </c>
      <c r="O155" s="97">
        <v>0</v>
      </c>
      <c r="P155" s="97">
        <v>0</v>
      </c>
      <c r="Q155" s="76"/>
      <c r="R155" s="76" t="s">
        <v>682</v>
      </c>
      <c r="S155" s="76" t="s">
        <v>682</v>
      </c>
      <c r="T155" s="76"/>
      <c r="U155" s="260">
        <f t="shared" si="23"/>
        <v>0</v>
      </c>
      <c r="V155" s="260">
        <f t="shared" si="23"/>
        <v>0</v>
      </c>
      <c r="W155" s="260">
        <f t="shared" si="23"/>
        <v>0</v>
      </c>
      <c r="X155" s="260">
        <f t="shared" si="23"/>
        <v>0</v>
      </c>
      <c r="Y155" s="260">
        <f t="shared" si="23"/>
        <v>0</v>
      </c>
      <c r="Z155" s="260">
        <f t="shared" si="23"/>
        <v>0</v>
      </c>
      <c r="AA155" s="260">
        <f t="shared" si="23"/>
        <v>0</v>
      </c>
      <c r="AB155" s="260">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683</v>
      </c>
      <c r="G156" s="73"/>
      <c r="H156" s="76" t="s">
        <v>684</v>
      </c>
      <c r="I156" s="96" t="s">
        <v>663</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685</v>
      </c>
      <c r="S156" s="76" t="s">
        <v>685</v>
      </c>
      <c r="T156" s="76"/>
      <c r="U156" s="260">
        <f t="shared" si="23"/>
        <v>0.21176470588235297</v>
      </c>
      <c r="V156" s="260">
        <f t="shared" si="23"/>
        <v>0.21176470588235297</v>
      </c>
      <c r="W156" s="260">
        <f t="shared" si="23"/>
        <v>0.21176470588235297</v>
      </c>
      <c r="X156" s="260">
        <f t="shared" si="23"/>
        <v>0.21176470588235297</v>
      </c>
      <c r="Y156" s="260">
        <f t="shared" si="23"/>
        <v>0.21176470588235297</v>
      </c>
      <c r="Z156" s="260">
        <f t="shared" si="23"/>
        <v>0.21176470588235297</v>
      </c>
      <c r="AA156" s="260">
        <f t="shared" si="23"/>
        <v>0.21176470588235297</v>
      </c>
      <c r="AB156" s="260">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3" t="s">
        <v>686</v>
      </c>
      <c r="G157" s="73"/>
      <c r="H157" s="253" t="s">
        <v>687</v>
      </c>
      <c r="I157" s="96"/>
      <c r="J157" s="96" t="s">
        <v>587</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688</v>
      </c>
      <c r="F158" s="70" t="s">
        <v>689</v>
      </c>
      <c r="G158" s="73"/>
      <c r="H158" s="76" t="s">
        <v>563</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690</v>
      </c>
      <c r="G159" s="73"/>
      <c r="H159" s="76" t="s">
        <v>691</v>
      </c>
      <c r="I159" s="96" t="s">
        <v>570</v>
      </c>
      <c r="J159" s="96"/>
      <c r="K159" s="97">
        <v>0.5</v>
      </c>
      <c r="L159" s="97">
        <v>0.5</v>
      </c>
      <c r="M159" s="97">
        <v>0.5</v>
      </c>
      <c r="N159" s="97">
        <v>0.5</v>
      </c>
      <c r="O159" s="97">
        <v>0.5</v>
      </c>
      <c r="P159" s="97">
        <v>0.5</v>
      </c>
      <c r="Q159" s="76"/>
      <c r="R159" s="76" t="s">
        <v>692</v>
      </c>
      <c r="S159" s="76" t="s">
        <v>692</v>
      </c>
      <c r="T159" s="76"/>
      <c r="U159" s="260">
        <f t="shared" ref="U159:AB175" si="26">INDEX($K159:$Q159,1,U$43)</f>
        <v>0.5</v>
      </c>
      <c r="V159" s="260">
        <f t="shared" si="26"/>
        <v>0.5</v>
      </c>
      <c r="W159" s="260">
        <f t="shared" si="26"/>
        <v>0.5</v>
      </c>
      <c r="X159" s="260">
        <f t="shared" si="26"/>
        <v>0.5</v>
      </c>
      <c r="Y159" s="260">
        <f t="shared" si="26"/>
        <v>0.5</v>
      </c>
      <c r="Z159" s="260">
        <f t="shared" si="26"/>
        <v>0.5</v>
      </c>
      <c r="AA159" s="260">
        <f t="shared" si="26"/>
        <v>0.5</v>
      </c>
      <c r="AB159" s="260">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693</v>
      </c>
      <c r="G160" s="73"/>
      <c r="H160" s="76" t="s">
        <v>694</v>
      </c>
      <c r="I160" s="96" t="s">
        <v>695</v>
      </c>
      <c r="J160" s="96"/>
      <c r="K160" s="97">
        <v>0.02</v>
      </c>
      <c r="L160" s="97">
        <v>0.02</v>
      </c>
      <c r="M160" s="97">
        <v>0.02</v>
      </c>
      <c r="N160" s="97">
        <v>0.02</v>
      </c>
      <c r="O160" s="97">
        <v>0.02</v>
      </c>
      <c r="P160" s="97">
        <v>0.02</v>
      </c>
      <c r="Q160" s="76"/>
      <c r="R160" s="76" t="s">
        <v>696</v>
      </c>
      <c r="S160" s="76" t="s">
        <v>696</v>
      </c>
      <c r="T160" s="76"/>
      <c r="U160" s="260">
        <f t="shared" si="26"/>
        <v>0.02</v>
      </c>
      <c r="V160" s="260">
        <f t="shared" si="26"/>
        <v>0.02</v>
      </c>
      <c r="W160" s="260">
        <f t="shared" si="26"/>
        <v>0.02</v>
      </c>
      <c r="X160" s="260">
        <f t="shared" si="26"/>
        <v>0.02</v>
      </c>
      <c r="Y160" s="260">
        <f t="shared" si="26"/>
        <v>0.02</v>
      </c>
      <c r="Z160" s="260">
        <f t="shared" si="26"/>
        <v>0.02</v>
      </c>
      <c r="AA160" s="260">
        <f t="shared" si="26"/>
        <v>0.02</v>
      </c>
      <c r="AB160" s="260">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697</v>
      </c>
      <c r="G161" s="73"/>
      <c r="H161" s="76" t="s">
        <v>698</v>
      </c>
      <c r="I161" s="96" t="s">
        <v>570</v>
      </c>
      <c r="J161" s="96"/>
      <c r="K161" s="97">
        <v>0.85</v>
      </c>
      <c r="L161" s="97">
        <v>0.85</v>
      </c>
      <c r="M161" s="97">
        <v>0.85</v>
      </c>
      <c r="N161" s="97">
        <v>0.85</v>
      </c>
      <c r="O161" s="97">
        <v>0.85</v>
      </c>
      <c r="P161" s="97">
        <v>0.85</v>
      </c>
      <c r="Q161" s="76"/>
      <c r="R161" s="76" t="s">
        <v>696</v>
      </c>
      <c r="S161" s="76" t="s">
        <v>696</v>
      </c>
      <c r="T161" s="76"/>
      <c r="U161" s="260">
        <f t="shared" si="26"/>
        <v>0.85</v>
      </c>
      <c r="V161" s="260">
        <f t="shared" si="26"/>
        <v>0.85</v>
      </c>
      <c r="W161" s="260">
        <f t="shared" si="26"/>
        <v>0.85</v>
      </c>
      <c r="X161" s="260">
        <f t="shared" si="26"/>
        <v>0.85</v>
      </c>
      <c r="Y161" s="260">
        <f t="shared" si="26"/>
        <v>0.85</v>
      </c>
      <c r="Z161" s="260">
        <f t="shared" si="26"/>
        <v>0.85</v>
      </c>
      <c r="AA161" s="260">
        <f t="shared" si="26"/>
        <v>0.85</v>
      </c>
      <c r="AB161" s="260">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699</v>
      </c>
      <c r="G162" s="73"/>
      <c r="H162" s="76" t="s">
        <v>700</v>
      </c>
      <c r="I162" s="96" t="s">
        <v>642</v>
      </c>
      <c r="J162" s="96"/>
      <c r="K162" s="97">
        <v>0.7</v>
      </c>
      <c r="L162" s="97">
        <v>0.7</v>
      </c>
      <c r="M162" s="97">
        <v>0.7</v>
      </c>
      <c r="N162" s="97">
        <v>0.7</v>
      </c>
      <c r="O162" s="97">
        <v>0.7</v>
      </c>
      <c r="P162" s="97">
        <v>0.7</v>
      </c>
      <c r="Q162" s="76"/>
      <c r="R162" s="76"/>
      <c r="S162" s="76"/>
      <c r="T162" s="76"/>
      <c r="U162" s="260">
        <f t="shared" si="26"/>
        <v>0.7</v>
      </c>
      <c r="V162" s="260">
        <f t="shared" si="26"/>
        <v>0.7</v>
      </c>
      <c r="W162" s="260">
        <f t="shared" si="26"/>
        <v>0.7</v>
      </c>
      <c r="X162" s="260">
        <f t="shared" si="26"/>
        <v>0.7</v>
      </c>
      <c r="Y162" s="260">
        <f t="shared" si="26"/>
        <v>0.7</v>
      </c>
      <c r="Z162" s="260">
        <f t="shared" si="26"/>
        <v>0.7</v>
      </c>
      <c r="AA162" s="260">
        <f t="shared" si="26"/>
        <v>0.7</v>
      </c>
      <c r="AB162" s="260">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701</v>
      </c>
      <c r="G163" s="73"/>
      <c r="H163" s="76" t="s">
        <v>702</v>
      </c>
      <c r="I163" s="96" t="s">
        <v>570</v>
      </c>
      <c r="J163" s="96"/>
      <c r="K163" s="97">
        <v>0.4</v>
      </c>
      <c r="L163" s="97">
        <v>0.4</v>
      </c>
      <c r="M163" s="97">
        <v>0.4</v>
      </c>
      <c r="N163" s="97">
        <v>0.4</v>
      </c>
      <c r="O163" s="97">
        <v>0.4</v>
      </c>
      <c r="P163" s="97">
        <v>0.4</v>
      </c>
      <c r="Q163" s="76"/>
      <c r="R163" s="76" t="s">
        <v>696</v>
      </c>
      <c r="S163" s="76" t="s">
        <v>696</v>
      </c>
      <c r="T163" s="76"/>
      <c r="U163" s="260">
        <f t="shared" si="26"/>
        <v>0.4</v>
      </c>
      <c r="V163" s="260">
        <f t="shared" si="26"/>
        <v>0.4</v>
      </c>
      <c r="W163" s="260">
        <f t="shared" si="26"/>
        <v>0.4</v>
      </c>
      <c r="X163" s="260">
        <f t="shared" si="26"/>
        <v>0.4</v>
      </c>
      <c r="Y163" s="260">
        <f t="shared" si="26"/>
        <v>0.4</v>
      </c>
      <c r="Z163" s="260">
        <f t="shared" si="26"/>
        <v>0.4</v>
      </c>
      <c r="AA163" s="260">
        <f t="shared" si="26"/>
        <v>0.4</v>
      </c>
      <c r="AB163" s="260">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703</v>
      </c>
      <c r="G164" s="73"/>
      <c r="H164" s="76" t="s">
        <v>704</v>
      </c>
      <c r="I164" s="96" t="s">
        <v>695</v>
      </c>
      <c r="J164" s="96"/>
      <c r="K164" s="97">
        <v>0.02</v>
      </c>
      <c r="L164" s="97">
        <v>0.02</v>
      </c>
      <c r="M164" s="97">
        <v>0.02</v>
      </c>
      <c r="N164" s="97">
        <v>0.02</v>
      </c>
      <c r="O164" s="97">
        <v>0.02</v>
      </c>
      <c r="P164" s="97">
        <v>0.02</v>
      </c>
      <c r="Q164" s="76"/>
      <c r="R164" s="76" t="s">
        <v>696</v>
      </c>
      <c r="S164" s="76" t="s">
        <v>696</v>
      </c>
      <c r="T164" s="76"/>
      <c r="U164" s="260">
        <f t="shared" si="26"/>
        <v>0.02</v>
      </c>
      <c r="V164" s="260">
        <f t="shared" si="26"/>
        <v>0.02</v>
      </c>
      <c r="W164" s="260">
        <f t="shared" si="26"/>
        <v>0.02</v>
      </c>
      <c r="X164" s="260">
        <f t="shared" si="26"/>
        <v>0.02</v>
      </c>
      <c r="Y164" s="260">
        <f t="shared" si="26"/>
        <v>0.02</v>
      </c>
      <c r="Z164" s="260">
        <f t="shared" si="26"/>
        <v>0.02</v>
      </c>
      <c r="AA164" s="260">
        <f t="shared" si="26"/>
        <v>0.02</v>
      </c>
      <c r="AB164" s="260">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705</v>
      </c>
      <c r="G165" s="73"/>
      <c r="H165" s="76" t="s">
        <v>706</v>
      </c>
      <c r="I165" s="96" t="s">
        <v>642</v>
      </c>
      <c r="J165" s="96"/>
      <c r="K165" s="97">
        <v>0.6</v>
      </c>
      <c r="L165" s="97">
        <v>0.6</v>
      </c>
      <c r="M165" s="97">
        <v>0.6</v>
      </c>
      <c r="N165" s="97">
        <v>0.6</v>
      </c>
      <c r="O165" s="97">
        <v>0.6</v>
      </c>
      <c r="P165" s="97">
        <v>0.6</v>
      </c>
      <c r="Q165" s="76"/>
      <c r="R165" s="76" t="s">
        <v>696</v>
      </c>
      <c r="S165" s="76" t="s">
        <v>696</v>
      </c>
      <c r="T165" s="76"/>
      <c r="U165" s="260">
        <f t="shared" si="26"/>
        <v>0.6</v>
      </c>
      <c r="V165" s="260">
        <f t="shared" si="26"/>
        <v>0.6</v>
      </c>
      <c r="W165" s="260">
        <f t="shared" si="26"/>
        <v>0.6</v>
      </c>
      <c r="X165" s="260">
        <f t="shared" si="26"/>
        <v>0.6</v>
      </c>
      <c r="Y165" s="260">
        <f t="shared" si="26"/>
        <v>0.6</v>
      </c>
      <c r="Z165" s="260">
        <f t="shared" si="26"/>
        <v>0.6</v>
      </c>
      <c r="AA165" s="260">
        <f t="shared" si="26"/>
        <v>0.6</v>
      </c>
      <c r="AB165" s="260">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707</v>
      </c>
      <c r="G166" s="73"/>
      <c r="H166" s="76" t="s">
        <v>708</v>
      </c>
      <c r="I166" s="96" t="s">
        <v>642</v>
      </c>
      <c r="J166" s="96"/>
      <c r="K166" s="97">
        <v>0.13300000000000001</v>
      </c>
      <c r="L166" s="97">
        <v>0.13300000000000001</v>
      </c>
      <c r="M166" s="97">
        <v>0.13300000000000001</v>
      </c>
      <c r="N166" s="97">
        <v>0.13300000000000001</v>
      </c>
      <c r="O166" s="97">
        <v>0.13300000000000001</v>
      </c>
      <c r="P166" s="97">
        <v>0.13300000000000001</v>
      </c>
      <c r="Q166" s="76"/>
      <c r="R166" s="76" t="s">
        <v>580</v>
      </c>
      <c r="S166" s="76" t="s">
        <v>580</v>
      </c>
      <c r="T166" s="76"/>
      <c r="U166" s="260">
        <f t="shared" si="26"/>
        <v>0.13300000000000001</v>
      </c>
      <c r="V166" s="260">
        <f t="shared" si="26"/>
        <v>0.13300000000000001</v>
      </c>
      <c r="W166" s="260">
        <f t="shared" si="26"/>
        <v>0.13300000000000001</v>
      </c>
      <c r="X166" s="260">
        <f t="shared" si="26"/>
        <v>0.13300000000000001</v>
      </c>
      <c r="Y166" s="260">
        <f t="shared" si="26"/>
        <v>0.13300000000000001</v>
      </c>
      <c r="Z166" s="260">
        <f t="shared" si="26"/>
        <v>0.13300000000000001</v>
      </c>
      <c r="AA166" s="260">
        <f t="shared" si="26"/>
        <v>0.13300000000000001</v>
      </c>
      <c r="AB166" s="260">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709</v>
      </c>
      <c r="G167" s="73"/>
      <c r="H167" s="76" t="s">
        <v>710</v>
      </c>
      <c r="I167" s="96" t="s">
        <v>570</v>
      </c>
      <c r="J167" s="96"/>
      <c r="K167" s="97">
        <v>0.95</v>
      </c>
      <c r="L167" s="97">
        <v>0.95</v>
      </c>
      <c r="M167" s="97">
        <v>0.95</v>
      </c>
      <c r="N167" s="97">
        <v>0.95</v>
      </c>
      <c r="O167" s="97">
        <v>0.95</v>
      </c>
      <c r="P167" s="97">
        <v>0.95</v>
      </c>
      <c r="Q167" s="76"/>
      <c r="R167" s="76" t="s">
        <v>696</v>
      </c>
      <c r="S167" s="76" t="s">
        <v>696</v>
      </c>
      <c r="T167" s="76"/>
      <c r="U167" s="260">
        <f t="shared" si="26"/>
        <v>0.95</v>
      </c>
      <c r="V167" s="260">
        <f t="shared" si="26"/>
        <v>0.95</v>
      </c>
      <c r="W167" s="260">
        <f t="shared" si="26"/>
        <v>0.95</v>
      </c>
      <c r="X167" s="260">
        <f t="shared" si="26"/>
        <v>0.95</v>
      </c>
      <c r="Y167" s="260">
        <f t="shared" si="26"/>
        <v>0.95</v>
      </c>
      <c r="Z167" s="260">
        <f t="shared" si="26"/>
        <v>0.95</v>
      </c>
      <c r="AA167" s="260">
        <f t="shared" si="26"/>
        <v>0.95</v>
      </c>
      <c r="AB167" s="260">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711</v>
      </c>
      <c r="G168" s="73"/>
      <c r="H168" s="76" t="s">
        <v>712</v>
      </c>
      <c r="I168" s="96" t="s">
        <v>642</v>
      </c>
      <c r="J168" s="96"/>
      <c r="K168" s="97">
        <v>0.84</v>
      </c>
      <c r="L168" s="97">
        <v>0.84</v>
      </c>
      <c r="M168" s="97">
        <v>0.84</v>
      </c>
      <c r="N168" s="97">
        <v>0.84</v>
      </c>
      <c r="O168" s="97">
        <v>0.84</v>
      </c>
      <c r="P168" s="97">
        <v>0.84</v>
      </c>
      <c r="Q168" s="76"/>
      <c r="R168" s="76" t="s">
        <v>696</v>
      </c>
      <c r="S168" s="76" t="s">
        <v>696</v>
      </c>
      <c r="T168" s="76"/>
      <c r="U168" s="260">
        <f t="shared" si="26"/>
        <v>0.84</v>
      </c>
      <c r="V168" s="260">
        <f t="shared" si="26"/>
        <v>0.84</v>
      </c>
      <c r="W168" s="260">
        <f t="shared" si="26"/>
        <v>0.84</v>
      </c>
      <c r="X168" s="260">
        <f t="shared" si="26"/>
        <v>0.84</v>
      </c>
      <c r="Y168" s="260">
        <f t="shared" si="26"/>
        <v>0.84</v>
      </c>
      <c r="Z168" s="260">
        <f t="shared" si="26"/>
        <v>0.84</v>
      </c>
      <c r="AA168" s="260">
        <f t="shared" si="26"/>
        <v>0.84</v>
      </c>
      <c r="AB168" s="260">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713</v>
      </c>
      <c r="G169" s="73"/>
      <c r="H169" s="76" t="s">
        <v>714</v>
      </c>
      <c r="I169" s="96" t="s">
        <v>642</v>
      </c>
      <c r="J169" s="96"/>
      <c r="K169" s="97">
        <v>0.8</v>
      </c>
      <c r="L169" s="97">
        <v>0.8</v>
      </c>
      <c r="M169" s="97">
        <v>0.8</v>
      </c>
      <c r="N169" s="97">
        <v>0.8</v>
      </c>
      <c r="O169" s="97">
        <v>0.8</v>
      </c>
      <c r="P169" s="97">
        <v>0.8</v>
      </c>
      <c r="Q169" s="76"/>
      <c r="R169" s="76" t="s">
        <v>580</v>
      </c>
      <c r="S169" s="76" t="s">
        <v>580</v>
      </c>
      <c r="T169" s="76"/>
      <c r="U169" s="260">
        <f t="shared" si="26"/>
        <v>0.8</v>
      </c>
      <c r="V169" s="260">
        <f t="shared" si="26"/>
        <v>0.8</v>
      </c>
      <c r="W169" s="260">
        <f t="shared" si="26"/>
        <v>0.8</v>
      </c>
      <c r="X169" s="260">
        <f t="shared" si="26"/>
        <v>0.8</v>
      </c>
      <c r="Y169" s="260">
        <f t="shared" si="26"/>
        <v>0.8</v>
      </c>
      <c r="Z169" s="260">
        <f t="shared" si="26"/>
        <v>0.8</v>
      </c>
      <c r="AA169" s="260">
        <f t="shared" si="26"/>
        <v>0.8</v>
      </c>
      <c r="AB169" s="260">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715</v>
      </c>
      <c r="G170" s="73"/>
      <c r="H170" s="76" t="s">
        <v>716</v>
      </c>
      <c r="I170" s="96" t="s">
        <v>570</v>
      </c>
      <c r="J170" s="96"/>
      <c r="K170" s="97">
        <v>0.7</v>
      </c>
      <c r="L170" s="97">
        <v>0.7</v>
      </c>
      <c r="M170" s="97">
        <v>0.7</v>
      </c>
      <c r="N170" s="97">
        <v>0.7</v>
      </c>
      <c r="O170" s="97">
        <v>0.7</v>
      </c>
      <c r="P170" s="97">
        <v>0.7</v>
      </c>
      <c r="Q170" s="76"/>
      <c r="R170" s="76" t="s">
        <v>696</v>
      </c>
      <c r="S170" s="76" t="s">
        <v>696</v>
      </c>
      <c r="T170" s="76"/>
      <c r="U170" s="260">
        <f t="shared" si="26"/>
        <v>0.7</v>
      </c>
      <c r="V170" s="260">
        <f t="shared" si="26"/>
        <v>0.7</v>
      </c>
      <c r="W170" s="260">
        <f t="shared" si="26"/>
        <v>0.7</v>
      </c>
      <c r="X170" s="260">
        <f t="shared" si="26"/>
        <v>0.7</v>
      </c>
      <c r="Y170" s="260">
        <f t="shared" si="26"/>
        <v>0.7</v>
      </c>
      <c r="Z170" s="260">
        <f t="shared" si="26"/>
        <v>0.7</v>
      </c>
      <c r="AA170" s="260">
        <f t="shared" si="26"/>
        <v>0.7</v>
      </c>
      <c r="AB170" s="260">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717</v>
      </c>
      <c r="G171" s="73"/>
      <c r="H171" s="76" t="s">
        <v>718</v>
      </c>
      <c r="I171" s="96" t="s">
        <v>695</v>
      </c>
      <c r="J171" s="96"/>
      <c r="K171" s="97">
        <v>3.5000000000000003E-2</v>
      </c>
      <c r="L171" s="97">
        <v>3.5000000000000003E-2</v>
      </c>
      <c r="M171" s="97">
        <v>3.5000000000000003E-2</v>
      </c>
      <c r="N171" s="97">
        <v>3.5000000000000003E-2</v>
      </c>
      <c r="O171" s="97">
        <v>3.5000000000000003E-2</v>
      </c>
      <c r="P171" s="97">
        <v>3.5000000000000003E-2</v>
      </c>
      <c r="Q171" s="76"/>
      <c r="R171" s="76" t="s">
        <v>580</v>
      </c>
      <c r="S171" s="76" t="s">
        <v>580</v>
      </c>
      <c r="T171" s="76"/>
      <c r="U171" s="260">
        <f t="shared" si="26"/>
        <v>3.5000000000000003E-2</v>
      </c>
      <c r="V171" s="260">
        <f t="shared" si="26"/>
        <v>3.5000000000000003E-2</v>
      </c>
      <c r="W171" s="260">
        <f t="shared" si="26"/>
        <v>3.5000000000000003E-2</v>
      </c>
      <c r="X171" s="260">
        <f t="shared" si="26"/>
        <v>3.5000000000000003E-2</v>
      </c>
      <c r="Y171" s="260">
        <f t="shared" si="26"/>
        <v>3.5000000000000003E-2</v>
      </c>
      <c r="Z171" s="260">
        <f t="shared" si="26"/>
        <v>3.5000000000000003E-2</v>
      </c>
      <c r="AA171" s="260">
        <f t="shared" si="26"/>
        <v>3.5000000000000003E-2</v>
      </c>
      <c r="AB171" s="260">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719</v>
      </c>
      <c r="G172" s="73"/>
      <c r="H172" s="76" t="s">
        <v>718</v>
      </c>
      <c r="I172" s="96" t="s">
        <v>695</v>
      </c>
      <c r="J172" s="96"/>
      <c r="K172" s="97">
        <v>0.33</v>
      </c>
      <c r="L172" s="97">
        <v>0.33</v>
      </c>
      <c r="M172" s="97">
        <v>0.33</v>
      </c>
      <c r="N172" s="97">
        <v>0.33</v>
      </c>
      <c r="O172" s="97">
        <v>0.33</v>
      </c>
      <c r="P172" s="97">
        <v>0.33</v>
      </c>
      <c r="Q172" s="76"/>
      <c r="R172" s="76" t="s">
        <v>580</v>
      </c>
      <c r="S172" s="76" t="s">
        <v>580</v>
      </c>
      <c r="T172" s="76"/>
      <c r="U172" s="260">
        <f t="shared" si="26"/>
        <v>0.33</v>
      </c>
      <c r="V172" s="260">
        <f t="shared" si="26"/>
        <v>0.33</v>
      </c>
      <c r="W172" s="260">
        <f t="shared" si="26"/>
        <v>0.33</v>
      </c>
      <c r="X172" s="260">
        <f t="shared" si="26"/>
        <v>0.33</v>
      </c>
      <c r="Y172" s="260">
        <f t="shared" si="26"/>
        <v>0.33</v>
      </c>
      <c r="Z172" s="260">
        <f t="shared" si="26"/>
        <v>0.33</v>
      </c>
      <c r="AA172" s="260">
        <f t="shared" si="26"/>
        <v>0.33</v>
      </c>
      <c r="AB172" s="260">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720</v>
      </c>
      <c r="G173" s="73"/>
      <c r="H173" s="76" t="s">
        <v>721</v>
      </c>
      <c r="I173" s="96" t="s">
        <v>695</v>
      </c>
      <c r="J173" s="96"/>
      <c r="K173" s="97">
        <v>0.12</v>
      </c>
      <c r="L173" s="97">
        <v>0.12</v>
      </c>
      <c r="M173" s="97">
        <v>0.12</v>
      </c>
      <c r="N173" s="97">
        <v>0.12</v>
      </c>
      <c r="O173" s="97">
        <v>0.12</v>
      </c>
      <c r="P173" s="97">
        <v>0.12</v>
      </c>
      <c r="Q173" s="76"/>
      <c r="R173" s="76" t="s">
        <v>580</v>
      </c>
      <c r="S173" s="76" t="s">
        <v>580</v>
      </c>
      <c r="T173" s="76"/>
      <c r="U173" s="260">
        <f t="shared" si="26"/>
        <v>0.12</v>
      </c>
      <c r="V173" s="260">
        <f t="shared" si="26"/>
        <v>0.12</v>
      </c>
      <c r="W173" s="260">
        <f t="shared" si="26"/>
        <v>0.12</v>
      </c>
      <c r="X173" s="260">
        <f t="shared" si="26"/>
        <v>0.12</v>
      </c>
      <c r="Y173" s="260">
        <f t="shared" si="26"/>
        <v>0.12</v>
      </c>
      <c r="Z173" s="260">
        <f t="shared" si="26"/>
        <v>0.12</v>
      </c>
      <c r="AA173" s="260">
        <f t="shared" si="26"/>
        <v>0.12</v>
      </c>
      <c r="AB173" s="260">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722</v>
      </c>
      <c r="G174" s="73"/>
      <c r="H174" s="76" t="s">
        <v>723</v>
      </c>
      <c r="I174" s="96" t="s">
        <v>695</v>
      </c>
      <c r="J174" s="96"/>
      <c r="K174" s="97">
        <v>4.2999999999999997E-2</v>
      </c>
      <c r="L174" s="97">
        <v>4.2999999999999997E-2</v>
      </c>
      <c r="M174" s="97">
        <v>4.2999999999999997E-2</v>
      </c>
      <c r="N174" s="97">
        <v>4.2999999999999997E-2</v>
      </c>
      <c r="O174" s="97">
        <v>4.2999999999999997E-2</v>
      </c>
      <c r="P174" s="97">
        <v>4.2999999999999997E-2</v>
      </c>
      <c r="Q174" s="76"/>
      <c r="R174" s="76" t="s">
        <v>696</v>
      </c>
      <c r="S174" s="76" t="s">
        <v>580</v>
      </c>
      <c r="T174" s="76"/>
      <c r="U174" s="260">
        <f t="shared" si="26"/>
        <v>4.2999999999999997E-2</v>
      </c>
      <c r="V174" s="260">
        <f t="shared" si="26"/>
        <v>4.2999999999999997E-2</v>
      </c>
      <c r="W174" s="260">
        <f t="shared" si="26"/>
        <v>4.2999999999999997E-2</v>
      </c>
      <c r="X174" s="260">
        <f t="shared" si="26"/>
        <v>4.2999999999999997E-2</v>
      </c>
      <c r="Y174" s="260">
        <f t="shared" si="26"/>
        <v>4.2999999999999997E-2</v>
      </c>
      <c r="Z174" s="260">
        <f t="shared" si="26"/>
        <v>4.2999999999999997E-2</v>
      </c>
      <c r="AA174" s="260">
        <f t="shared" si="26"/>
        <v>4.2999999999999997E-2</v>
      </c>
      <c r="AB174" s="260">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724</v>
      </c>
      <c r="G175" s="73"/>
      <c r="H175" s="76" t="s">
        <v>725</v>
      </c>
      <c r="I175" s="96" t="s">
        <v>695</v>
      </c>
      <c r="J175" s="96"/>
      <c r="K175" s="97">
        <v>0.18</v>
      </c>
      <c r="L175" s="97">
        <v>0.18</v>
      </c>
      <c r="M175" s="76"/>
      <c r="N175" s="76"/>
      <c r="O175" s="76"/>
      <c r="P175" s="76"/>
      <c r="Q175" s="76"/>
      <c r="R175" s="76" t="s">
        <v>580</v>
      </c>
      <c r="S175" s="76"/>
      <c r="T175" s="76"/>
      <c r="U175" s="260">
        <f t="shared" si="26"/>
        <v>0.18</v>
      </c>
      <c r="V175" s="260">
        <f t="shared" si="26"/>
        <v>0.18</v>
      </c>
      <c r="W175" s="260">
        <f t="shared" si="26"/>
        <v>0.18</v>
      </c>
      <c r="X175" s="260">
        <f t="shared" si="26"/>
        <v>0.18</v>
      </c>
      <c r="Y175" s="260">
        <f t="shared" si="26"/>
        <v>0.18</v>
      </c>
      <c r="Z175" s="260">
        <f t="shared" si="26"/>
        <v>0.18</v>
      </c>
      <c r="AA175" s="260">
        <f t="shared" si="26"/>
        <v>0.18</v>
      </c>
      <c r="AB175" s="260">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3" t="s">
        <v>726</v>
      </c>
      <c r="G176" s="73"/>
      <c r="H176" s="253" t="s">
        <v>727</v>
      </c>
      <c r="I176" s="96"/>
      <c r="J176" s="96" t="s">
        <v>587</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728</v>
      </c>
      <c r="F177" s="70" t="s">
        <v>729</v>
      </c>
      <c r="G177" s="73"/>
      <c r="H177" s="76" t="s">
        <v>730</v>
      </c>
      <c r="I177" s="96" t="s">
        <v>731</v>
      </c>
      <c r="J177" s="96"/>
      <c r="K177" s="97">
        <v>25</v>
      </c>
      <c r="L177" s="97">
        <v>25</v>
      </c>
      <c r="M177" s="97">
        <v>25</v>
      </c>
      <c r="N177" s="97">
        <v>25</v>
      </c>
      <c r="O177" s="97">
        <v>25</v>
      </c>
      <c r="P177" s="97">
        <v>25</v>
      </c>
      <c r="Q177" s="76"/>
      <c r="R177" s="76" t="s">
        <v>732</v>
      </c>
      <c r="S177" s="76"/>
      <c r="T177" s="76"/>
      <c r="U177" s="260">
        <f t="shared" ref="U177:AB191" si="28">INDEX($K177:$Q177,1,U$43)</f>
        <v>25</v>
      </c>
      <c r="V177" s="260">
        <f t="shared" si="28"/>
        <v>25</v>
      </c>
      <c r="W177" s="260">
        <f t="shared" si="28"/>
        <v>25</v>
      </c>
      <c r="X177" s="260">
        <f t="shared" si="28"/>
        <v>25</v>
      </c>
      <c r="Y177" s="260">
        <f t="shared" si="28"/>
        <v>25</v>
      </c>
      <c r="Z177" s="260">
        <f t="shared" si="28"/>
        <v>25</v>
      </c>
      <c r="AA177" s="260">
        <f t="shared" si="28"/>
        <v>25</v>
      </c>
      <c r="AB177" s="260">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733</v>
      </c>
      <c r="G178" s="73"/>
      <c r="H178" s="76" t="s">
        <v>734</v>
      </c>
      <c r="I178" s="96" t="s">
        <v>570</v>
      </c>
      <c r="J178" s="96"/>
      <c r="K178" s="97">
        <v>0.09</v>
      </c>
      <c r="L178" s="97">
        <v>0.09</v>
      </c>
      <c r="M178" s="97">
        <v>0.09</v>
      </c>
      <c r="N178" s="97">
        <v>0.09</v>
      </c>
      <c r="O178" s="97">
        <v>0.09</v>
      </c>
      <c r="P178" s="97">
        <v>0.09</v>
      </c>
      <c r="Q178" s="76"/>
      <c r="R178" s="76" t="s">
        <v>580</v>
      </c>
      <c r="S178" s="76" t="s">
        <v>580</v>
      </c>
      <c r="T178" s="76"/>
      <c r="U178" s="260">
        <f t="shared" si="28"/>
        <v>0.09</v>
      </c>
      <c r="V178" s="260">
        <f t="shared" si="28"/>
        <v>0.09</v>
      </c>
      <c r="W178" s="260">
        <f t="shared" si="28"/>
        <v>0.09</v>
      </c>
      <c r="X178" s="260">
        <f t="shared" si="28"/>
        <v>0.09</v>
      </c>
      <c r="Y178" s="260">
        <f t="shared" si="28"/>
        <v>0.09</v>
      </c>
      <c r="Z178" s="260">
        <f t="shared" si="28"/>
        <v>0.09</v>
      </c>
      <c r="AA178" s="260">
        <f t="shared" si="28"/>
        <v>0.09</v>
      </c>
      <c r="AB178" s="260">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735</v>
      </c>
      <c r="G179" s="73"/>
      <c r="H179" s="76" t="s">
        <v>736</v>
      </c>
      <c r="I179" s="96" t="s">
        <v>737</v>
      </c>
      <c r="J179" s="96"/>
      <c r="K179" s="97">
        <v>0.26</v>
      </c>
      <c r="L179" s="97">
        <v>0.26</v>
      </c>
      <c r="M179" s="97">
        <v>0.36</v>
      </c>
      <c r="N179" s="97">
        <v>0.31</v>
      </c>
      <c r="O179" s="97">
        <v>0.36</v>
      </c>
      <c r="P179" s="97">
        <v>0.36</v>
      </c>
      <c r="Q179" s="76"/>
      <c r="R179" s="76" t="s">
        <v>580</v>
      </c>
      <c r="S179" s="76" t="s">
        <v>580</v>
      </c>
      <c r="T179" s="76"/>
      <c r="U179" s="260">
        <f t="shared" si="28"/>
        <v>0.26</v>
      </c>
      <c r="V179" s="260">
        <f t="shared" si="28"/>
        <v>0.26</v>
      </c>
      <c r="W179" s="260">
        <f t="shared" si="28"/>
        <v>0.26</v>
      </c>
      <c r="X179" s="260">
        <f t="shared" si="28"/>
        <v>0.26</v>
      </c>
      <c r="Y179" s="260">
        <f t="shared" si="28"/>
        <v>0.26</v>
      </c>
      <c r="Z179" s="260">
        <f t="shared" si="28"/>
        <v>0.26</v>
      </c>
      <c r="AA179" s="260">
        <f t="shared" si="28"/>
        <v>0.26</v>
      </c>
      <c r="AB179" s="260">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738</v>
      </c>
      <c r="G180" s="73"/>
      <c r="H180" s="76" t="s">
        <v>739</v>
      </c>
      <c r="I180" s="96" t="s">
        <v>597</v>
      </c>
      <c r="J180" s="96"/>
      <c r="K180" s="97">
        <v>8.0000000000000007E-5</v>
      </c>
      <c r="L180" s="97">
        <v>8.0000000000000007E-5</v>
      </c>
      <c r="M180" s="97">
        <v>8.0000000000000007E-5</v>
      </c>
      <c r="N180" s="97">
        <v>8.0000000000000007E-5</v>
      </c>
      <c r="O180" s="97">
        <v>8.0000000000000007E-5</v>
      </c>
      <c r="P180" s="97">
        <v>8.0000000000000007E-5</v>
      </c>
      <c r="Q180" s="76"/>
      <c r="R180" s="76" t="s">
        <v>580</v>
      </c>
      <c r="S180" s="76" t="s">
        <v>580</v>
      </c>
      <c r="T180" s="76"/>
      <c r="U180" s="260">
        <f t="shared" si="28"/>
        <v>8.0000000000000007E-5</v>
      </c>
      <c r="V180" s="260">
        <f t="shared" si="28"/>
        <v>8.0000000000000007E-5</v>
      </c>
      <c r="W180" s="260">
        <f t="shared" si="28"/>
        <v>8.0000000000000007E-5</v>
      </c>
      <c r="X180" s="260">
        <f t="shared" si="28"/>
        <v>8.0000000000000007E-5</v>
      </c>
      <c r="Y180" s="260">
        <f t="shared" si="28"/>
        <v>8.0000000000000007E-5</v>
      </c>
      <c r="Z180" s="260">
        <f t="shared" si="28"/>
        <v>8.0000000000000007E-5</v>
      </c>
      <c r="AA180" s="260">
        <f t="shared" si="28"/>
        <v>8.0000000000000007E-5</v>
      </c>
      <c r="AB180" s="260">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740</v>
      </c>
      <c r="G181" s="73"/>
      <c r="H181" s="76" t="s">
        <v>741</v>
      </c>
      <c r="I181" s="96" t="s">
        <v>570</v>
      </c>
      <c r="J181" s="96"/>
      <c r="K181" s="97">
        <v>0.84</v>
      </c>
      <c r="L181" s="97">
        <v>0.84</v>
      </c>
      <c r="M181" s="97">
        <v>0.84</v>
      </c>
      <c r="N181" s="97">
        <v>0.84</v>
      </c>
      <c r="O181" s="97">
        <v>0.84</v>
      </c>
      <c r="P181" s="97">
        <v>0.84</v>
      </c>
      <c r="Q181" s="76"/>
      <c r="R181" s="76" t="s">
        <v>580</v>
      </c>
      <c r="S181" s="76" t="s">
        <v>580</v>
      </c>
      <c r="T181" s="76"/>
      <c r="U181" s="260">
        <f t="shared" si="28"/>
        <v>0.84</v>
      </c>
      <c r="V181" s="260">
        <f t="shared" si="28"/>
        <v>0.84</v>
      </c>
      <c r="W181" s="260">
        <f t="shared" si="28"/>
        <v>0.84</v>
      </c>
      <c r="X181" s="260">
        <f t="shared" si="28"/>
        <v>0.84</v>
      </c>
      <c r="Y181" s="260">
        <f t="shared" si="28"/>
        <v>0.84</v>
      </c>
      <c r="Z181" s="260">
        <f t="shared" si="28"/>
        <v>0.84</v>
      </c>
      <c r="AA181" s="260">
        <f t="shared" si="28"/>
        <v>0.84</v>
      </c>
      <c r="AB181" s="260">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742</v>
      </c>
      <c r="G182" s="73"/>
      <c r="H182" s="76" t="s">
        <v>743</v>
      </c>
      <c r="I182" s="96" t="s">
        <v>570</v>
      </c>
      <c r="J182" s="96"/>
      <c r="K182" s="97">
        <v>0.23</v>
      </c>
      <c r="L182" s="97">
        <v>0.23</v>
      </c>
      <c r="M182" s="97">
        <v>0.23</v>
      </c>
      <c r="N182" s="97">
        <v>0.23</v>
      </c>
      <c r="O182" s="97">
        <v>0.23</v>
      </c>
      <c r="P182" s="97">
        <v>0.23</v>
      </c>
      <c r="Q182" s="76"/>
      <c r="R182" s="76" t="s">
        <v>744</v>
      </c>
      <c r="S182" s="76" t="s">
        <v>580</v>
      </c>
      <c r="T182" s="76"/>
      <c r="U182" s="260">
        <f t="shared" si="28"/>
        <v>0.23</v>
      </c>
      <c r="V182" s="260">
        <f t="shared" si="28"/>
        <v>0.23</v>
      </c>
      <c r="W182" s="260">
        <f t="shared" si="28"/>
        <v>0.23</v>
      </c>
      <c r="X182" s="260">
        <f t="shared" si="28"/>
        <v>0.23</v>
      </c>
      <c r="Y182" s="260">
        <f t="shared" si="28"/>
        <v>0.23</v>
      </c>
      <c r="Z182" s="260">
        <f t="shared" si="28"/>
        <v>0.23</v>
      </c>
      <c r="AA182" s="260">
        <f t="shared" si="28"/>
        <v>0.23</v>
      </c>
      <c r="AB182" s="260">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745</v>
      </c>
      <c r="G183" s="73"/>
      <c r="H183" s="76" t="s">
        <v>746</v>
      </c>
      <c r="I183" s="96" t="s">
        <v>747</v>
      </c>
      <c r="J183" s="96"/>
      <c r="K183" s="97">
        <v>0.02</v>
      </c>
      <c r="L183" s="97">
        <v>0.02</v>
      </c>
      <c r="M183" s="97">
        <v>2.5000000000000001E-3</v>
      </c>
      <c r="N183" s="97">
        <v>2.5000000000000001E-3</v>
      </c>
      <c r="O183" s="97">
        <v>2.5000000000000001E-3</v>
      </c>
      <c r="P183" s="97">
        <v>2.5000000000000001E-3</v>
      </c>
      <c r="Q183" s="76"/>
      <c r="R183" s="76" t="s">
        <v>744</v>
      </c>
      <c r="S183" s="76" t="s">
        <v>748</v>
      </c>
      <c r="T183" s="76"/>
      <c r="U183" s="260">
        <f t="shared" si="28"/>
        <v>0.02</v>
      </c>
      <c r="V183" s="260">
        <f t="shared" si="28"/>
        <v>0.02</v>
      </c>
      <c r="W183" s="260">
        <f t="shared" si="28"/>
        <v>0.02</v>
      </c>
      <c r="X183" s="260">
        <f t="shared" si="28"/>
        <v>0.02</v>
      </c>
      <c r="Y183" s="260">
        <f t="shared" si="28"/>
        <v>0.02</v>
      </c>
      <c r="Z183" s="260">
        <f t="shared" si="28"/>
        <v>0.02</v>
      </c>
      <c r="AA183" s="260">
        <f t="shared" si="28"/>
        <v>0.02</v>
      </c>
      <c r="AB183" s="260">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749</v>
      </c>
      <c r="G184" s="73"/>
      <c r="H184" s="76" t="s">
        <v>750</v>
      </c>
      <c r="I184" s="96" t="s">
        <v>642</v>
      </c>
      <c r="J184" s="96"/>
      <c r="K184" s="97">
        <v>0.9</v>
      </c>
      <c r="L184" s="97">
        <v>0.9</v>
      </c>
      <c r="M184" s="97">
        <v>0.9</v>
      </c>
      <c r="N184" s="97">
        <v>0.9</v>
      </c>
      <c r="O184" s="97">
        <v>0.9</v>
      </c>
      <c r="P184" s="97">
        <v>0.9</v>
      </c>
      <c r="Q184" s="76"/>
      <c r="R184" s="76" t="s">
        <v>580</v>
      </c>
      <c r="S184" s="76" t="s">
        <v>748</v>
      </c>
      <c r="T184" s="76"/>
      <c r="U184" s="260">
        <f t="shared" si="28"/>
        <v>0.9</v>
      </c>
      <c r="V184" s="260">
        <f t="shared" si="28"/>
        <v>0.9</v>
      </c>
      <c r="W184" s="260">
        <f t="shared" si="28"/>
        <v>0.9</v>
      </c>
      <c r="X184" s="260">
        <f t="shared" si="28"/>
        <v>0.9</v>
      </c>
      <c r="Y184" s="260">
        <f t="shared" si="28"/>
        <v>0.9</v>
      </c>
      <c r="Z184" s="260">
        <f t="shared" si="28"/>
        <v>0.9</v>
      </c>
      <c r="AA184" s="260">
        <f t="shared" si="28"/>
        <v>0.9</v>
      </c>
      <c r="AB184" s="260">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751</v>
      </c>
      <c r="G185" s="73"/>
      <c r="H185" s="76" t="s">
        <v>752</v>
      </c>
      <c r="I185" s="96" t="s">
        <v>2341</v>
      </c>
      <c r="J185" s="96"/>
      <c r="K185" s="97">
        <v>5.7000000000000003E-5</v>
      </c>
      <c r="L185" s="97">
        <v>5.7000000000000003E-5</v>
      </c>
      <c r="M185" s="97">
        <v>5.7000000000000003E-5</v>
      </c>
      <c r="N185" s="97">
        <v>5.7000000000000003E-5</v>
      </c>
      <c r="O185" s="97">
        <v>5.7000000000000003E-5</v>
      </c>
      <c r="P185" s="97">
        <v>5.7000000000000003E-5</v>
      </c>
      <c r="Q185" s="76"/>
      <c r="R185" s="76" t="s">
        <v>744</v>
      </c>
      <c r="S185" s="76" t="s">
        <v>748</v>
      </c>
      <c r="T185" s="76"/>
      <c r="U185" s="260">
        <f t="shared" si="28"/>
        <v>5.7000000000000003E-5</v>
      </c>
      <c r="V185" s="260">
        <f t="shared" si="28"/>
        <v>5.7000000000000003E-5</v>
      </c>
      <c r="W185" s="260">
        <f t="shared" si="28"/>
        <v>5.7000000000000003E-5</v>
      </c>
      <c r="X185" s="260">
        <f t="shared" si="28"/>
        <v>5.7000000000000003E-5</v>
      </c>
      <c r="Y185" s="260">
        <f t="shared" si="28"/>
        <v>5.7000000000000003E-5</v>
      </c>
      <c r="Z185" s="260">
        <f t="shared" si="28"/>
        <v>5.7000000000000003E-5</v>
      </c>
      <c r="AA185" s="260">
        <f t="shared" si="28"/>
        <v>5.7000000000000003E-5</v>
      </c>
      <c r="AB185" s="260">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753</v>
      </c>
      <c r="G186" s="73"/>
      <c r="H186" s="76" t="s">
        <v>754</v>
      </c>
      <c r="I186" s="96" t="s">
        <v>695</v>
      </c>
      <c r="J186" s="96"/>
      <c r="K186" s="97">
        <v>0.16</v>
      </c>
      <c r="L186" s="97">
        <v>0.16</v>
      </c>
      <c r="M186" s="97">
        <v>0.16</v>
      </c>
      <c r="N186" s="97">
        <v>0.16</v>
      </c>
      <c r="O186" s="97">
        <v>0.16</v>
      </c>
      <c r="P186" s="97">
        <v>0.16</v>
      </c>
      <c r="Q186" s="76"/>
      <c r="R186" s="76" t="s">
        <v>744</v>
      </c>
      <c r="S186" s="76" t="s">
        <v>748</v>
      </c>
      <c r="T186" s="76"/>
      <c r="U186" s="260">
        <f t="shared" si="28"/>
        <v>0.16</v>
      </c>
      <c r="V186" s="260">
        <f t="shared" si="28"/>
        <v>0.16</v>
      </c>
      <c r="W186" s="260">
        <f t="shared" si="28"/>
        <v>0.16</v>
      </c>
      <c r="X186" s="260">
        <f t="shared" si="28"/>
        <v>0.16</v>
      </c>
      <c r="Y186" s="260">
        <f t="shared" si="28"/>
        <v>0.16</v>
      </c>
      <c r="Z186" s="260">
        <f t="shared" si="28"/>
        <v>0.16</v>
      </c>
      <c r="AA186" s="260">
        <f t="shared" si="28"/>
        <v>0.16</v>
      </c>
      <c r="AB186" s="260">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755</v>
      </c>
      <c r="G187" s="73"/>
      <c r="H187" s="76" t="s">
        <v>756</v>
      </c>
      <c r="I187" s="96" t="s">
        <v>592</v>
      </c>
      <c r="J187" s="96"/>
      <c r="K187" s="97">
        <v>1.52E-2</v>
      </c>
      <c r="L187" s="97">
        <v>1.52E-2</v>
      </c>
      <c r="M187" s="97">
        <v>1.52E-2</v>
      </c>
      <c r="N187" s="97">
        <v>1.52E-2</v>
      </c>
      <c r="O187" s="97">
        <v>1.52E-2</v>
      </c>
      <c r="P187" s="97">
        <v>1.52E-2</v>
      </c>
      <c r="Q187" s="76"/>
      <c r="R187" s="76" t="s">
        <v>580</v>
      </c>
      <c r="S187" s="76" t="s">
        <v>580</v>
      </c>
      <c r="T187" s="76"/>
      <c r="U187" s="260">
        <f t="shared" si="28"/>
        <v>1.52E-2</v>
      </c>
      <c r="V187" s="260">
        <f t="shared" si="28"/>
        <v>1.52E-2</v>
      </c>
      <c r="W187" s="260">
        <f t="shared" si="28"/>
        <v>1.52E-2</v>
      </c>
      <c r="X187" s="260">
        <f t="shared" si="28"/>
        <v>1.52E-2</v>
      </c>
      <c r="Y187" s="260">
        <f t="shared" si="28"/>
        <v>1.52E-2</v>
      </c>
      <c r="Z187" s="260">
        <f t="shared" si="28"/>
        <v>1.52E-2</v>
      </c>
      <c r="AA187" s="260">
        <f t="shared" si="28"/>
        <v>1.52E-2</v>
      </c>
      <c r="AB187" s="260">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757</v>
      </c>
      <c r="G188" s="73"/>
      <c r="H188" s="76" t="s">
        <v>758</v>
      </c>
      <c r="I188" s="96" t="s">
        <v>695</v>
      </c>
      <c r="J188" s="96"/>
      <c r="K188" s="265">
        <v>4.6000000000000001E-4</v>
      </c>
      <c r="L188" s="265">
        <v>4.6000000000000001E-4</v>
      </c>
      <c r="M188" s="97">
        <v>5.2599999999999999E-4</v>
      </c>
      <c r="N188" s="97">
        <v>5.2599999999999999E-4</v>
      </c>
      <c r="O188" s="97">
        <v>5.2599999999999999E-4</v>
      </c>
      <c r="P188" s="97">
        <v>5.2599999999999999E-4</v>
      </c>
      <c r="Q188" s="76"/>
      <c r="R188" s="76" t="s">
        <v>759</v>
      </c>
      <c r="S188" s="76" t="s">
        <v>759</v>
      </c>
      <c r="T188" s="76"/>
      <c r="U188" s="260">
        <f t="shared" si="28"/>
        <v>4.6000000000000001E-4</v>
      </c>
      <c r="V188" s="260">
        <f t="shared" si="28"/>
        <v>4.6000000000000001E-4</v>
      </c>
      <c r="W188" s="260">
        <f t="shared" si="28"/>
        <v>4.6000000000000001E-4</v>
      </c>
      <c r="X188" s="260">
        <f t="shared" si="28"/>
        <v>4.6000000000000001E-4</v>
      </c>
      <c r="Y188" s="260">
        <f t="shared" si="28"/>
        <v>4.6000000000000001E-4</v>
      </c>
      <c r="Z188" s="260">
        <f t="shared" si="28"/>
        <v>4.6000000000000001E-4</v>
      </c>
      <c r="AA188" s="260">
        <f t="shared" si="28"/>
        <v>4.6000000000000001E-4</v>
      </c>
      <c r="AB188" s="260">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760</v>
      </c>
      <c r="G189" s="73"/>
      <c r="H189" s="76" t="s">
        <v>761</v>
      </c>
      <c r="I189" s="96" t="s">
        <v>570</v>
      </c>
      <c r="J189" s="96"/>
      <c r="K189" s="265">
        <v>1.47E-4</v>
      </c>
      <c r="L189" s="265">
        <v>1.47E-4</v>
      </c>
      <c r="M189" s="97">
        <v>1.61E-2</v>
      </c>
      <c r="N189" s="97">
        <v>1.29E-2</v>
      </c>
      <c r="O189" s="97">
        <v>1.61E-2</v>
      </c>
      <c r="P189" s="97">
        <v>1.61E-2</v>
      </c>
      <c r="Q189" s="76"/>
      <c r="R189" s="76" t="s">
        <v>759</v>
      </c>
      <c r="S189" s="76" t="s">
        <v>759</v>
      </c>
      <c r="T189" s="76"/>
      <c r="U189" s="260">
        <f t="shared" si="28"/>
        <v>1.47E-4</v>
      </c>
      <c r="V189" s="260">
        <f t="shared" si="28"/>
        <v>1.47E-4</v>
      </c>
      <c r="W189" s="260">
        <f t="shared" si="28"/>
        <v>1.47E-4</v>
      </c>
      <c r="X189" s="260">
        <f t="shared" si="28"/>
        <v>1.47E-4</v>
      </c>
      <c r="Y189" s="260">
        <f t="shared" si="28"/>
        <v>1.47E-4</v>
      </c>
      <c r="Z189" s="260">
        <f t="shared" si="28"/>
        <v>1.47E-4</v>
      </c>
      <c r="AA189" s="260">
        <f t="shared" si="28"/>
        <v>1.47E-4</v>
      </c>
      <c r="AB189" s="260">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762</v>
      </c>
      <c r="G190" s="73"/>
      <c r="H190" s="76" t="s">
        <v>763</v>
      </c>
      <c r="I190" s="96" t="s">
        <v>764</v>
      </c>
      <c r="J190" s="96"/>
      <c r="K190" s="97">
        <v>3.375E-3</v>
      </c>
      <c r="L190" s="97">
        <v>3.375E-3</v>
      </c>
      <c r="M190" s="97">
        <v>4.2200000000000001E-2</v>
      </c>
      <c r="N190" s="97">
        <v>3.3799999999999997E-2</v>
      </c>
      <c r="O190" s="97">
        <v>4.2200000000000001E-2</v>
      </c>
      <c r="P190" s="97">
        <v>4.2200000000000001E-2</v>
      </c>
      <c r="Q190" s="76"/>
      <c r="R190" s="76" t="s">
        <v>759</v>
      </c>
      <c r="S190" s="76" t="s">
        <v>759</v>
      </c>
      <c r="T190" s="76"/>
      <c r="U190" s="260">
        <f t="shared" si="28"/>
        <v>3.375E-3</v>
      </c>
      <c r="V190" s="260">
        <f t="shared" si="28"/>
        <v>3.375E-3</v>
      </c>
      <c r="W190" s="260">
        <f t="shared" si="28"/>
        <v>3.375E-3</v>
      </c>
      <c r="X190" s="260">
        <f t="shared" si="28"/>
        <v>3.375E-3</v>
      </c>
      <c r="Y190" s="260">
        <f t="shared" si="28"/>
        <v>3.375E-3</v>
      </c>
      <c r="Z190" s="260">
        <f t="shared" si="28"/>
        <v>3.375E-3</v>
      </c>
      <c r="AA190" s="260">
        <f t="shared" si="28"/>
        <v>3.375E-3</v>
      </c>
      <c r="AB190" s="260">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765</v>
      </c>
      <c r="G191" s="73"/>
      <c r="H191" s="76" t="s">
        <v>766</v>
      </c>
      <c r="I191" s="96" t="s">
        <v>767</v>
      </c>
      <c r="J191" s="96"/>
      <c r="K191" s="76"/>
      <c r="L191" s="76"/>
      <c r="M191" s="97">
        <v>1.1E-4</v>
      </c>
      <c r="N191" s="97">
        <v>1.1E-4</v>
      </c>
      <c r="O191" s="97">
        <v>1.1E-4</v>
      </c>
      <c r="P191" s="97">
        <v>1.1E-4</v>
      </c>
      <c r="Q191" s="76"/>
      <c r="R191" s="76"/>
      <c r="S191" s="76" t="s">
        <v>580</v>
      </c>
      <c r="T191" s="76"/>
      <c r="U191" s="260">
        <f t="shared" si="28"/>
        <v>0</v>
      </c>
      <c r="V191" s="260">
        <f t="shared" si="28"/>
        <v>0</v>
      </c>
      <c r="W191" s="260">
        <f t="shared" si="28"/>
        <v>0</v>
      </c>
      <c r="X191" s="260">
        <f t="shared" si="28"/>
        <v>0</v>
      </c>
      <c r="Y191" s="260">
        <f t="shared" si="28"/>
        <v>0</v>
      </c>
      <c r="Z191" s="260">
        <f t="shared" si="28"/>
        <v>0</v>
      </c>
      <c r="AA191" s="260">
        <f t="shared" si="28"/>
        <v>0</v>
      </c>
      <c r="AB191" s="260">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768</v>
      </c>
      <c r="G192" s="73"/>
      <c r="H192" s="76" t="s">
        <v>769</v>
      </c>
      <c r="I192" s="96" t="s">
        <v>570</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770</v>
      </c>
      <c r="G193" s="73"/>
      <c r="H193" s="76" t="s">
        <v>771</v>
      </c>
      <c r="I193" s="96" t="s">
        <v>2340</v>
      </c>
      <c r="J193" s="96"/>
      <c r="K193" s="97">
        <v>2.5999999999999999E-3</v>
      </c>
      <c r="L193" s="97">
        <v>2.5999999999999999E-3</v>
      </c>
      <c r="M193" s="97">
        <v>2.5999999999999999E-3</v>
      </c>
      <c r="N193" s="97">
        <v>2.5999999999999999E-3</v>
      </c>
      <c r="O193" s="97">
        <v>2.5999999999999999E-3</v>
      </c>
      <c r="P193" s="97">
        <v>2.5999999999999999E-3</v>
      </c>
      <c r="Q193" s="76"/>
      <c r="R193" s="76"/>
      <c r="S193" s="76" t="s">
        <v>580</v>
      </c>
      <c r="T193" s="76"/>
      <c r="U193" s="260">
        <f t="shared" ref="U193:AB196" si="29">INDEX($K193:$Q193,1,U$43)</f>
        <v>2.5999999999999999E-3</v>
      </c>
      <c r="V193" s="260">
        <f t="shared" si="29"/>
        <v>2.5999999999999999E-3</v>
      </c>
      <c r="W193" s="260">
        <f t="shared" si="29"/>
        <v>2.5999999999999999E-3</v>
      </c>
      <c r="X193" s="260">
        <f t="shared" si="29"/>
        <v>2.5999999999999999E-3</v>
      </c>
      <c r="Y193" s="260">
        <f t="shared" si="29"/>
        <v>2.5999999999999999E-3</v>
      </c>
      <c r="Z193" s="260">
        <f t="shared" si="29"/>
        <v>2.5999999999999999E-3</v>
      </c>
      <c r="AA193" s="260">
        <f t="shared" si="29"/>
        <v>2.5999999999999999E-3</v>
      </c>
      <c r="AB193" s="260">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772</v>
      </c>
      <c r="G194" s="73"/>
      <c r="H194" s="76" t="s">
        <v>773</v>
      </c>
      <c r="I194" s="96" t="s">
        <v>774</v>
      </c>
      <c r="J194" s="96"/>
      <c r="K194" s="97">
        <v>40</v>
      </c>
      <c r="L194" s="97">
        <v>40</v>
      </c>
      <c r="M194" s="97">
        <v>5</v>
      </c>
      <c r="N194" s="97">
        <v>5</v>
      </c>
      <c r="O194" s="97">
        <v>5</v>
      </c>
      <c r="P194" s="97">
        <v>5</v>
      </c>
      <c r="Q194" s="76"/>
      <c r="R194" s="76" t="s">
        <v>580</v>
      </c>
      <c r="S194" s="76"/>
      <c r="T194" s="76"/>
      <c r="U194" s="260">
        <f t="shared" si="29"/>
        <v>40</v>
      </c>
      <c r="V194" s="260">
        <f t="shared" si="29"/>
        <v>40</v>
      </c>
      <c r="W194" s="260">
        <f t="shared" si="29"/>
        <v>40</v>
      </c>
      <c r="X194" s="260">
        <f t="shared" si="29"/>
        <v>40</v>
      </c>
      <c r="Y194" s="260">
        <f t="shared" si="29"/>
        <v>40</v>
      </c>
      <c r="Z194" s="260">
        <f t="shared" si="29"/>
        <v>40</v>
      </c>
      <c r="AA194" s="260">
        <f t="shared" si="29"/>
        <v>40</v>
      </c>
      <c r="AB194" s="260">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775</v>
      </c>
      <c r="G195" s="73"/>
      <c r="H195" s="76" t="s">
        <v>776</v>
      </c>
      <c r="I195" s="96" t="s">
        <v>777</v>
      </c>
      <c r="J195" s="96"/>
      <c r="K195" s="97">
        <v>100</v>
      </c>
      <c r="L195" s="97">
        <v>100</v>
      </c>
      <c r="M195" s="97">
        <v>100</v>
      </c>
      <c r="N195" s="97">
        <v>100</v>
      </c>
      <c r="O195" s="97">
        <v>100</v>
      </c>
      <c r="P195" s="97">
        <v>100</v>
      </c>
      <c r="Q195" s="76"/>
      <c r="R195" s="76" t="s">
        <v>580</v>
      </c>
      <c r="S195" s="76"/>
      <c r="T195" s="76"/>
      <c r="U195" s="260">
        <f t="shared" si="29"/>
        <v>100</v>
      </c>
      <c r="V195" s="260">
        <f t="shared" si="29"/>
        <v>100</v>
      </c>
      <c r="W195" s="260">
        <f t="shared" si="29"/>
        <v>100</v>
      </c>
      <c r="X195" s="260">
        <f t="shared" si="29"/>
        <v>100</v>
      </c>
      <c r="Y195" s="260">
        <f t="shared" si="29"/>
        <v>100</v>
      </c>
      <c r="Z195" s="260">
        <f t="shared" si="29"/>
        <v>100</v>
      </c>
      <c r="AA195" s="260">
        <f t="shared" si="29"/>
        <v>100</v>
      </c>
      <c r="AB195" s="260">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778</v>
      </c>
      <c r="G196" s="73"/>
      <c r="H196" s="76" t="s">
        <v>779</v>
      </c>
      <c r="I196" s="96" t="s">
        <v>777</v>
      </c>
      <c r="J196" s="96"/>
      <c r="K196" s="97">
        <v>100</v>
      </c>
      <c r="L196" s="97">
        <v>100</v>
      </c>
      <c r="M196" s="97">
        <v>100</v>
      </c>
      <c r="N196" s="97">
        <v>100</v>
      </c>
      <c r="O196" s="97">
        <v>100</v>
      </c>
      <c r="P196" s="97">
        <v>100</v>
      </c>
      <c r="Q196" s="76"/>
      <c r="R196" s="76" t="s">
        <v>580</v>
      </c>
      <c r="S196" s="76"/>
      <c r="T196" s="76"/>
      <c r="U196" s="260">
        <f t="shared" si="29"/>
        <v>100</v>
      </c>
      <c r="V196" s="260">
        <f t="shared" si="29"/>
        <v>100</v>
      </c>
      <c r="W196" s="260">
        <f t="shared" si="29"/>
        <v>100</v>
      </c>
      <c r="X196" s="260">
        <f t="shared" si="29"/>
        <v>100</v>
      </c>
      <c r="Y196" s="260">
        <f t="shared" si="29"/>
        <v>100</v>
      </c>
      <c r="Z196" s="260">
        <f t="shared" si="29"/>
        <v>100</v>
      </c>
      <c r="AA196" s="260">
        <f t="shared" si="29"/>
        <v>100</v>
      </c>
      <c r="AB196" s="260">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3" t="s">
        <v>780</v>
      </c>
      <c r="G197" s="73"/>
      <c r="H197" s="253" t="s">
        <v>781</v>
      </c>
      <c r="I197" s="96"/>
      <c r="J197" s="96" t="s">
        <v>587</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782</v>
      </c>
      <c r="F198" s="70" t="s">
        <v>783</v>
      </c>
      <c r="G198" s="73"/>
      <c r="H198" s="76" t="s">
        <v>563</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784</v>
      </c>
      <c r="G199" s="73"/>
      <c r="H199" s="76" t="s">
        <v>785</v>
      </c>
      <c r="I199" s="96" t="s">
        <v>570</v>
      </c>
      <c r="J199" s="96"/>
      <c r="K199" s="97">
        <v>0.3</v>
      </c>
      <c r="L199" s="97">
        <v>0.3</v>
      </c>
      <c r="M199" s="97">
        <v>0.3</v>
      </c>
      <c r="N199" s="97">
        <v>0.3</v>
      </c>
      <c r="O199" s="97">
        <v>0.3</v>
      </c>
      <c r="P199" s="97">
        <v>0.3</v>
      </c>
      <c r="Q199" s="76"/>
      <c r="R199" s="76" t="s">
        <v>786</v>
      </c>
      <c r="S199" s="76" t="s">
        <v>786</v>
      </c>
      <c r="T199" s="76"/>
      <c r="U199" s="260">
        <f t="shared" ref="U199:AB205" si="31">INDEX($K199:$Q199,1,U$43)</f>
        <v>0.3</v>
      </c>
      <c r="V199" s="260">
        <f t="shared" si="31"/>
        <v>0.3</v>
      </c>
      <c r="W199" s="260">
        <f t="shared" si="31"/>
        <v>0.3</v>
      </c>
      <c r="X199" s="260">
        <f t="shared" si="31"/>
        <v>0.3</v>
      </c>
      <c r="Y199" s="260">
        <f t="shared" si="31"/>
        <v>0.3</v>
      </c>
      <c r="Z199" s="260">
        <f t="shared" si="31"/>
        <v>0.3</v>
      </c>
      <c r="AA199" s="260">
        <f t="shared" si="31"/>
        <v>0.3</v>
      </c>
      <c r="AB199" s="260">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787</v>
      </c>
      <c r="G200" s="73"/>
      <c r="H200" s="76" t="s">
        <v>788</v>
      </c>
      <c r="I200" s="96" t="s">
        <v>570</v>
      </c>
      <c r="J200" s="96"/>
      <c r="K200" s="97">
        <v>0.25</v>
      </c>
      <c r="L200" s="97">
        <v>0.25</v>
      </c>
      <c r="M200" s="97">
        <v>0.25</v>
      </c>
      <c r="N200" s="97">
        <v>0.25</v>
      </c>
      <c r="O200" s="97">
        <v>0.25</v>
      </c>
      <c r="P200" s="97">
        <v>0.25</v>
      </c>
      <c r="Q200" s="76"/>
      <c r="R200" s="76" t="s">
        <v>786</v>
      </c>
      <c r="S200" s="76" t="s">
        <v>786</v>
      </c>
      <c r="T200" s="76"/>
      <c r="U200" s="260">
        <f t="shared" si="31"/>
        <v>0.25</v>
      </c>
      <c r="V200" s="260">
        <f t="shared" si="31"/>
        <v>0.25</v>
      </c>
      <c r="W200" s="260">
        <f t="shared" si="31"/>
        <v>0.25</v>
      </c>
      <c r="X200" s="260">
        <f t="shared" si="31"/>
        <v>0.25</v>
      </c>
      <c r="Y200" s="260">
        <f t="shared" si="31"/>
        <v>0.25</v>
      </c>
      <c r="Z200" s="260">
        <f t="shared" si="31"/>
        <v>0.25</v>
      </c>
      <c r="AA200" s="260">
        <f t="shared" si="31"/>
        <v>0.25</v>
      </c>
      <c r="AB200" s="260">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789</v>
      </c>
      <c r="G201" s="73"/>
      <c r="H201" s="76" t="s">
        <v>790</v>
      </c>
      <c r="I201" s="96" t="s">
        <v>570</v>
      </c>
      <c r="J201" s="96"/>
      <c r="K201" s="97">
        <v>0.1</v>
      </c>
      <c r="L201" s="97">
        <v>0.1</v>
      </c>
      <c r="M201" s="97">
        <v>0.1</v>
      </c>
      <c r="N201" s="97">
        <v>0.1</v>
      </c>
      <c r="O201" s="97">
        <v>0.1</v>
      </c>
      <c r="P201" s="97">
        <v>0.1</v>
      </c>
      <c r="Q201" s="76"/>
      <c r="R201" s="76" t="s">
        <v>786</v>
      </c>
      <c r="S201" s="76" t="s">
        <v>786</v>
      </c>
      <c r="T201" s="76"/>
      <c r="U201" s="260">
        <f t="shared" si="31"/>
        <v>0.1</v>
      </c>
      <c r="V201" s="260">
        <f t="shared" si="31"/>
        <v>0.1</v>
      </c>
      <c r="W201" s="260">
        <f t="shared" si="31"/>
        <v>0.1</v>
      </c>
      <c r="X201" s="260">
        <f t="shared" si="31"/>
        <v>0.1</v>
      </c>
      <c r="Y201" s="260">
        <f t="shared" si="31"/>
        <v>0.1</v>
      </c>
      <c r="Z201" s="260">
        <f t="shared" si="31"/>
        <v>0.1</v>
      </c>
      <c r="AA201" s="260">
        <f t="shared" si="31"/>
        <v>0.1</v>
      </c>
      <c r="AB201" s="260">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791</v>
      </c>
      <c r="G202" s="73"/>
      <c r="H202" s="76" t="s">
        <v>792</v>
      </c>
      <c r="I202" s="96" t="s">
        <v>614</v>
      </c>
      <c r="J202" s="96"/>
      <c r="K202" s="97">
        <v>7.0000000000000001E-3</v>
      </c>
      <c r="L202" s="97">
        <v>7.0000000000000001E-3</v>
      </c>
      <c r="M202" s="97">
        <v>7.0000000000000001E-3</v>
      </c>
      <c r="N202" s="97">
        <v>7.0000000000000001E-3</v>
      </c>
      <c r="O202" s="97">
        <v>7.0000000000000001E-3</v>
      </c>
      <c r="P202" s="97">
        <v>7.0000000000000001E-3</v>
      </c>
      <c r="Q202" s="76"/>
      <c r="R202" s="76" t="s">
        <v>786</v>
      </c>
      <c r="S202" s="76" t="s">
        <v>786</v>
      </c>
      <c r="T202" s="76"/>
      <c r="U202" s="260">
        <f t="shared" si="31"/>
        <v>7.0000000000000001E-3</v>
      </c>
      <c r="V202" s="260">
        <f t="shared" si="31"/>
        <v>7.0000000000000001E-3</v>
      </c>
      <c r="W202" s="260">
        <f t="shared" si="31"/>
        <v>7.0000000000000001E-3</v>
      </c>
      <c r="X202" s="260">
        <f t="shared" si="31"/>
        <v>7.0000000000000001E-3</v>
      </c>
      <c r="Y202" s="260">
        <f t="shared" si="31"/>
        <v>7.0000000000000001E-3</v>
      </c>
      <c r="Z202" s="260">
        <f t="shared" si="31"/>
        <v>7.0000000000000001E-3</v>
      </c>
      <c r="AA202" s="260">
        <f t="shared" si="31"/>
        <v>7.0000000000000001E-3</v>
      </c>
      <c r="AB202" s="260">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793</v>
      </c>
      <c r="G203" s="73"/>
      <c r="H203" s="76" t="s">
        <v>794</v>
      </c>
      <c r="I203" s="96" t="s">
        <v>614</v>
      </c>
      <c r="J203" s="96"/>
      <c r="K203" s="97">
        <v>5.0000000000000001E-3</v>
      </c>
      <c r="L203" s="97">
        <v>5.0000000000000001E-3</v>
      </c>
      <c r="M203" s="97">
        <v>5.0000000000000001E-3</v>
      </c>
      <c r="N203" s="97">
        <v>5.0000000000000001E-3</v>
      </c>
      <c r="O203" s="97">
        <v>5.0000000000000001E-3</v>
      </c>
      <c r="P203" s="97">
        <v>5.0000000000000001E-3</v>
      </c>
      <c r="Q203" s="76"/>
      <c r="R203" s="76" t="s">
        <v>786</v>
      </c>
      <c r="S203" s="76" t="s">
        <v>786</v>
      </c>
      <c r="T203" s="76"/>
      <c r="U203" s="260">
        <f t="shared" si="31"/>
        <v>5.0000000000000001E-3</v>
      </c>
      <c r="V203" s="260">
        <f t="shared" si="31"/>
        <v>5.0000000000000001E-3</v>
      </c>
      <c r="W203" s="260">
        <f t="shared" si="31"/>
        <v>5.0000000000000001E-3</v>
      </c>
      <c r="X203" s="260">
        <f t="shared" si="31"/>
        <v>5.0000000000000001E-3</v>
      </c>
      <c r="Y203" s="260">
        <f t="shared" si="31"/>
        <v>5.0000000000000001E-3</v>
      </c>
      <c r="Z203" s="260">
        <f t="shared" si="31"/>
        <v>5.0000000000000001E-3</v>
      </c>
      <c r="AA203" s="260">
        <f t="shared" si="31"/>
        <v>5.0000000000000001E-3</v>
      </c>
      <c r="AB203" s="260">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795</v>
      </c>
      <c r="G204" s="73"/>
      <c r="H204" s="76" t="s">
        <v>796</v>
      </c>
      <c r="I204" s="96" t="s">
        <v>570</v>
      </c>
      <c r="J204" s="96"/>
      <c r="K204" s="97">
        <v>0.35</v>
      </c>
      <c r="L204" s="97">
        <v>0.35</v>
      </c>
      <c r="M204" s="97">
        <v>0.35</v>
      </c>
      <c r="N204" s="97">
        <v>0.35</v>
      </c>
      <c r="O204" s="97">
        <v>0.35</v>
      </c>
      <c r="P204" s="97">
        <v>0.35</v>
      </c>
      <c r="Q204" s="76"/>
      <c r="R204" s="76" t="s">
        <v>786</v>
      </c>
      <c r="S204" s="76" t="s">
        <v>786</v>
      </c>
      <c r="T204" s="76"/>
      <c r="U204" s="260">
        <f t="shared" si="31"/>
        <v>0.35</v>
      </c>
      <c r="V204" s="260">
        <f t="shared" si="31"/>
        <v>0.35</v>
      </c>
      <c r="W204" s="260">
        <f t="shared" si="31"/>
        <v>0.35</v>
      </c>
      <c r="X204" s="260">
        <f t="shared" si="31"/>
        <v>0.35</v>
      </c>
      <c r="Y204" s="260">
        <f t="shared" si="31"/>
        <v>0.35</v>
      </c>
      <c r="Z204" s="260">
        <f t="shared" si="31"/>
        <v>0.35</v>
      </c>
      <c r="AA204" s="260">
        <f t="shared" si="31"/>
        <v>0.35</v>
      </c>
      <c r="AB204" s="260">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797</v>
      </c>
      <c r="G205" s="73"/>
      <c r="H205" s="76" t="s">
        <v>798</v>
      </c>
      <c r="I205" s="96" t="s">
        <v>570</v>
      </c>
      <c r="J205" s="96"/>
      <c r="K205" s="97">
        <v>0.1</v>
      </c>
      <c r="L205" s="97">
        <v>0.1</v>
      </c>
      <c r="M205" s="97">
        <v>0.1</v>
      </c>
      <c r="N205" s="97">
        <v>0.1</v>
      </c>
      <c r="O205" s="97">
        <v>0.1</v>
      </c>
      <c r="P205" s="97">
        <v>0.1</v>
      </c>
      <c r="Q205" s="76"/>
      <c r="R205" s="76" t="s">
        <v>744</v>
      </c>
      <c r="S205" s="76" t="s">
        <v>786</v>
      </c>
      <c r="T205" s="76"/>
      <c r="U205" s="260">
        <f t="shared" si="31"/>
        <v>0.1</v>
      </c>
      <c r="V205" s="260">
        <f t="shared" si="31"/>
        <v>0.1</v>
      </c>
      <c r="W205" s="260">
        <f t="shared" si="31"/>
        <v>0.1</v>
      </c>
      <c r="X205" s="260">
        <f t="shared" si="31"/>
        <v>0.1</v>
      </c>
      <c r="Y205" s="260">
        <f t="shared" si="31"/>
        <v>0.1</v>
      </c>
      <c r="Z205" s="260">
        <f t="shared" si="31"/>
        <v>0.1</v>
      </c>
      <c r="AA205" s="260">
        <f t="shared" si="31"/>
        <v>0.1</v>
      </c>
      <c r="AB205" s="260">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3" t="s">
        <v>799</v>
      </c>
      <c r="G206" s="73"/>
      <c r="H206" s="253" t="s">
        <v>800</v>
      </c>
      <c r="I206" s="96"/>
      <c r="J206" s="96" t="s">
        <v>587</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801</v>
      </c>
      <c r="F207" s="70" t="s">
        <v>802</v>
      </c>
      <c r="G207" s="73"/>
      <c r="H207" s="76" t="s">
        <v>563</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803</v>
      </c>
      <c r="G208" s="73"/>
      <c r="H208" s="76" t="s">
        <v>804</v>
      </c>
      <c r="I208" s="96" t="s">
        <v>570</v>
      </c>
      <c r="J208" s="96"/>
      <c r="K208" s="97">
        <v>0.05</v>
      </c>
      <c r="L208" s="97">
        <v>0.05</v>
      </c>
      <c r="M208" s="97">
        <v>0.05</v>
      </c>
      <c r="N208" s="97">
        <v>0.05</v>
      </c>
      <c r="O208" s="97">
        <v>0.05</v>
      </c>
      <c r="P208" s="97">
        <v>0.05</v>
      </c>
      <c r="Q208" s="76"/>
      <c r="R208" s="76" t="s">
        <v>805</v>
      </c>
      <c r="S208" s="76" t="s">
        <v>805</v>
      </c>
      <c r="T208" s="76"/>
      <c r="U208" s="260">
        <f t="shared" ref="U208:AB216" si="33">INDEX($K208:$Q208,1,U$43)</f>
        <v>0.05</v>
      </c>
      <c r="V208" s="260">
        <f t="shared" si="33"/>
        <v>0.05</v>
      </c>
      <c r="W208" s="260">
        <f t="shared" si="33"/>
        <v>0.05</v>
      </c>
      <c r="X208" s="260">
        <f t="shared" si="33"/>
        <v>0.05</v>
      </c>
      <c r="Y208" s="260">
        <f t="shared" si="33"/>
        <v>0.05</v>
      </c>
      <c r="Z208" s="260">
        <f t="shared" si="33"/>
        <v>0.05</v>
      </c>
      <c r="AA208" s="260">
        <f t="shared" si="33"/>
        <v>0.05</v>
      </c>
      <c r="AB208" s="260">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806</v>
      </c>
      <c r="G209" s="73"/>
      <c r="H209" s="76" t="s">
        <v>807</v>
      </c>
      <c r="I209" s="96" t="s">
        <v>570</v>
      </c>
      <c r="J209" s="96"/>
      <c r="K209" s="97">
        <v>0.85</v>
      </c>
      <c r="L209" s="97">
        <v>0.85</v>
      </c>
      <c r="M209" s="97">
        <v>0.85</v>
      </c>
      <c r="N209" s="97">
        <v>0.85</v>
      </c>
      <c r="O209" s="97">
        <v>0.85</v>
      </c>
      <c r="P209" s="97">
        <v>0.85</v>
      </c>
      <c r="Q209" s="76"/>
      <c r="R209" s="76" t="s">
        <v>805</v>
      </c>
      <c r="S209" s="76" t="s">
        <v>805</v>
      </c>
      <c r="T209" s="76"/>
      <c r="U209" s="260">
        <f t="shared" si="33"/>
        <v>0.85</v>
      </c>
      <c r="V209" s="260">
        <f t="shared" si="33"/>
        <v>0.85</v>
      </c>
      <c r="W209" s="260">
        <f t="shared" si="33"/>
        <v>0.85</v>
      </c>
      <c r="X209" s="260">
        <f t="shared" si="33"/>
        <v>0.85</v>
      </c>
      <c r="Y209" s="260">
        <f t="shared" si="33"/>
        <v>0.85</v>
      </c>
      <c r="Z209" s="260">
        <f t="shared" si="33"/>
        <v>0.85</v>
      </c>
      <c r="AA209" s="260">
        <f t="shared" si="33"/>
        <v>0.85</v>
      </c>
      <c r="AB209" s="260">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808</v>
      </c>
      <c r="G210" s="73"/>
      <c r="H210" s="76" t="s">
        <v>809</v>
      </c>
      <c r="I210" s="96" t="s">
        <v>570</v>
      </c>
      <c r="J210" s="96"/>
      <c r="K210" s="97">
        <v>5.5</v>
      </c>
      <c r="L210" s="97">
        <v>5.5</v>
      </c>
      <c r="M210" s="97">
        <v>5.5</v>
      </c>
      <c r="N210" s="97">
        <v>5.5</v>
      </c>
      <c r="O210" s="97">
        <v>5.5</v>
      </c>
      <c r="P210" s="97">
        <v>5.5</v>
      </c>
      <c r="Q210" s="76"/>
      <c r="R210" s="76" t="s">
        <v>805</v>
      </c>
      <c r="S210" s="76" t="s">
        <v>805</v>
      </c>
      <c r="T210" s="76"/>
      <c r="U210" s="260">
        <f t="shared" si="33"/>
        <v>5.5</v>
      </c>
      <c r="V210" s="260">
        <f t="shared" si="33"/>
        <v>5.5</v>
      </c>
      <c r="W210" s="260">
        <f t="shared" si="33"/>
        <v>5.5</v>
      </c>
      <c r="X210" s="260">
        <f t="shared" si="33"/>
        <v>5.5</v>
      </c>
      <c r="Y210" s="260">
        <f t="shared" si="33"/>
        <v>5.5</v>
      </c>
      <c r="Z210" s="260">
        <f t="shared" si="33"/>
        <v>5.5</v>
      </c>
      <c r="AA210" s="260">
        <f t="shared" si="33"/>
        <v>5.5</v>
      </c>
      <c r="AB210" s="260">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810</v>
      </c>
      <c r="G211" s="73"/>
      <c r="H211" s="76" t="s">
        <v>811</v>
      </c>
      <c r="I211" s="96" t="s">
        <v>570</v>
      </c>
      <c r="J211" s="96"/>
      <c r="K211" s="97">
        <v>0.17799999999999999</v>
      </c>
      <c r="L211" s="97">
        <v>0.17799999999999999</v>
      </c>
      <c r="M211" s="97">
        <v>0.17799999999999999</v>
      </c>
      <c r="N211" s="97">
        <v>0.17799999999999999</v>
      </c>
      <c r="O211" s="97">
        <v>0.17799999999999999</v>
      </c>
      <c r="P211" s="97">
        <v>0.17799999999999999</v>
      </c>
      <c r="Q211" s="76"/>
      <c r="R211" s="76" t="s">
        <v>805</v>
      </c>
      <c r="S211" s="76" t="s">
        <v>805</v>
      </c>
      <c r="T211" s="76"/>
      <c r="U211" s="260">
        <f t="shared" si="33"/>
        <v>0.17799999999999999</v>
      </c>
      <c r="V211" s="260">
        <f t="shared" si="33"/>
        <v>0.17799999999999999</v>
      </c>
      <c r="W211" s="260">
        <f t="shared" si="33"/>
        <v>0.17799999999999999</v>
      </c>
      <c r="X211" s="260">
        <f t="shared" si="33"/>
        <v>0.17799999999999999</v>
      </c>
      <c r="Y211" s="260">
        <f t="shared" si="33"/>
        <v>0.17799999999999999</v>
      </c>
      <c r="Z211" s="260">
        <f t="shared" si="33"/>
        <v>0.17799999999999999</v>
      </c>
      <c r="AA211" s="260">
        <f t="shared" si="33"/>
        <v>0.17799999999999999</v>
      </c>
      <c r="AB211" s="260">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812</v>
      </c>
      <c r="G212" s="73"/>
      <c r="H212" s="76" t="s">
        <v>813</v>
      </c>
      <c r="I212" s="96" t="s">
        <v>642</v>
      </c>
      <c r="J212" s="96"/>
      <c r="K212" s="97">
        <v>0.92</v>
      </c>
      <c r="L212" s="97">
        <v>0.92</v>
      </c>
      <c r="M212" s="97">
        <v>0.92</v>
      </c>
      <c r="N212" s="97">
        <v>0.92</v>
      </c>
      <c r="O212" s="97">
        <v>0.92</v>
      </c>
      <c r="P212" s="97">
        <v>0.92</v>
      </c>
      <c r="Q212" s="76"/>
      <c r="R212" s="76" t="s">
        <v>696</v>
      </c>
      <c r="S212" s="76" t="s">
        <v>696</v>
      </c>
      <c r="T212" s="76"/>
      <c r="U212" s="260">
        <f t="shared" si="33"/>
        <v>0.92</v>
      </c>
      <c r="V212" s="260">
        <f t="shared" si="33"/>
        <v>0.92</v>
      </c>
      <c r="W212" s="260">
        <f t="shared" si="33"/>
        <v>0.92</v>
      </c>
      <c r="X212" s="260">
        <f t="shared" si="33"/>
        <v>0.92</v>
      </c>
      <c r="Y212" s="260">
        <f t="shared" si="33"/>
        <v>0.92</v>
      </c>
      <c r="Z212" s="260">
        <f t="shared" si="33"/>
        <v>0.92</v>
      </c>
      <c r="AA212" s="260">
        <f t="shared" si="33"/>
        <v>0.92</v>
      </c>
      <c r="AB212" s="260">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814</v>
      </c>
      <c r="G213" s="73"/>
      <c r="H213" s="76" t="s">
        <v>815</v>
      </c>
      <c r="I213" s="96" t="s">
        <v>570</v>
      </c>
      <c r="J213" s="96"/>
      <c r="K213" s="97">
        <v>1</v>
      </c>
      <c r="L213" s="97">
        <v>1</v>
      </c>
      <c r="M213" s="97">
        <v>1</v>
      </c>
      <c r="N213" s="97">
        <v>1</v>
      </c>
      <c r="O213" s="97">
        <v>1</v>
      </c>
      <c r="P213" s="97">
        <v>1</v>
      </c>
      <c r="Q213" s="76"/>
      <c r="R213" s="76" t="s">
        <v>759</v>
      </c>
      <c r="S213" s="76" t="s">
        <v>759</v>
      </c>
      <c r="T213" s="76"/>
      <c r="U213" s="260">
        <f t="shared" si="33"/>
        <v>1</v>
      </c>
      <c r="V213" s="260">
        <f t="shared" si="33"/>
        <v>1</v>
      </c>
      <c r="W213" s="260">
        <f t="shared" si="33"/>
        <v>1</v>
      </c>
      <c r="X213" s="260">
        <f t="shared" si="33"/>
        <v>1</v>
      </c>
      <c r="Y213" s="260">
        <f t="shared" si="33"/>
        <v>1</v>
      </c>
      <c r="Z213" s="260">
        <f t="shared" si="33"/>
        <v>1</v>
      </c>
      <c r="AA213" s="260">
        <f t="shared" si="33"/>
        <v>1</v>
      </c>
      <c r="AB213" s="260">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816</v>
      </c>
      <c r="G214" s="73"/>
      <c r="H214" s="76" t="s">
        <v>817</v>
      </c>
      <c r="I214" s="96" t="s">
        <v>570</v>
      </c>
      <c r="J214" s="96"/>
      <c r="K214" s="97">
        <v>0.6</v>
      </c>
      <c r="L214" s="97">
        <v>0.6</v>
      </c>
      <c r="M214" s="97">
        <v>0.6</v>
      </c>
      <c r="N214" s="97">
        <v>0.6</v>
      </c>
      <c r="O214" s="97">
        <v>0.6</v>
      </c>
      <c r="P214" s="97">
        <v>0.6</v>
      </c>
      <c r="Q214" s="76"/>
      <c r="R214" s="76" t="s">
        <v>759</v>
      </c>
      <c r="S214" s="76" t="s">
        <v>759</v>
      </c>
      <c r="T214" s="76"/>
      <c r="U214" s="260">
        <f t="shared" si="33"/>
        <v>0.6</v>
      </c>
      <c r="V214" s="260">
        <f t="shared" si="33"/>
        <v>0.6</v>
      </c>
      <c r="W214" s="260">
        <f t="shared" si="33"/>
        <v>0.6</v>
      </c>
      <c r="X214" s="260">
        <f t="shared" si="33"/>
        <v>0.6</v>
      </c>
      <c r="Y214" s="260">
        <f t="shared" si="33"/>
        <v>0.6</v>
      </c>
      <c r="Z214" s="260">
        <f t="shared" si="33"/>
        <v>0.6</v>
      </c>
      <c r="AA214" s="260">
        <f t="shared" si="33"/>
        <v>0.6</v>
      </c>
      <c r="AB214" s="260">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818</v>
      </c>
      <c r="G215" s="73"/>
      <c r="H215" s="76" t="s">
        <v>819</v>
      </c>
      <c r="I215" s="96" t="s">
        <v>570</v>
      </c>
      <c r="J215" s="96"/>
      <c r="K215" s="97">
        <v>0.25</v>
      </c>
      <c r="L215" s="97">
        <v>0.25</v>
      </c>
      <c r="M215" s="97">
        <v>0.25</v>
      </c>
      <c r="N215" s="97">
        <v>0.25</v>
      </c>
      <c r="O215" s="97">
        <v>0.25</v>
      </c>
      <c r="P215" s="97">
        <v>0.25</v>
      </c>
      <c r="Q215" s="76"/>
      <c r="R215" s="76" t="s">
        <v>759</v>
      </c>
      <c r="S215" s="76" t="s">
        <v>759</v>
      </c>
      <c r="T215" s="76"/>
      <c r="U215" s="260">
        <f t="shared" si="33"/>
        <v>0.25</v>
      </c>
      <c r="V215" s="260">
        <f t="shared" si="33"/>
        <v>0.25</v>
      </c>
      <c r="W215" s="260">
        <f t="shared" si="33"/>
        <v>0.25</v>
      </c>
      <c r="X215" s="260">
        <f t="shared" si="33"/>
        <v>0.25</v>
      </c>
      <c r="Y215" s="260">
        <f t="shared" si="33"/>
        <v>0.25</v>
      </c>
      <c r="Z215" s="260">
        <f t="shared" si="33"/>
        <v>0.25</v>
      </c>
      <c r="AA215" s="260">
        <f t="shared" si="33"/>
        <v>0.25</v>
      </c>
      <c r="AB215" s="260">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820</v>
      </c>
      <c r="G216" s="73"/>
      <c r="H216" s="76" t="s">
        <v>821</v>
      </c>
      <c r="I216" s="96" t="s">
        <v>570</v>
      </c>
      <c r="J216" s="96"/>
      <c r="K216" s="97">
        <v>0.9</v>
      </c>
      <c r="L216" s="97">
        <v>0.9</v>
      </c>
      <c r="M216" s="97">
        <v>0.9</v>
      </c>
      <c r="N216" s="97">
        <v>0.9</v>
      </c>
      <c r="O216" s="97">
        <v>0.9</v>
      </c>
      <c r="P216" s="97">
        <v>0.9</v>
      </c>
      <c r="Q216" s="76"/>
      <c r="R216" s="76" t="s">
        <v>822</v>
      </c>
      <c r="S216" s="76" t="s">
        <v>822</v>
      </c>
      <c r="T216" s="76"/>
      <c r="U216" s="260">
        <f t="shared" si="33"/>
        <v>0.9</v>
      </c>
      <c r="V216" s="260">
        <f t="shared" si="33"/>
        <v>0.9</v>
      </c>
      <c r="W216" s="260">
        <f t="shared" si="33"/>
        <v>0.9</v>
      </c>
      <c r="X216" s="260">
        <f t="shared" si="33"/>
        <v>0.9</v>
      </c>
      <c r="Y216" s="260">
        <f t="shared" si="33"/>
        <v>0.9</v>
      </c>
      <c r="Z216" s="260">
        <f t="shared" si="33"/>
        <v>0.9</v>
      </c>
      <c r="AA216" s="260">
        <f t="shared" si="33"/>
        <v>0.9</v>
      </c>
      <c r="AB216" s="260">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3" t="s">
        <v>823</v>
      </c>
      <c r="G217" s="73"/>
      <c r="H217" s="253" t="s">
        <v>824</v>
      </c>
      <c r="I217" s="96"/>
      <c r="J217" s="96" t="s">
        <v>587</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825</v>
      </c>
      <c r="F218" s="70" t="s">
        <v>826</v>
      </c>
      <c r="G218" s="73"/>
      <c r="H218" s="76" t="s">
        <v>827</v>
      </c>
      <c r="I218" s="96" t="s">
        <v>599</v>
      </c>
      <c r="J218" s="96"/>
      <c r="K218" s="97">
        <v>90</v>
      </c>
      <c r="L218" s="97">
        <v>90</v>
      </c>
      <c r="M218" s="97">
        <v>0</v>
      </c>
      <c r="N218" s="97">
        <v>0</v>
      </c>
      <c r="O218" s="97">
        <v>0</v>
      </c>
      <c r="P218" s="97">
        <v>0</v>
      </c>
      <c r="Q218" s="76"/>
      <c r="R218" s="76" t="s">
        <v>828</v>
      </c>
      <c r="S218" s="76"/>
      <c r="T218" s="76"/>
      <c r="U218" s="260">
        <f t="shared" ref="U218:AB231" si="34">INDEX($K218:$Q218,1,U$43)</f>
        <v>90</v>
      </c>
      <c r="V218" s="260">
        <f t="shared" si="34"/>
        <v>90</v>
      </c>
      <c r="W218" s="260">
        <f t="shared" si="34"/>
        <v>90</v>
      </c>
      <c r="X218" s="260">
        <f t="shared" si="34"/>
        <v>90</v>
      </c>
      <c r="Y218" s="260">
        <f t="shared" si="34"/>
        <v>90</v>
      </c>
      <c r="Z218" s="260">
        <f t="shared" si="34"/>
        <v>90</v>
      </c>
      <c r="AA218" s="260">
        <f t="shared" si="34"/>
        <v>90</v>
      </c>
      <c r="AB218" s="260">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829</v>
      </c>
      <c r="G219" s="73"/>
      <c r="H219" s="76" t="s">
        <v>830</v>
      </c>
      <c r="I219" s="96" t="s">
        <v>599</v>
      </c>
      <c r="J219" s="96"/>
      <c r="K219" s="97">
        <v>150</v>
      </c>
      <c r="L219" s="97">
        <v>150</v>
      </c>
      <c r="M219" s="97">
        <v>285</v>
      </c>
      <c r="N219" s="97">
        <v>285</v>
      </c>
      <c r="O219" s="97">
        <v>285</v>
      </c>
      <c r="P219" s="97">
        <v>285</v>
      </c>
      <c r="Q219" s="76"/>
      <c r="R219" s="76" t="s">
        <v>831</v>
      </c>
      <c r="S219" s="76" t="s">
        <v>831</v>
      </c>
      <c r="T219" s="76"/>
      <c r="U219" s="260">
        <f t="shared" si="34"/>
        <v>150</v>
      </c>
      <c r="V219" s="260">
        <f t="shared" si="34"/>
        <v>150</v>
      </c>
      <c r="W219" s="260">
        <f t="shared" si="34"/>
        <v>150</v>
      </c>
      <c r="X219" s="260">
        <f t="shared" si="34"/>
        <v>150</v>
      </c>
      <c r="Y219" s="260">
        <f t="shared" si="34"/>
        <v>150</v>
      </c>
      <c r="Z219" s="260">
        <f t="shared" si="34"/>
        <v>150</v>
      </c>
      <c r="AA219" s="260">
        <f t="shared" si="34"/>
        <v>150</v>
      </c>
      <c r="AB219" s="260">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832</v>
      </c>
      <c r="G220" s="73"/>
      <c r="H220" s="76" t="s">
        <v>833</v>
      </c>
      <c r="I220" s="96" t="s">
        <v>570</v>
      </c>
      <c r="J220" s="96"/>
      <c r="K220" s="97">
        <v>1.304</v>
      </c>
      <c r="L220" s="97">
        <v>1.304</v>
      </c>
      <c r="M220" s="97">
        <v>2.2000000000000002</v>
      </c>
      <c r="N220" s="97">
        <v>2.2000000000000002</v>
      </c>
      <c r="O220" s="97">
        <v>2.2000000000000002</v>
      </c>
      <c r="P220" s="97">
        <v>2.2000000000000002</v>
      </c>
      <c r="Q220" s="76"/>
      <c r="R220" s="76" t="s">
        <v>831</v>
      </c>
      <c r="S220" s="76" t="s">
        <v>831</v>
      </c>
      <c r="T220" s="76"/>
      <c r="U220" s="260">
        <f t="shared" si="34"/>
        <v>1.304</v>
      </c>
      <c r="V220" s="260">
        <f t="shared" si="34"/>
        <v>1.304</v>
      </c>
      <c r="W220" s="260">
        <f t="shared" si="34"/>
        <v>1.304</v>
      </c>
      <c r="X220" s="260">
        <f t="shared" si="34"/>
        <v>1.304</v>
      </c>
      <c r="Y220" s="260">
        <f t="shared" si="34"/>
        <v>1.304</v>
      </c>
      <c r="Z220" s="260">
        <f t="shared" si="34"/>
        <v>1.304</v>
      </c>
      <c r="AA220" s="260">
        <f t="shared" si="34"/>
        <v>1.304</v>
      </c>
      <c r="AB220" s="260">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834</v>
      </c>
      <c r="G221" s="73"/>
      <c r="H221" s="76" t="s">
        <v>833</v>
      </c>
      <c r="I221" s="96" t="s">
        <v>570</v>
      </c>
      <c r="J221" s="96"/>
      <c r="K221" s="97">
        <v>2.625</v>
      </c>
      <c r="L221" s="97">
        <v>2.625</v>
      </c>
      <c r="M221" s="97">
        <v>1.77</v>
      </c>
      <c r="N221" s="97">
        <v>1.77</v>
      </c>
      <c r="O221" s="97">
        <v>1.77</v>
      </c>
      <c r="P221" s="97">
        <v>1.77</v>
      </c>
      <c r="Q221" s="76"/>
      <c r="R221" s="76" t="s">
        <v>831</v>
      </c>
      <c r="S221" s="76" t="s">
        <v>831</v>
      </c>
      <c r="T221" s="76"/>
      <c r="U221" s="260">
        <f t="shared" si="34"/>
        <v>2.625</v>
      </c>
      <c r="V221" s="260">
        <f t="shared" si="34"/>
        <v>2.625</v>
      </c>
      <c r="W221" s="260">
        <f t="shared" si="34"/>
        <v>2.625</v>
      </c>
      <c r="X221" s="260">
        <f t="shared" si="34"/>
        <v>2.625</v>
      </c>
      <c r="Y221" s="260">
        <f t="shared" si="34"/>
        <v>2.625</v>
      </c>
      <c r="Z221" s="260">
        <f t="shared" si="34"/>
        <v>2.625</v>
      </c>
      <c r="AA221" s="260">
        <f t="shared" si="34"/>
        <v>2.625</v>
      </c>
      <c r="AB221" s="260">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835</v>
      </c>
      <c r="G222" s="73"/>
      <c r="H222" s="76" t="s">
        <v>836</v>
      </c>
      <c r="I222" s="96" t="s">
        <v>570</v>
      </c>
      <c r="J222" s="96"/>
      <c r="K222" s="97">
        <v>0.33</v>
      </c>
      <c r="L222" s="97">
        <v>0.33</v>
      </c>
      <c r="M222" s="97">
        <v>0.33</v>
      </c>
      <c r="N222" s="97">
        <v>0.33</v>
      </c>
      <c r="O222" s="97">
        <v>0.33</v>
      </c>
      <c r="P222" s="97">
        <v>0.33</v>
      </c>
      <c r="Q222" s="76"/>
      <c r="R222" s="76" t="s">
        <v>831</v>
      </c>
      <c r="S222" s="76" t="s">
        <v>831</v>
      </c>
      <c r="T222" s="76"/>
      <c r="U222" s="260">
        <f t="shared" si="34"/>
        <v>0.33</v>
      </c>
      <c r="V222" s="260">
        <f t="shared" si="34"/>
        <v>0.33</v>
      </c>
      <c r="W222" s="260">
        <f t="shared" si="34"/>
        <v>0.33</v>
      </c>
      <c r="X222" s="260">
        <f t="shared" si="34"/>
        <v>0.33</v>
      </c>
      <c r="Y222" s="260">
        <f t="shared" si="34"/>
        <v>0.33</v>
      </c>
      <c r="Z222" s="260">
        <f t="shared" si="34"/>
        <v>0.33</v>
      </c>
      <c r="AA222" s="260">
        <f t="shared" si="34"/>
        <v>0.33</v>
      </c>
      <c r="AB222" s="260">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837</v>
      </c>
      <c r="G223" s="73"/>
      <c r="H223" s="76" t="s">
        <v>838</v>
      </c>
      <c r="I223" s="96" t="s">
        <v>839</v>
      </c>
      <c r="J223" s="96"/>
      <c r="K223" s="97">
        <v>1.43</v>
      </c>
      <c r="L223" s="97">
        <v>1.43</v>
      </c>
      <c r="M223" s="97">
        <v>1.8</v>
      </c>
      <c r="N223" s="97">
        <v>1.8</v>
      </c>
      <c r="O223" s="97">
        <v>1.8</v>
      </c>
      <c r="P223" s="97">
        <v>1.8</v>
      </c>
      <c r="Q223" s="76"/>
      <c r="R223" s="76" t="s">
        <v>831</v>
      </c>
      <c r="S223" s="76" t="s">
        <v>831</v>
      </c>
      <c r="T223" s="76"/>
      <c r="U223" s="260">
        <f t="shared" si="34"/>
        <v>1.43</v>
      </c>
      <c r="V223" s="260">
        <f t="shared" si="34"/>
        <v>1.43</v>
      </c>
      <c r="W223" s="260">
        <f t="shared" si="34"/>
        <v>1.43</v>
      </c>
      <c r="X223" s="260">
        <f t="shared" si="34"/>
        <v>1.43</v>
      </c>
      <c r="Y223" s="260">
        <f t="shared" si="34"/>
        <v>1.43</v>
      </c>
      <c r="Z223" s="260">
        <f t="shared" si="34"/>
        <v>1.43</v>
      </c>
      <c r="AA223" s="260">
        <f t="shared" si="34"/>
        <v>1.43</v>
      </c>
      <c r="AB223" s="260">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840</v>
      </c>
      <c r="G224" s="73"/>
      <c r="H224" s="76" t="s">
        <v>841</v>
      </c>
      <c r="I224" s="96" t="s">
        <v>570</v>
      </c>
      <c r="J224" s="96"/>
      <c r="K224" s="97">
        <v>3.38</v>
      </c>
      <c r="L224" s="97">
        <v>3.38</v>
      </c>
      <c r="M224" s="97">
        <v>2.42</v>
      </c>
      <c r="N224" s="97">
        <v>2.42</v>
      </c>
      <c r="O224" s="97">
        <v>2.42</v>
      </c>
      <c r="P224" s="97">
        <v>2.42</v>
      </c>
      <c r="Q224" s="76"/>
      <c r="R224" s="76" t="s">
        <v>831</v>
      </c>
      <c r="S224" s="76" t="s">
        <v>831</v>
      </c>
      <c r="T224" s="76"/>
      <c r="U224" s="260">
        <f t="shared" si="34"/>
        <v>3.38</v>
      </c>
      <c r="V224" s="260">
        <f t="shared" si="34"/>
        <v>3.38</v>
      </c>
      <c r="W224" s="260">
        <f t="shared" si="34"/>
        <v>3.38</v>
      </c>
      <c r="X224" s="260">
        <f t="shared" si="34"/>
        <v>3.38</v>
      </c>
      <c r="Y224" s="260">
        <f t="shared" si="34"/>
        <v>3.38</v>
      </c>
      <c r="Z224" s="260">
        <f t="shared" si="34"/>
        <v>3.38</v>
      </c>
      <c r="AA224" s="260">
        <f t="shared" si="34"/>
        <v>3.38</v>
      </c>
      <c r="AB224" s="260">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842</v>
      </c>
      <c r="G225" s="73"/>
      <c r="H225" s="76" t="s">
        <v>843</v>
      </c>
      <c r="I225" s="96" t="s">
        <v>570</v>
      </c>
      <c r="J225" s="96"/>
      <c r="K225" s="97">
        <v>0.91</v>
      </c>
      <c r="L225" s="97">
        <v>0.91</v>
      </c>
      <c r="M225" s="97">
        <v>1.1599999999999999</v>
      </c>
      <c r="N225" s="97">
        <v>1.1599999999999999</v>
      </c>
      <c r="O225" s="97">
        <v>1.1599999999999999</v>
      </c>
      <c r="P225" s="97">
        <v>1.1599999999999999</v>
      </c>
      <c r="Q225" s="76"/>
      <c r="R225" s="76" t="s">
        <v>831</v>
      </c>
      <c r="S225" s="76" t="s">
        <v>831</v>
      </c>
      <c r="T225" s="76"/>
      <c r="U225" s="260">
        <f t="shared" si="34"/>
        <v>0.91</v>
      </c>
      <c r="V225" s="260">
        <f t="shared" si="34"/>
        <v>0.91</v>
      </c>
      <c r="W225" s="260">
        <f t="shared" si="34"/>
        <v>0.91</v>
      </c>
      <c r="X225" s="260">
        <f t="shared" si="34"/>
        <v>0.91</v>
      </c>
      <c r="Y225" s="260">
        <f t="shared" si="34"/>
        <v>0.91</v>
      </c>
      <c r="Z225" s="260">
        <f t="shared" si="34"/>
        <v>0.91</v>
      </c>
      <c r="AA225" s="260">
        <f t="shared" si="34"/>
        <v>0.91</v>
      </c>
      <c r="AB225" s="260">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844</v>
      </c>
      <c r="G226" s="73"/>
      <c r="H226" s="76" t="s">
        <v>845</v>
      </c>
      <c r="I226" s="96" t="s">
        <v>846</v>
      </c>
      <c r="J226" s="96"/>
      <c r="K226" s="97">
        <v>4.33</v>
      </c>
      <c r="L226" s="97">
        <v>4.33</v>
      </c>
      <c r="M226" s="97">
        <v>4.1100000000000003</v>
      </c>
      <c r="N226" s="97">
        <v>4.1100000000000003</v>
      </c>
      <c r="O226" s="97">
        <v>4.1100000000000003</v>
      </c>
      <c r="P226" s="97">
        <v>4.1100000000000003</v>
      </c>
      <c r="Q226" s="76"/>
      <c r="R226" s="76" t="s">
        <v>831</v>
      </c>
      <c r="S226" s="76" t="s">
        <v>831</v>
      </c>
      <c r="T226" s="76"/>
      <c r="U226" s="260">
        <f t="shared" si="34"/>
        <v>4.33</v>
      </c>
      <c r="V226" s="260">
        <f t="shared" si="34"/>
        <v>4.33</v>
      </c>
      <c r="W226" s="260">
        <f t="shared" si="34"/>
        <v>4.33</v>
      </c>
      <c r="X226" s="260">
        <f t="shared" si="34"/>
        <v>4.33</v>
      </c>
      <c r="Y226" s="260">
        <f t="shared" si="34"/>
        <v>4.33</v>
      </c>
      <c r="Z226" s="260">
        <f t="shared" si="34"/>
        <v>4.33</v>
      </c>
      <c r="AA226" s="260">
        <f t="shared" si="34"/>
        <v>4.33</v>
      </c>
      <c r="AB226" s="260">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847</v>
      </c>
      <c r="G227" s="73"/>
      <c r="H227" s="76" t="s">
        <v>848</v>
      </c>
      <c r="I227" s="96" t="s">
        <v>570</v>
      </c>
      <c r="J227" s="96"/>
      <c r="K227" s="97">
        <v>4.37</v>
      </c>
      <c r="L227" s="97">
        <v>4.37</v>
      </c>
      <c r="M227" s="97">
        <v>343.5</v>
      </c>
      <c r="N227" s="97">
        <v>343.5</v>
      </c>
      <c r="O227" s="97">
        <v>343.5</v>
      </c>
      <c r="P227" s="97">
        <v>343.5</v>
      </c>
      <c r="Q227" s="76"/>
      <c r="R227" s="76" t="s">
        <v>831</v>
      </c>
      <c r="S227" s="76" t="s">
        <v>831</v>
      </c>
      <c r="T227" s="76"/>
      <c r="U227" s="260">
        <f t="shared" si="34"/>
        <v>4.37</v>
      </c>
      <c r="V227" s="260">
        <f t="shared" si="34"/>
        <v>4.37</v>
      </c>
      <c r="W227" s="260">
        <f t="shared" si="34"/>
        <v>4.37</v>
      </c>
      <c r="X227" s="260">
        <f t="shared" si="34"/>
        <v>4.37</v>
      </c>
      <c r="Y227" s="260">
        <f t="shared" si="34"/>
        <v>4.37</v>
      </c>
      <c r="Z227" s="260">
        <f t="shared" si="34"/>
        <v>4.37</v>
      </c>
      <c r="AA227" s="260">
        <f t="shared" si="34"/>
        <v>4.37</v>
      </c>
      <c r="AB227" s="260">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849</v>
      </c>
      <c r="G228" s="73"/>
      <c r="H228" s="76" t="s">
        <v>850</v>
      </c>
      <c r="I228" s="96" t="s">
        <v>570</v>
      </c>
      <c r="J228" s="96"/>
      <c r="K228" s="97">
        <v>0.96499999999999997</v>
      </c>
      <c r="L228" s="97">
        <v>0.96499999999999997</v>
      </c>
      <c r="M228" s="97">
        <v>1.6400000000000001E-2</v>
      </c>
      <c r="N228" s="97">
        <v>1.6400000000000001E-2</v>
      </c>
      <c r="O228" s="97">
        <v>1.6400000000000001E-2</v>
      </c>
      <c r="P228" s="97">
        <v>1.6400000000000001E-2</v>
      </c>
      <c r="Q228" s="76"/>
      <c r="R228" s="76" t="s">
        <v>831</v>
      </c>
      <c r="S228" s="76" t="s">
        <v>831</v>
      </c>
      <c r="T228" s="76"/>
      <c r="U228" s="260">
        <f t="shared" si="34"/>
        <v>0.96499999999999997</v>
      </c>
      <c r="V228" s="260">
        <f t="shared" si="34"/>
        <v>0.96499999999999997</v>
      </c>
      <c r="W228" s="260">
        <f t="shared" si="34"/>
        <v>0.96499999999999997</v>
      </c>
      <c r="X228" s="260">
        <f t="shared" si="34"/>
        <v>0.96499999999999997</v>
      </c>
      <c r="Y228" s="260">
        <f t="shared" si="34"/>
        <v>0.96499999999999997</v>
      </c>
      <c r="Z228" s="260">
        <f t="shared" si="34"/>
        <v>0.96499999999999997</v>
      </c>
      <c r="AA228" s="260">
        <f t="shared" si="34"/>
        <v>0.96499999999999997</v>
      </c>
      <c r="AB228" s="260">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851</v>
      </c>
      <c r="G229" s="73"/>
      <c r="H229" s="76" t="s">
        <v>852</v>
      </c>
      <c r="I229" s="96" t="s">
        <v>839</v>
      </c>
      <c r="J229" s="96"/>
      <c r="K229" s="97">
        <v>0.14499999999999999</v>
      </c>
      <c r="L229" s="97">
        <v>0.14499999999999999</v>
      </c>
      <c r="M229" s="97">
        <v>0.13400000000000001</v>
      </c>
      <c r="N229" s="97">
        <v>0.13400000000000001</v>
      </c>
      <c r="O229" s="97">
        <v>0.13400000000000001</v>
      </c>
      <c r="P229" s="97">
        <v>0.13400000000000001</v>
      </c>
      <c r="Q229" s="76"/>
      <c r="R229" s="76" t="s">
        <v>831</v>
      </c>
      <c r="S229" s="76" t="s">
        <v>831</v>
      </c>
      <c r="T229" s="76"/>
      <c r="U229" s="260">
        <f t="shared" si="34"/>
        <v>0.14499999999999999</v>
      </c>
      <c r="V229" s="260">
        <f t="shared" si="34"/>
        <v>0.14499999999999999</v>
      </c>
      <c r="W229" s="260">
        <f t="shared" si="34"/>
        <v>0.14499999999999999</v>
      </c>
      <c r="X229" s="260">
        <f t="shared" si="34"/>
        <v>0.14499999999999999</v>
      </c>
      <c r="Y229" s="260">
        <f t="shared" si="34"/>
        <v>0.14499999999999999</v>
      </c>
      <c r="Z229" s="260">
        <f t="shared" si="34"/>
        <v>0.14499999999999999</v>
      </c>
      <c r="AA229" s="260">
        <f t="shared" si="34"/>
        <v>0.14499999999999999</v>
      </c>
      <c r="AB229" s="260">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853</v>
      </c>
      <c r="G230" s="73"/>
      <c r="H230" s="76" t="s">
        <v>854</v>
      </c>
      <c r="I230" s="96" t="s">
        <v>570</v>
      </c>
      <c r="J230" s="96"/>
      <c r="K230" s="97">
        <v>4.5599999999999996</v>
      </c>
      <c r="L230" s="97">
        <v>4.5599999999999996</v>
      </c>
      <c r="M230" s="97">
        <v>6.22</v>
      </c>
      <c r="N230" s="97">
        <v>6.22</v>
      </c>
      <c r="O230" s="97">
        <v>6.22</v>
      </c>
      <c r="P230" s="97">
        <v>6.22</v>
      </c>
      <c r="Q230" s="76"/>
      <c r="R230" s="76" t="s">
        <v>831</v>
      </c>
      <c r="S230" s="76" t="s">
        <v>831</v>
      </c>
      <c r="T230" s="76"/>
      <c r="U230" s="260">
        <f t="shared" si="34"/>
        <v>4.5599999999999996</v>
      </c>
      <c r="V230" s="260">
        <f t="shared" si="34"/>
        <v>4.5599999999999996</v>
      </c>
      <c r="W230" s="260">
        <f t="shared" si="34"/>
        <v>4.5599999999999996</v>
      </c>
      <c r="X230" s="260">
        <f t="shared" si="34"/>
        <v>4.5599999999999996</v>
      </c>
      <c r="Y230" s="260">
        <f t="shared" si="34"/>
        <v>4.5599999999999996</v>
      </c>
      <c r="Z230" s="260">
        <f t="shared" si="34"/>
        <v>4.5599999999999996</v>
      </c>
      <c r="AA230" s="260">
        <f t="shared" si="34"/>
        <v>4.5599999999999996</v>
      </c>
      <c r="AB230" s="260">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855</v>
      </c>
      <c r="G231" s="73"/>
      <c r="H231" s="76" t="s">
        <v>850</v>
      </c>
      <c r="I231" s="96" t="s">
        <v>597</v>
      </c>
      <c r="J231" s="96"/>
      <c r="K231" s="97">
        <v>0.9</v>
      </c>
      <c r="L231" s="97">
        <v>0.9</v>
      </c>
      <c r="M231" s="97">
        <v>0.747</v>
      </c>
      <c r="N231" s="97">
        <v>0.747</v>
      </c>
      <c r="O231" s="97">
        <v>0.747</v>
      </c>
      <c r="P231" s="97">
        <v>0.747</v>
      </c>
      <c r="Q231" s="76"/>
      <c r="R231" s="76" t="s">
        <v>831</v>
      </c>
      <c r="S231" s="76" t="s">
        <v>831</v>
      </c>
      <c r="T231" s="76"/>
      <c r="U231" s="260">
        <f t="shared" si="34"/>
        <v>0.9</v>
      </c>
      <c r="V231" s="260">
        <f t="shared" si="34"/>
        <v>0.9</v>
      </c>
      <c r="W231" s="260">
        <f t="shared" si="34"/>
        <v>0.9</v>
      </c>
      <c r="X231" s="260">
        <f t="shared" si="34"/>
        <v>0.9</v>
      </c>
      <c r="Y231" s="260">
        <f t="shared" si="34"/>
        <v>0.9</v>
      </c>
      <c r="Z231" s="260">
        <f t="shared" si="34"/>
        <v>0.9</v>
      </c>
      <c r="AA231" s="260">
        <f t="shared" si="34"/>
        <v>0.9</v>
      </c>
      <c r="AB231" s="260">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856</v>
      </c>
      <c r="F232" s="70" t="s">
        <v>857</v>
      </c>
      <c r="G232" s="73"/>
      <c r="H232" s="76" t="s">
        <v>858</v>
      </c>
      <c r="I232" s="96" t="s">
        <v>570</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859</v>
      </c>
      <c r="F233" s="70" t="s">
        <v>768</v>
      </c>
      <c r="G233" s="73"/>
      <c r="H233" s="76" t="s">
        <v>860</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3" t="s">
        <v>861</v>
      </c>
      <c r="G234" s="73"/>
      <c r="H234" s="253" t="s">
        <v>862</v>
      </c>
      <c r="I234" s="96"/>
      <c r="J234" s="96" t="s">
        <v>587</v>
      </c>
      <c r="K234" s="76"/>
      <c r="L234" s="76"/>
      <c r="M234" s="76"/>
      <c r="N234" s="76"/>
      <c r="O234" s="76"/>
      <c r="P234" s="76"/>
      <c r="Q234" s="76"/>
      <c r="R234" s="76"/>
      <c r="S234" s="76"/>
      <c r="T234" s="76"/>
      <c r="U234" s="79">
        <v>26</v>
      </c>
      <c r="V234" s="76"/>
      <c r="W234" s="266">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863</v>
      </c>
      <c r="F235" s="70" t="s">
        <v>2695</v>
      </c>
      <c r="G235" s="73"/>
      <c r="H235" s="76" t="s">
        <v>864</v>
      </c>
      <c r="I235" s="96" t="s">
        <v>737</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2694</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865</v>
      </c>
      <c r="G236" s="73"/>
      <c r="H236" s="76" t="s">
        <v>866</v>
      </c>
      <c r="I236" s="96" t="s">
        <v>599</v>
      </c>
      <c r="J236" s="96"/>
      <c r="K236" s="97">
        <v>2</v>
      </c>
      <c r="L236" s="97">
        <v>2</v>
      </c>
      <c r="M236" s="97">
        <v>4</v>
      </c>
      <c r="N236" s="97">
        <v>4</v>
      </c>
      <c r="O236" s="97">
        <v>4</v>
      </c>
      <c r="P236" s="97">
        <v>4</v>
      </c>
      <c r="Q236" s="76"/>
      <c r="R236" s="76" t="s">
        <v>744</v>
      </c>
      <c r="S236" s="76" t="s">
        <v>867</v>
      </c>
      <c r="T236" s="76"/>
      <c r="U236" s="260">
        <f t="shared" ref="U236:AB242" si="37">INDEX($K236:$Q236,1,U$43)</f>
        <v>2</v>
      </c>
      <c r="V236" s="260">
        <f t="shared" si="37"/>
        <v>2</v>
      </c>
      <c r="W236" s="260">
        <f t="shared" si="37"/>
        <v>2</v>
      </c>
      <c r="X236" s="260">
        <f t="shared" si="37"/>
        <v>2</v>
      </c>
      <c r="Y236" s="260">
        <f t="shared" si="37"/>
        <v>2</v>
      </c>
      <c r="Z236" s="260">
        <f t="shared" si="37"/>
        <v>2</v>
      </c>
      <c r="AA236" s="260">
        <f t="shared" si="37"/>
        <v>2</v>
      </c>
      <c r="AB236" s="260">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868</v>
      </c>
      <c r="G237" s="73"/>
      <c r="H237" s="76" t="s">
        <v>869</v>
      </c>
      <c r="I237" s="96" t="s">
        <v>599</v>
      </c>
      <c r="J237" s="96"/>
      <c r="K237" s="97">
        <v>22</v>
      </c>
      <c r="L237" s="97">
        <v>22</v>
      </c>
      <c r="M237" s="97">
        <v>30</v>
      </c>
      <c r="N237" s="97">
        <v>30</v>
      </c>
      <c r="O237" s="97">
        <v>30</v>
      </c>
      <c r="P237" s="97">
        <v>30</v>
      </c>
      <c r="Q237" s="76"/>
      <c r="R237" s="76" t="s">
        <v>744</v>
      </c>
      <c r="S237" s="76" t="s">
        <v>867</v>
      </c>
      <c r="T237" s="76"/>
      <c r="U237" s="260">
        <f t="shared" si="37"/>
        <v>22</v>
      </c>
      <c r="V237" s="260">
        <f t="shared" si="37"/>
        <v>22</v>
      </c>
      <c r="W237" s="260">
        <f t="shared" si="37"/>
        <v>22</v>
      </c>
      <c r="X237" s="260">
        <f t="shared" si="37"/>
        <v>22</v>
      </c>
      <c r="Y237" s="260">
        <f t="shared" si="37"/>
        <v>22</v>
      </c>
      <c r="Z237" s="260">
        <f t="shared" si="37"/>
        <v>22</v>
      </c>
      <c r="AA237" s="260">
        <f t="shared" si="37"/>
        <v>22</v>
      </c>
      <c r="AB237" s="260">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870</v>
      </c>
      <c r="G238" s="73"/>
      <c r="H238" s="76" t="s">
        <v>871</v>
      </c>
      <c r="I238" s="96" t="s">
        <v>570</v>
      </c>
      <c r="J238" s="96"/>
      <c r="K238" s="97">
        <v>1</v>
      </c>
      <c r="L238" s="97">
        <v>1</v>
      </c>
      <c r="M238" s="97">
        <v>0.6</v>
      </c>
      <c r="N238" s="97">
        <v>0.6</v>
      </c>
      <c r="O238" s="97">
        <v>0.6</v>
      </c>
      <c r="P238" s="97">
        <v>0.6</v>
      </c>
      <c r="Q238" s="76"/>
      <c r="R238" s="76" t="s">
        <v>744</v>
      </c>
      <c r="S238" s="76" t="s">
        <v>867</v>
      </c>
      <c r="T238" s="76"/>
      <c r="U238" s="260">
        <f t="shared" si="37"/>
        <v>1</v>
      </c>
      <c r="V238" s="260">
        <f t="shared" si="37"/>
        <v>1</v>
      </c>
      <c r="W238" s="260">
        <f t="shared" si="37"/>
        <v>1</v>
      </c>
      <c r="X238" s="260">
        <f t="shared" si="37"/>
        <v>1</v>
      </c>
      <c r="Y238" s="260">
        <f t="shared" si="37"/>
        <v>1</v>
      </c>
      <c r="Z238" s="260">
        <f t="shared" si="37"/>
        <v>1</v>
      </c>
      <c r="AA238" s="260">
        <f t="shared" si="37"/>
        <v>1</v>
      </c>
      <c r="AB238" s="260">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872</v>
      </c>
      <c r="G239" s="73"/>
      <c r="H239" s="76" t="s">
        <v>873</v>
      </c>
      <c r="I239" s="96" t="s">
        <v>570</v>
      </c>
      <c r="J239" s="96"/>
      <c r="K239" s="76"/>
      <c r="L239" s="76"/>
      <c r="M239" s="97">
        <v>0.6</v>
      </c>
      <c r="N239" s="97">
        <v>0.6</v>
      </c>
      <c r="O239" s="97">
        <v>0.6</v>
      </c>
      <c r="P239" s="97">
        <v>0.105</v>
      </c>
      <c r="Q239" s="76"/>
      <c r="R239" s="76"/>
      <c r="S239" s="76" t="s">
        <v>867</v>
      </c>
      <c r="T239" s="76"/>
      <c r="U239" s="260">
        <f t="shared" si="37"/>
        <v>0</v>
      </c>
      <c r="V239" s="260">
        <f t="shared" si="37"/>
        <v>0</v>
      </c>
      <c r="W239" s="260">
        <f t="shared" si="37"/>
        <v>0</v>
      </c>
      <c r="X239" s="260">
        <f t="shared" si="37"/>
        <v>0</v>
      </c>
      <c r="Y239" s="260">
        <f t="shared" si="37"/>
        <v>0</v>
      </c>
      <c r="Z239" s="260">
        <f t="shared" si="37"/>
        <v>0</v>
      </c>
      <c r="AA239" s="260">
        <f t="shared" si="37"/>
        <v>0</v>
      </c>
      <c r="AB239" s="260">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874</v>
      </c>
      <c r="G240" s="73"/>
      <c r="H240" s="76" t="s">
        <v>875</v>
      </c>
      <c r="I240" s="96" t="s">
        <v>642</v>
      </c>
      <c r="J240" s="96"/>
      <c r="K240" s="97">
        <v>0.94</v>
      </c>
      <c r="L240" s="97">
        <v>0.94</v>
      </c>
      <c r="M240" s="97">
        <v>0.94</v>
      </c>
      <c r="N240" s="97">
        <v>0.94</v>
      </c>
      <c r="O240" s="97">
        <v>0.94</v>
      </c>
      <c r="P240" s="97">
        <v>0.94</v>
      </c>
      <c r="Q240" s="76"/>
      <c r="R240" s="76" t="s">
        <v>696</v>
      </c>
      <c r="S240" s="76" t="s">
        <v>696</v>
      </c>
      <c r="T240" s="76"/>
      <c r="U240" s="260">
        <f t="shared" si="37"/>
        <v>0.94</v>
      </c>
      <c r="V240" s="260">
        <f t="shared" si="37"/>
        <v>0.94</v>
      </c>
      <c r="W240" s="260">
        <f t="shared" si="37"/>
        <v>0.94</v>
      </c>
      <c r="X240" s="260">
        <f t="shared" si="37"/>
        <v>0.94</v>
      </c>
      <c r="Y240" s="260">
        <f t="shared" si="37"/>
        <v>0.94</v>
      </c>
      <c r="Z240" s="260">
        <f t="shared" si="37"/>
        <v>0.94</v>
      </c>
      <c r="AA240" s="260">
        <f t="shared" si="37"/>
        <v>0.94</v>
      </c>
      <c r="AB240" s="260">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876</v>
      </c>
      <c r="G241" s="73"/>
      <c r="H241" s="76" t="s">
        <v>877</v>
      </c>
      <c r="I241" s="96" t="s">
        <v>663</v>
      </c>
      <c r="J241" s="96"/>
      <c r="K241" s="97">
        <v>4.7</v>
      </c>
      <c r="L241" s="97">
        <v>4.7</v>
      </c>
      <c r="M241" s="97">
        <v>3.1</v>
      </c>
      <c r="N241" s="97">
        <v>3.1</v>
      </c>
      <c r="O241" s="97">
        <v>3.1</v>
      </c>
      <c r="P241" s="97">
        <v>3.1</v>
      </c>
      <c r="Q241" s="76"/>
      <c r="R241" s="76" t="s">
        <v>878</v>
      </c>
      <c r="S241" s="76" t="s">
        <v>580</v>
      </c>
      <c r="T241" s="76"/>
      <c r="U241" s="260">
        <f t="shared" si="37"/>
        <v>4.7</v>
      </c>
      <c r="V241" s="260">
        <f t="shared" si="37"/>
        <v>4.7</v>
      </c>
      <c r="W241" s="260">
        <f t="shared" si="37"/>
        <v>4.7</v>
      </c>
      <c r="X241" s="260">
        <f t="shared" si="37"/>
        <v>4.7</v>
      </c>
      <c r="Y241" s="260">
        <f t="shared" si="37"/>
        <v>4.7</v>
      </c>
      <c r="Z241" s="260">
        <f t="shared" si="37"/>
        <v>4.7</v>
      </c>
      <c r="AA241" s="260">
        <f t="shared" si="37"/>
        <v>4.7</v>
      </c>
      <c r="AB241" s="260">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879</v>
      </c>
      <c r="G242" s="73"/>
      <c r="H242" s="76" t="s">
        <v>880</v>
      </c>
      <c r="I242" s="96" t="s">
        <v>570</v>
      </c>
      <c r="J242" s="96"/>
      <c r="K242" s="97">
        <v>1.17</v>
      </c>
      <c r="L242" s="97">
        <v>1.17</v>
      </c>
      <c r="M242" s="97">
        <v>1.17</v>
      </c>
      <c r="N242" s="97">
        <v>1.17</v>
      </c>
      <c r="O242" s="97">
        <v>1.17</v>
      </c>
      <c r="P242" s="97">
        <v>1.17</v>
      </c>
      <c r="Q242" s="76"/>
      <c r="R242" s="76" t="s">
        <v>744</v>
      </c>
      <c r="S242" s="76" t="s">
        <v>618</v>
      </c>
      <c r="T242" s="76"/>
      <c r="U242" s="260">
        <f t="shared" si="37"/>
        <v>1.17</v>
      </c>
      <c r="V242" s="260">
        <f t="shared" si="37"/>
        <v>1.17</v>
      </c>
      <c r="W242" s="260">
        <f t="shared" si="37"/>
        <v>1.17</v>
      </c>
      <c r="X242" s="260">
        <f t="shared" si="37"/>
        <v>1.17</v>
      </c>
      <c r="Y242" s="260">
        <f t="shared" si="37"/>
        <v>1.17</v>
      </c>
      <c r="Z242" s="260">
        <f t="shared" si="37"/>
        <v>1.17</v>
      </c>
      <c r="AA242" s="260">
        <f t="shared" si="37"/>
        <v>1.17</v>
      </c>
      <c r="AB242" s="260">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881</v>
      </c>
      <c r="G243" s="73"/>
      <c r="H243" s="76" t="s">
        <v>624</v>
      </c>
      <c r="I243" s="96" t="s">
        <v>570</v>
      </c>
      <c r="J243" s="96"/>
      <c r="K243" s="97">
        <v>0.77</v>
      </c>
      <c r="L243" s="97">
        <v>0.77</v>
      </c>
      <c r="M243" s="76"/>
      <c r="N243" s="76"/>
      <c r="O243" s="76"/>
      <c r="P243" s="76"/>
      <c r="Q243" s="76"/>
      <c r="R243" s="76" t="s">
        <v>744</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882</v>
      </c>
      <c r="G244" s="73"/>
      <c r="H244" s="76" t="s">
        <v>624</v>
      </c>
      <c r="I244" s="96" t="s">
        <v>570</v>
      </c>
      <c r="J244" s="96"/>
      <c r="K244" s="97">
        <v>0</v>
      </c>
      <c r="L244" s="97">
        <v>0</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883</v>
      </c>
      <c r="G245" s="73"/>
      <c r="H245" s="76" t="s">
        <v>624</v>
      </c>
      <c r="I245" s="96" t="s">
        <v>570</v>
      </c>
      <c r="J245" s="96"/>
      <c r="K245" s="97">
        <v>0.4</v>
      </c>
      <c r="L245" s="97">
        <v>0.4</v>
      </c>
      <c r="M245" s="97">
        <v>0.04</v>
      </c>
      <c r="N245" s="97">
        <v>0.04</v>
      </c>
      <c r="O245" s="97">
        <v>0.04</v>
      </c>
      <c r="P245" s="97">
        <v>0.04</v>
      </c>
      <c r="Q245" s="76"/>
      <c r="R245" s="76" t="s">
        <v>744</v>
      </c>
      <c r="S245" s="76" t="s">
        <v>618</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884</v>
      </c>
      <c r="G246" s="73"/>
      <c r="H246" s="76" t="s">
        <v>624</v>
      </c>
      <c r="I246" s="96" t="s">
        <v>570</v>
      </c>
      <c r="J246" s="96"/>
      <c r="K246" s="97">
        <v>30</v>
      </c>
      <c r="L246" s="97">
        <v>30</v>
      </c>
      <c r="M246" s="97">
        <v>90</v>
      </c>
      <c r="N246" s="97">
        <v>90</v>
      </c>
      <c r="O246" s="97">
        <v>90</v>
      </c>
      <c r="P246" s="97">
        <v>90</v>
      </c>
      <c r="Q246" s="76"/>
      <c r="R246" s="76" t="s">
        <v>618</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885</v>
      </c>
      <c r="G247" s="73"/>
      <c r="H247" s="76" t="s">
        <v>886</v>
      </c>
      <c r="I247" s="96" t="s">
        <v>887</v>
      </c>
      <c r="J247" s="96"/>
      <c r="K247" s="97">
        <v>0.3</v>
      </c>
      <c r="L247" s="97">
        <v>0.3</v>
      </c>
      <c r="M247" s="97">
        <v>0.42</v>
      </c>
      <c r="N247" s="97">
        <v>0.42</v>
      </c>
      <c r="O247" s="97">
        <v>0.42</v>
      </c>
      <c r="P247" s="97">
        <v>0.42</v>
      </c>
      <c r="Q247" s="76"/>
      <c r="R247" s="76" t="s">
        <v>618</v>
      </c>
      <c r="S247" s="76" t="s">
        <v>618</v>
      </c>
      <c r="T247" s="76"/>
      <c r="U247" s="260">
        <f t="shared" ref="U247:AB260" si="38">INDEX($K247:$Q247,1,U$43)</f>
        <v>0.3</v>
      </c>
      <c r="V247" s="260">
        <f t="shared" si="38"/>
        <v>0.3</v>
      </c>
      <c r="W247" s="260">
        <f t="shared" si="38"/>
        <v>0.3</v>
      </c>
      <c r="X247" s="260">
        <f t="shared" si="38"/>
        <v>0.3</v>
      </c>
      <c r="Y247" s="260">
        <f t="shared" si="38"/>
        <v>0.3</v>
      </c>
      <c r="Z247" s="260">
        <f t="shared" si="38"/>
        <v>0.3</v>
      </c>
      <c r="AA247" s="260">
        <f t="shared" si="38"/>
        <v>0.3</v>
      </c>
      <c r="AB247" s="260">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888</v>
      </c>
      <c r="G248" s="73"/>
      <c r="H248" s="76" t="s">
        <v>889</v>
      </c>
      <c r="I248" s="96" t="s">
        <v>887</v>
      </c>
      <c r="J248" s="96"/>
      <c r="K248" s="97">
        <v>0.41</v>
      </c>
      <c r="L248" s="97">
        <v>0.41</v>
      </c>
      <c r="M248" s="97">
        <v>0.57999999999999996</v>
      </c>
      <c r="N248" s="97">
        <v>0.57999999999999996</v>
      </c>
      <c r="O248" s="97">
        <v>0.57999999999999996</v>
      </c>
      <c r="P248" s="97">
        <v>0.57999999999999996</v>
      </c>
      <c r="Q248" s="76"/>
      <c r="R248" s="76" t="s">
        <v>890</v>
      </c>
      <c r="S248" s="76" t="s">
        <v>890</v>
      </c>
      <c r="T248" s="76"/>
      <c r="U248" s="260">
        <f t="shared" si="38"/>
        <v>0.41</v>
      </c>
      <c r="V248" s="260">
        <f t="shared" si="38"/>
        <v>0.41</v>
      </c>
      <c r="W248" s="260">
        <f t="shared" si="38"/>
        <v>0.41</v>
      </c>
      <c r="X248" s="260">
        <f t="shared" si="38"/>
        <v>0.41</v>
      </c>
      <c r="Y248" s="260">
        <f t="shared" si="38"/>
        <v>0.41</v>
      </c>
      <c r="Z248" s="260">
        <f t="shared" si="38"/>
        <v>0.41</v>
      </c>
      <c r="AA248" s="260">
        <f t="shared" si="38"/>
        <v>0.41</v>
      </c>
      <c r="AB248" s="260">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891</v>
      </c>
      <c r="G249" s="73"/>
      <c r="H249" s="76" t="s">
        <v>892</v>
      </c>
      <c r="I249" s="96" t="s">
        <v>599</v>
      </c>
      <c r="J249" s="96"/>
      <c r="K249" s="97">
        <v>7.0999999999999994E-2</v>
      </c>
      <c r="L249" s="97">
        <v>7.0999999999999994E-2</v>
      </c>
      <c r="M249" s="97">
        <v>3.5999999999999997E-2</v>
      </c>
      <c r="N249" s="97">
        <v>3.5999999999999997E-2</v>
      </c>
      <c r="O249" s="97">
        <v>3.5999999999999997E-2</v>
      </c>
      <c r="P249" s="97">
        <v>3.5999999999999997E-2</v>
      </c>
      <c r="Q249" s="76"/>
      <c r="R249" s="76" t="s">
        <v>890</v>
      </c>
      <c r="S249" s="76" t="s">
        <v>890</v>
      </c>
      <c r="T249" s="76"/>
      <c r="U249" s="260">
        <f t="shared" si="38"/>
        <v>7.0999999999999994E-2</v>
      </c>
      <c r="V249" s="260">
        <f t="shared" si="38"/>
        <v>7.0999999999999994E-2</v>
      </c>
      <c r="W249" s="260">
        <f t="shared" si="38"/>
        <v>7.0999999999999994E-2</v>
      </c>
      <c r="X249" s="260">
        <f t="shared" si="38"/>
        <v>7.0999999999999994E-2</v>
      </c>
      <c r="Y249" s="260">
        <f t="shared" si="38"/>
        <v>7.0999999999999994E-2</v>
      </c>
      <c r="Z249" s="260">
        <f t="shared" si="38"/>
        <v>7.0999999999999994E-2</v>
      </c>
      <c r="AA249" s="260">
        <f t="shared" si="38"/>
        <v>7.0999999999999994E-2</v>
      </c>
      <c r="AB249" s="260">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893</v>
      </c>
      <c r="G250" s="73"/>
      <c r="H250" s="76" t="s">
        <v>894</v>
      </c>
      <c r="I250" s="96" t="s">
        <v>642</v>
      </c>
      <c r="J250" s="96"/>
      <c r="K250" s="97">
        <v>4.4999999999999998E-2</v>
      </c>
      <c r="L250" s="97">
        <v>4.4999999999999998E-2</v>
      </c>
      <c r="M250" s="97">
        <v>3.2000000000000001E-2</v>
      </c>
      <c r="N250" s="97">
        <v>3.2000000000000001E-2</v>
      </c>
      <c r="O250" s="97">
        <v>3.2000000000000001E-2</v>
      </c>
      <c r="P250" s="97">
        <v>3.2000000000000001E-2</v>
      </c>
      <c r="Q250" s="76"/>
      <c r="R250" s="76" t="s">
        <v>878</v>
      </c>
      <c r="S250" s="76" t="s">
        <v>890</v>
      </c>
      <c r="T250" s="76"/>
      <c r="U250" s="260">
        <f t="shared" si="38"/>
        <v>4.4999999999999998E-2</v>
      </c>
      <c r="V250" s="260">
        <f t="shared" si="38"/>
        <v>4.4999999999999998E-2</v>
      </c>
      <c r="W250" s="260">
        <f t="shared" si="38"/>
        <v>4.4999999999999998E-2</v>
      </c>
      <c r="X250" s="260">
        <f t="shared" si="38"/>
        <v>4.4999999999999998E-2</v>
      </c>
      <c r="Y250" s="260">
        <f t="shared" si="38"/>
        <v>4.4999999999999998E-2</v>
      </c>
      <c r="Z250" s="260">
        <f t="shared" si="38"/>
        <v>4.4999999999999998E-2</v>
      </c>
      <c r="AA250" s="260">
        <f t="shared" si="38"/>
        <v>4.4999999999999998E-2</v>
      </c>
      <c r="AB250" s="260">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895</v>
      </c>
      <c r="G251" s="73"/>
      <c r="H251" s="76" t="s">
        <v>896</v>
      </c>
      <c r="I251" s="96" t="s">
        <v>570</v>
      </c>
      <c r="J251" s="96"/>
      <c r="K251" s="97">
        <v>0.7</v>
      </c>
      <c r="L251" s="97">
        <v>0.7</v>
      </c>
      <c r="M251" s="97">
        <v>0.7</v>
      </c>
      <c r="N251" s="97">
        <v>0.7</v>
      </c>
      <c r="O251" s="97">
        <v>0.7</v>
      </c>
      <c r="P251" s="97">
        <v>0.7</v>
      </c>
      <c r="Q251" s="76"/>
      <c r="R251" s="76" t="s">
        <v>744</v>
      </c>
      <c r="S251" s="76" t="s">
        <v>618</v>
      </c>
      <c r="T251" s="76"/>
      <c r="U251" s="260">
        <f t="shared" si="38"/>
        <v>0.7</v>
      </c>
      <c r="V251" s="260">
        <f t="shared" si="38"/>
        <v>0.7</v>
      </c>
      <c r="W251" s="260">
        <f t="shared" si="38"/>
        <v>0.7</v>
      </c>
      <c r="X251" s="260">
        <f t="shared" si="38"/>
        <v>0.7</v>
      </c>
      <c r="Y251" s="260">
        <f t="shared" si="38"/>
        <v>0.7</v>
      </c>
      <c r="Z251" s="260">
        <f t="shared" si="38"/>
        <v>0.7</v>
      </c>
      <c r="AA251" s="260">
        <f t="shared" si="38"/>
        <v>0.7</v>
      </c>
      <c r="AB251" s="260">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897</v>
      </c>
      <c r="G252" s="73"/>
      <c r="H252" s="76" t="s">
        <v>898</v>
      </c>
      <c r="I252" s="96" t="s">
        <v>570</v>
      </c>
      <c r="J252" s="96"/>
      <c r="K252" s="97">
        <v>0.01</v>
      </c>
      <c r="L252" s="97">
        <v>0.01</v>
      </c>
      <c r="M252" s="97">
        <v>0.01</v>
      </c>
      <c r="N252" s="97">
        <v>0.01</v>
      </c>
      <c r="O252" s="97">
        <v>0.01</v>
      </c>
      <c r="P252" s="97">
        <v>0.01</v>
      </c>
      <c r="Q252" s="76"/>
      <c r="R252" s="76" t="s">
        <v>744</v>
      </c>
      <c r="S252" s="76" t="s">
        <v>618</v>
      </c>
      <c r="T252" s="76"/>
      <c r="U252" s="260">
        <f t="shared" si="38"/>
        <v>0.01</v>
      </c>
      <c r="V252" s="260">
        <f t="shared" si="38"/>
        <v>0.01</v>
      </c>
      <c r="W252" s="260">
        <f t="shared" si="38"/>
        <v>0.01</v>
      </c>
      <c r="X252" s="260">
        <f t="shared" si="38"/>
        <v>0.01</v>
      </c>
      <c r="Y252" s="260">
        <f t="shared" si="38"/>
        <v>0.01</v>
      </c>
      <c r="Z252" s="260">
        <f t="shared" si="38"/>
        <v>0.01</v>
      </c>
      <c r="AA252" s="260">
        <f t="shared" si="38"/>
        <v>0.01</v>
      </c>
      <c r="AB252" s="260">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899</v>
      </c>
      <c r="G253" s="73"/>
      <c r="H253" s="76" t="s">
        <v>898</v>
      </c>
      <c r="I253" s="96" t="s">
        <v>570</v>
      </c>
      <c r="J253" s="96"/>
      <c r="K253" s="97">
        <v>0.1</v>
      </c>
      <c r="L253" s="97">
        <v>0.1</v>
      </c>
      <c r="M253" s="97">
        <v>0.1</v>
      </c>
      <c r="N253" s="97">
        <v>0.1</v>
      </c>
      <c r="O253" s="97">
        <v>0.1</v>
      </c>
      <c r="P253" s="97">
        <v>0.1</v>
      </c>
      <c r="Q253" s="76"/>
      <c r="R253" s="76" t="s">
        <v>744</v>
      </c>
      <c r="S253" s="76" t="s">
        <v>618</v>
      </c>
      <c r="T253" s="76"/>
      <c r="U253" s="260">
        <f t="shared" si="38"/>
        <v>0.1</v>
      </c>
      <c r="V253" s="260">
        <f t="shared" si="38"/>
        <v>0.1</v>
      </c>
      <c r="W253" s="260">
        <f t="shared" si="38"/>
        <v>0.1</v>
      </c>
      <c r="X253" s="260">
        <f t="shared" si="38"/>
        <v>0.1</v>
      </c>
      <c r="Y253" s="260">
        <f t="shared" si="38"/>
        <v>0.1</v>
      </c>
      <c r="Z253" s="260">
        <f t="shared" si="38"/>
        <v>0.1</v>
      </c>
      <c r="AA253" s="260">
        <f t="shared" si="38"/>
        <v>0.1</v>
      </c>
      <c r="AB253" s="260">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900</v>
      </c>
      <c r="G254" s="73"/>
      <c r="H254" s="76" t="s">
        <v>901</v>
      </c>
      <c r="I254" s="96" t="s">
        <v>570</v>
      </c>
      <c r="J254" s="96"/>
      <c r="K254" s="97">
        <v>1.6</v>
      </c>
      <c r="L254" s="97">
        <v>1.6</v>
      </c>
      <c r="M254" s="97">
        <v>1.6</v>
      </c>
      <c r="N254" s="97">
        <v>1.6</v>
      </c>
      <c r="O254" s="97">
        <v>1.6</v>
      </c>
      <c r="P254" s="97">
        <v>1.6</v>
      </c>
      <c r="Q254" s="76"/>
      <c r="R254" s="76" t="s">
        <v>744</v>
      </c>
      <c r="S254" s="76" t="s">
        <v>618</v>
      </c>
      <c r="T254" s="76"/>
      <c r="U254" s="260">
        <f t="shared" si="38"/>
        <v>1.6</v>
      </c>
      <c r="V254" s="260">
        <f t="shared" si="38"/>
        <v>1.6</v>
      </c>
      <c r="W254" s="260">
        <f t="shared" si="38"/>
        <v>1.6</v>
      </c>
      <c r="X254" s="260">
        <f t="shared" si="38"/>
        <v>1.6</v>
      </c>
      <c r="Y254" s="260">
        <f t="shared" si="38"/>
        <v>1.6</v>
      </c>
      <c r="Z254" s="260">
        <f t="shared" si="38"/>
        <v>1.6</v>
      </c>
      <c r="AA254" s="260">
        <f t="shared" si="38"/>
        <v>1.6</v>
      </c>
      <c r="AB254" s="260">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902</v>
      </c>
      <c r="G255" s="73"/>
      <c r="H255" s="76" t="s">
        <v>903</v>
      </c>
      <c r="I255" s="96" t="s">
        <v>570</v>
      </c>
      <c r="J255" s="96"/>
      <c r="K255" s="97">
        <v>4</v>
      </c>
      <c r="L255" s="97">
        <v>4</v>
      </c>
      <c r="M255" s="97">
        <v>4</v>
      </c>
      <c r="N255" s="97">
        <v>4</v>
      </c>
      <c r="O255" s="97">
        <v>4</v>
      </c>
      <c r="P255" s="97">
        <v>4</v>
      </c>
      <c r="Q255" s="76"/>
      <c r="R255" s="76" t="s">
        <v>744</v>
      </c>
      <c r="S255" s="76" t="s">
        <v>618</v>
      </c>
      <c r="T255" s="76"/>
      <c r="U255" s="260">
        <f t="shared" si="38"/>
        <v>4</v>
      </c>
      <c r="V255" s="260">
        <f t="shared" si="38"/>
        <v>4</v>
      </c>
      <c r="W255" s="260">
        <f t="shared" si="38"/>
        <v>4</v>
      </c>
      <c r="X255" s="260">
        <f t="shared" si="38"/>
        <v>4</v>
      </c>
      <c r="Y255" s="260">
        <f t="shared" si="38"/>
        <v>4</v>
      </c>
      <c r="Z255" s="260">
        <f t="shared" si="38"/>
        <v>4</v>
      </c>
      <c r="AA255" s="260">
        <f t="shared" si="38"/>
        <v>4</v>
      </c>
      <c r="AB255" s="260">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904</v>
      </c>
      <c r="G256" s="73"/>
      <c r="H256" s="76" t="s">
        <v>905</v>
      </c>
      <c r="I256" s="96" t="s">
        <v>570</v>
      </c>
      <c r="J256" s="96"/>
      <c r="K256" s="97">
        <v>8.0000000000000002E-3</v>
      </c>
      <c r="L256" s="97">
        <v>8.0000000000000002E-3</v>
      </c>
      <c r="M256" s="97">
        <v>4.0000000000000001E-3</v>
      </c>
      <c r="N256" s="97">
        <v>4.0000000000000001E-3</v>
      </c>
      <c r="O256" s="97">
        <v>4.0000000000000001E-3</v>
      </c>
      <c r="P256" s="97">
        <v>2.7000000000000001E-3</v>
      </c>
      <c r="Q256" s="76"/>
      <c r="R256" s="76" t="s">
        <v>744</v>
      </c>
      <c r="S256" s="76" t="s">
        <v>618</v>
      </c>
      <c r="T256" s="76"/>
      <c r="U256" s="260">
        <f t="shared" si="38"/>
        <v>8.0000000000000002E-3</v>
      </c>
      <c r="V256" s="260">
        <f t="shared" si="38"/>
        <v>8.0000000000000002E-3</v>
      </c>
      <c r="W256" s="260">
        <f t="shared" si="38"/>
        <v>8.0000000000000002E-3</v>
      </c>
      <c r="X256" s="260">
        <f t="shared" si="38"/>
        <v>8.0000000000000002E-3</v>
      </c>
      <c r="Y256" s="260">
        <f t="shared" si="38"/>
        <v>8.0000000000000002E-3</v>
      </c>
      <c r="Z256" s="260">
        <f t="shared" si="38"/>
        <v>8.0000000000000002E-3</v>
      </c>
      <c r="AA256" s="260">
        <f t="shared" si="38"/>
        <v>8.0000000000000002E-3</v>
      </c>
      <c r="AB256" s="260">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906</v>
      </c>
      <c r="G257" s="73"/>
      <c r="H257" s="76" t="s">
        <v>905</v>
      </c>
      <c r="I257" s="96" t="s">
        <v>570</v>
      </c>
      <c r="J257" s="96"/>
      <c r="K257" s="97">
        <v>1.2E-2</v>
      </c>
      <c r="L257" s="97">
        <v>1.2E-2</v>
      </c>
      <c r="M257" s="97">
        <v>6.0000000000000001E-3</v>
      </c>
      <c r="N257" s="97">
        <v>6.0000000000000001E-3</v>
      </c>
      <c r="O257" s="97">
        <v>6.0000000000000001E-3</v>
      </c>
      <c r="P257" s="97">
        <v>4.0000000000000001E-3</v>
      </c>
      <c r="Q257" s="76"/>
      <c r="R257" s="76" t="s">
        <v>744</v>
      </c>
      <c r="S257" s="76" t="s">
        <v>618</v>
      </c>
      <c r="T257" s="76"/>
      <c r="U257" s="260">
        <f t="shared" si="38"/>
        <v>1.2E-2</v>
      </c>
      <c r="V257" s="260">
        <f t="shared" si="38"/>
        <v>1.2E-2</v>
      </c>
      <c r="W257" s="260">
        <f t="shared" si="38"/>
        <v>1.2E-2</v>
      </c>
      <c r="X257" s="260">
        <f t="shared" si="38"/>
        <v>1.2E-2</v>
      </c>
      <c r="Y257" s="260">
        <f t="shared" si="38"/>
        <v>1.2E-2</v>
      </c>
      <c r="Z257" s="260">
        <f t="shared" si="38"/>
        <v>1.2E-2</v>
      </c>
      <c r="AA257" s="260">
        <f t="shared" si="38"/>
        <v>1.2E-2</v>
      </c>
      <c r="AB257" s="260">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907</v>
      </c>
      <c r="G258" s="73"/>
      <c r="H258" s="76" t="s">
        <v>908</v>
      </c>
      <c r="I258" s="96" t="s">
        <v>570</v>
      </c>
      <c r="J258" s="96"/>
      <c r="K258" s="97">
        <v>3</v>
      </c>
      <c r="L258" s="97">
        <v>3</v>
      </c>
      <c r="M258" s="97">
        <v>3</v>
      </c>
      <c r="N258" s="97">
        <v>3</v>
      </c>
      <c r="O258" s="97">
        <v>3</v>
      </c>
      <c r="P258" s="97">
        <v>3</v>
      </c>
      <c r="Q258" s="76"/>
      <c r="R258" s="76" t="s">
        <v>744</v>
      </c>
      <c r="S258" s="76" t="s">
        <v>618</v>
      </c>
      <c r="T258" s="76"/>
      <c r="U258" s="260">
        <f t="shared" si="38"/>
        <v>3</v>
      </c>
      <c r="V258" s="260">
        <f t="shared" si="38"/>
        <v>3</v>
      </c>
      <c r="W258" s="260">
        <f t="shared" si="38"/>
        <v>3</v>
      </c>
      <c r="X258" s="260">
        <f t="shared" si="38"/>
        <v>3</v>
      </c>
      <c r="Y258" s="260">
        <f t="shared" si="38"/>
        <v>3</v>
      </c>
      <c r="Z258" s="260">
        <f t="shared" si="38"/>
        <v>3</v>
      </c>
      <c r="AA258" s="260">
        <f t="shared" si="38"/>
        <v>3</v>
      </c>
      <c r="AB258" s="260">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909</v>
      </c>
      <c r="G259" s="73"/>
      <c r="H259" s="76" t="s">
        <v>908</v>
      </c>
      <c r="I259" s="96" t="s">
        <v>570</v>
      </c>
      <c r="J259" s="96"/>
      <c r="K259" s="97">
        <v>0.6</v>
      </c>
      <c r="L259" s="97">
        <v>0.6</v>
      </c>
      <c r="M259" s="97">
        <v>0.6</v>
      </c>
      <c r="N259" s="97">
        <v>0.6</v>
      </c>
      <c r="O259" s="97">
        <v>0.6</v>
      </c>
      <c r="P259" s="97">
        <v>0.6</v>
      </c>
      <c r="Q259" s="76"/>
      <c r="R259" s="76" t="s">
        <v>910</v>
      </c>
      <c r="S259" s="76" t="s">
        <v>618</v>
      </c>
      <c r="T259" s="76"/>
      <c r="U259" s="260">
        <f t="shared" si="38"/>
        <v>0.6</v>
      </c>
      <c r="V259" s="260">
        <f t="shared" si="38"/>
        <v>0.6</v>
      </c>
      <c r="W259" s="260">
        <f t="shared" si="38"/>
        <v>0.6</v>
      </c>
      <c r="X259" s="260">
        <f t="shared" si="38"/>
        <v>0.6</v>
      </c>
      <c r="Y259" s="260">
        <f t="shared" si="38"/>
        <v>0.6</v>
      </c>
      <c r="Z259" s="260">
        <f t="shared" si="38"/>
        <v>0.6</v>
      </c>
      <c r="AA259" s="260">
        <f t="shared" si="38"/>
        <v>0.6</v>
      </c>
      <c r="AB259" s="260">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911</v>
      </c>
      <c r="G260" s="73"/>
      <c r="H260" s="76" t="s">
        <v>912</v>
      </c>
      <c r="I260" s="96" t="s">
        <v>570</v>
      </c>
      <c r="J260" s="96"/>
      <c r="K260" s="97">
        <v>0.17</v>
      </c>
      <c r="L260" s="97">
        <v>0.17</v>
      </c>
      <c r="M260" s="97">
        <v>0.13</v>
      </c>
      <c r="N260" s="97">
        <v>0.13</v>
      </c>
      <c r="O260" s="97">
        <v>0.13</v>
      </c>
      <c r="P260" s="97">
        <v>0.13</v>
      </c>
      <c r="Q260" s="76"/>
      <c r="R260" s="76" t="s">
        <v>913</v>
      </c>
      <c r="S260" s="76"/>
      <c r="T260" s="76"/>
      <c r="U260" s="260">
        <f t="shared" si="38"/>
        <v>0.17</v>
      </c>
      <c r="V260" s="260">
        <f t="shared" si="38"/>
        <v>0.17</v>
      </c>
      <c r="W260" s="260">
        <f t="shared" si="38"/>
        <v>0.17</v>
      </c>
      <c r="X260" s="260">
        <f t="shared" si="38"/>
        <v>0.17</v>
      </c>
      <c r="Y260" s="260">
        <f t="shared" si="38"/>
        <v>0.17</v>
      </c>
      <c r="Z260" s="260">
        <f t="shared" si="38"/>
        <v>0.17</v>
      </c>
      <c r="AA260" s="260">
        <f t="shared" si="38"/>
        <v>0.17</v>
      </c>
      <c r="AB260" s="260">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3" t="s">
        <v>494</v>
      </c>
      <c r="G261" s="73"/>
      <c r="H261" s="253" t="s">
        <v>914</v>
      </c>
      <c r="I261" s="96"/>
      <c r="J261" s="96" t="s">
        <v>587</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915</v>
      </c>
      <c r="F262" s="70" t="s">
        <v>916</v>
      </c>
      <c r="G262" s="73"/>
      <c r="H262" s="76" t="s">
        <v>563</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917</v>
      </c>
      <c r="G263" s="73"/>
      <c r="H263" s="76" t="s">
        <v>2338</v>
      </c>
      <c r="I263" s="96" t="s">
        <v>918</v>
      </c>
      <c r="J263" s="96"/>
      <c r="K263" s="97">
        <f>23*0.85</f>
        <v>19.55</v>
      </c>
      <c r="L263" s="97">
        <f>22*0.85</f>
        <v>18.7</v>
      </c>
      <c r="M263" s="76"/>
      <c r="N263" s="76"/>
      <c r="O263" s="76"/>
      <c r="P263" s="76"/>
      <c r="Q263" s="76"/>
      <c r="R263" s="76" t="s">
        <v>919</v>
      </c>
      <c r="S263" s="76"/>
      <c r="T263" s="76"/>
      <c r="U263" s="260">
        <f t="shared" ref="U263:AB264" si="40">INDEX($K263:$Q263,1,U$43)</f>
        <v>19.55</v>
      </c>
      <c r="V263" s="260">
        <f t="shared" si="40"/>
        <v>19.55</v>
      </c>
      <c r="W263" s="260">
        <f t="shared" si="40"/>
        <v>19.55</v>
      </c>
      <c r="X263" s="260">
        <f t="shared" si="40"/>
        <v>18.7</v>
      </c>
      <c r="Y263" s="260">
        <f t="shared" si="40"/>
        <v>18.7</v>
      </c>
      <c r="Z263" s="260">
        <f t="shared" si="40"/>
        <v>18.7</v>
      </c>
      <c r="AA263" s="260">
        <f t="shared" si="40"/>
        <v>18.7</v>
      </c>
      <c r="AB263" s="260">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920</v>
      </c>
      <c r="G264" s="73"/>
      <c r="H264" s="76" t="s">
        <v>921</v>
      </c>
      <c r="I264" s="96" t="s">
        <v>922</v>
      </c>
      <c r="J264" s="96"/>
      <c r="K264" s="97">
        <v>4.0000000000000001E-3</v>
      </c>
      <c r="L264" s="97">
        <v>4.0000000000000001E-3</v>
      </c>
      <c r="M264" s="76"/>
      <c r="N264" s="76"/>
      <c r="O264" s="76"/>
      <c r="P264" s="76"/>
      <c r="Q264" s="76"/>
      <c r="R264" s="76" t="s">
        <v>580</v>
      </c>
      <c r="S264" s="76"/>
      <c r="T264" s="76"/>
      <c r="U264" s="260">
        <f t="shared" si="40"/>
        <v>4.0000000000000001E-3</v>
      </c>
      <c r="V264" s="260">
        <f t="shared" si="40"/>
        <v>4.0000000000000001E-3</v>
      </c>
      <c r="W264" s="260">
        <f t="shared" si="40"/>
        <v>4.0000000000000001E-3</v>
      </c>
      <c r="X264" s="260">
        <f t="shared" si="40"/>
        <v>4.0000000000000001E-3</v>
      </c>
      <c r="Y264" s="260">
        <f t="shared" si="40"/>
        <v>4.0000000000000001E-3</v>
      </c>
      <c r="Z264" s="260">
        <f t="shared" si="40"/>
        <v>4.0000000000000001E-3</v>
      </c>
      <c r="AA264" s="260">
        <f t="shared" si="40"/>
        <v>4.0000000000000001E-3</v>
      </c>
      <c r="AB264" s="260">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923</v>
      </c>
      <c r="G265" s="73"/>
      <c r="H265" s="76" t="s">
        <v>2339</v>
      </c>
      <c r="I265" s="96" t="s">
        <v>642</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2312</v>
      </c>
      <c r="AE265" s="76"/>
      <c r="AF265" s="97">
        <v>1</v>
      </c>
      <c r="AG265" s="97">
        <v>1</v>
      </c>
      <c r="AH265" s="73"/>
      <c r="AI265" s="57"/>
      <c r="AJ265" s="45"/>
      <c r="AK265" s="45"/>
      <c r="AL265" s="45"/>
    </row>
    <row r="266" spans="1:38" outlineLevel="2" x14ac:dyDescent="0.25">
      <c r="A266" s="45"/>
      <c r="B266" s="54"/>
      <c r="C266" s="47">
        <f t="shared" si="39"/>
        <v>3</v>
      </c>
      <c r="D266" s="73"/>
      <c r="E266" s="70"/>
      <c r="F266" s="70" t="s">
        <v>924</v>
      </c>
      <c r="G266" s="73"/>
      <c r="H266" s="76" t="s">
        <v>925</v>
      </c>
      <c r="I266" s="96" t="s">
        <v>642</v>
      </c>
      <c r="J266" s="96"/>
      <c r="K266" s="97">
        <v>0.04</v>
      </c>
      <c r="L266" s="97">
        <v>0.04</v>
      </c>
      <c r="M266" s="76"/>
      <c r="N266" s="76"/>
      <c r="O266" s="76"/>
      <c r="P266" s="76"/>
      <c r="Q266" s="76"/>
      <c r="R266" s="76" t="s">
        <v>926</v>
      </c>
      <c r="S266" s="76"/>
      <c r="T266" s="76"/>
      <c r="U266" s="260">
        <f t="shared" ref="U266:AB267" si="41">INDEX($K266:$Q266,1,U$43)</f>
        <v>0.04</v>
      </c>
      <c r="V266" s="260">
        <f t="shared" si="41"/>
        <v>0.04</v>
      </c>
      <c r="W266" s="260">
        <f t="shared" si="41"/>
        <v>0.04</v>
      </c>
      <c r="X266" s="260">
        <f t="shared" si="41"/>
        <v>0.04</v>
      </c>
      <c r="Y266" s="260">
        <f t="shared" si="41"/>
        <v>0.04</v>
      </c>
      <c r="Z266" s="260">
        <f t="shared" si="41"/>
        <v>0.04</v>
      </c>
      <c r="AA266" s="260">
        <f t="shared" si="41"/>
        <v>0.04</v>
      </c>
      <c r="AB266" s="260">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927</v>
      </c>
      <c r="G267" s="73"/>
      <c r="H267" s="76" t="s">
        <v>928</v>
      </c>
      <c r="I267" s="96" t="s">
        <v>597</v>
      </c>
      <c r="J267" s="96"/>
      <c r="K267" s="97">
        <v>0.25</v>
      </c>
      <c r="L267" s="97">
        <v>0.25</v>
      </c>
      <c r="M267" s="76"/>
      <c r="N267" s="76"/>
      <c r="O267" s="76"/>
      <c r="P267" s="76"/>
      <c r="Q267" s="76"/>
      <c r="R267" s="76" t="s">
        <v>929</v>
      </c>
      <c r="S267" s="76"/>
      <c r="T267" s="76"/>
      <c r="U267" s="260">
        <f t="shared" si="41"/>
        <v>0.25</v>
      </c>
      <c r="V267" s="260">
        <f t="shared" si="41"/>
        <v>0.25</v>
      </c>
      <c r="W267" s="260">
        <f t="shared" si="41"/>
        <v>0.25</v>
      </c>
      <c r="X267" s="260">
        <f t="shared" si="41"/>
        <v>0.25</v>
      </c>
      <c r="Y267" s="260">
        <f t="shared" si="41"/>
        <v>0.25</v>
      </c>
      <c r="Z267" s="260">
        <f t="shared" si="41"/>
        <v>0.25</v>
      </c>
      <c r="AA267" s="260">
        <f t="shared" si="41"/>
        <v>0.25</v>
      </c>
      <c r="AB267" s="260">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930</v>
      </c>
      <c r="G268" s="73"/>
      <c r="H268" s="76" t="s">
        <v>931</v>
      </c>
      <c r="I268" s="96" t="s">
        <v>932</v>
      </c>
      <c r="J268" s="96"/>
      <c r="K268" s="76"/>
      <c r="L268" s="76"/>
      <c r="M268" s="76"/>
      <c r="N268" s="76"/>
      <c r="O268" s="76"/>
      <c r="P268" s="76"/>
      <c r="Q268" s="76"/>
      <c r="R268" s="76" t="s">
        <v>933</v>
      </c>
      <c r="S268" s="76"/>
      <c r="T268" s="76"/>
      <c r="U268" s="97">
        <v>0.03</v>
      </c>
      <c r="V268" s="97">
        <v>0.03</v>
      </c>
      <c r="W268" s="97">
        <v>0.03</v>
      </c>
      <c r="X268" s="97">
        <v>0.2</v>
      </c>
      <c r="Y268" s="97">
        <v>0.06</v>
      </c>
      <c r="Z268" s="97">
        <v>0.06</v>
      </c>
      <c r="AA268" s="97">
        <v>0.11</v>
      </c>
      <c r="AB268" s="97">
        <v>0.11</v>
      </c>
      <c r="AC268" s="76"/>
      <c r="AD268" s="97" t="s">
        <v>933</v>
      </c>
      <c r="AE268" s="76"/>
      <c r="AF268" s="97">
        <v>1</v>
      </c>
      <c r="AG268" s="97">
        <v>1</v>
      </c>
      <c r="AH268" s="73"/>
      <c r="AI268" s="57"/>
      <c r="AJ268" s="45"/>
      <c r="AK268" s="45"/>
      <c r="AL268" s="45"/>
    </row>
    <row r="269" spans="1:38" outlineLevel="2" x14ac:dyDescent="0.25">
      <c r="A269" s="45"/>
      <c r="B269" s="54"/>
      <c r="C269" s="47">
        <f t="shared" si="39"/>
        <v>3</v>
      </c>
      <c r="D269" s="73"/>
      <c r="E269" s="70"/>
      <c r="F269" s="70" t="s">
        <v>934</v>
      </c>
      <c r="G269" s="73"/>
      <c r="H269" s="76" t="s">
        <v>935</v>
      </c>
      <c r="I269" s="96" t="s">
        <v>592</v>
      </c>
      <c r="J269" s="96"/>
      <c r="K269" s="97">
        <v>1.35</v>
      </c>
      <c r="L269" s="97">
        <v>1.35</v>
      </c>
      <c r="M269" s="76"/>
      <c r="N269" s="76"/>
      <c r="O269" s="76"/>
      <c r="P269" s="76"/>
      <c r="Q269" s="76"/>
      <c r="R269" s="76" t="s">
        <v>936</v>
      </c>
      <c r="S269" s="76"/>
      <c r="T269" s="76"/>
      <c r="U269" s="260">
        <f t="shared" ref="U269:AB272" si="42">INDEX($K269:$Q269,1,U$43)</f>
        <v>1.35</v>
      </c>
      <c r="V269" s="260">
        <f t="shared" si="42"/>
        <v>1.35</v>
      </c>
      <c r="W269" s="260">
        <f t="shared" si="42"/>
        <v>1.35</v>
      </c>
      <c r="X269" s="260">
        <f t="shared" si="42"/>
        <v>1.35</v>
      </c>
      <c r="Y269" s="260">
        <f t="shared" si="42"/>
        <v>1.35</v>
      </c>
      <c r="Z269" s="260">
        <f t="shared" si="42"/>
        <v>1.35</v>
      </c>
      <c r="AA269" s="260">
        <f t="shared" si="42"/>
        <v>1.35</v>
      </c>
      <c r="AB269" s="260">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937</v>
      </c>
      <c r="G270" s="73"/>
      <c r="H270" s="76" t="s">
        <v>938</v>
      </c>
      <c r="I270" s="96" t="s">
        <v>695</v>
      </c>
      <c r="J270" s="96"/>
      <c r="K270" s="97">
        <v>1.6E-2</v>
      </c>
      <c r="L270" s="97">
        <v>1.6E-2</v>
      </c>
      <c r="M270" s="76"/>
      <c r="N270" s="76"/>
      <c r="O270" s="76"/>
      <c r="P270" s="76"/>
      <c r="Q270" s="76"/>
      <c r="R270" s="76" t="s">
        <v>939</v>
      </c>
      <c r="S270" s="76"/>
      <c r="T270" s="76"/>
      <c r="U270" s="260">
        <f t="shared" si="42"/>
        <v>1.6E-2</v>
      </c>
      <c r="V270" s="260">
        <f t="shared" si="42"/>
        <v>1.6E-2</v>
      </c>
      <c r="W270" s="260">
        <f t="shared" si="42"/>
        <v>1.6E-2</v>
      </c>
      <c r="X270" s="260">
        <f t="shared" si="42"/>
        <v>1.6E-2</v>
      </c>
      <c r="Y270" s="260">
        <f t="shared" si="42"/>
        <v>1.6E-2</v>
      </c>
      <c r="Z270" s="260">
        <f t="shared" si="42"/>
        <v>1.6E-2</v>
      </c>
      <c r="AA270" s="260">
        <f t="shared" si="42"/>
        <v>1.6E-2</v>
      </c>
      <c r="AB270" s="260">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940</v>
      </c>
      <c r="G271" s="73"/>
      <c r="H271" s="76" t="s">
        <v>941</v>
      </c>
      <c r="I271" s="96" t="s">
        <v>642</v>
      </c>
      <c r="J271" s="96"/>
      <c r="K271" s="97">
        <v>1</v>
      </c>
      <c r="L271" s="97">
        <v>1</v>
      </c>
      <c r="M271" s="76"/>
      <c r="N271" s="76"/>
      <c r="O271" s="76"/>
      <c r="P271" s="76"/>
      <c r="Q271" s="76"/>
      <c r="R271" s="76" t="s">
        <v>655</v>
      </c>
      <c r="S271" s="76"/>
      <c r="T271" s="76"/>
      <c r="U271" s="260">
        <f t="shared" si="42"/>
        <v>1</v>
      </c>
      <c r="V271" s="260">
        <f t="shared" si="42"/>
        <v>1</v>
      </c>
      <c r="W271" s="260">
        <f t="shared" si="42"/>
        <v>1</v>
      </c>
      <c r="X271" s="260">
        <f t="shared" si="42"/>
        <v>1</v>
      </c>
      <c r="Y271" s="260">
        <f t="shared" si="42"/>
        <v>1</v>
      </c>
      <c r="Z271" s="260">
        <f t="shared" si="42"/>
        <v>1</v>
      </c>
      <c r="AA271" s="260">
        <f t="shared" si="42"/>
        <v>1</v>
      </c>
      <c r="AB271" s="260">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942</v>
      </c>
      <c r="G272" s="73"/>
      <c r="H272" s="76" t="s">
        <v>943</v>
      </c>
      <c r="I272" s="96" t="s">
        <v>944</v>
      </c>
      <c r="J272" s="96"/>
      <c r="K272" s="97">
        <v>1350</v>
      </c>
      <c r="L272" s="97">
        <v>1350</v>
      </c>
      <c r="M272" s="76"/>
      <c r="N272" s="76"/>
      <c r="O272" s="76"/>
      <c r="P272" s="76"/>
      <c r="Q272" s="76"/>
      <c r="R272" s="76"/>
      <c r="S272" s="76"/>
      <c r="T272" s="76"/>
      <c r="U272" s="260">
        <f t="shared" si="42"/>
        <v>1350</v>
      </c>
      <c r="V272" s="260">
        <f t="shared" si="42"/>
        <v>1350</v>
      </c>
      <c r="W272" s="260">
        <f t="shared" si="42"/>
        <v>1350</v>
      </c>
      <c r="X272" s="260">
        <f t="shared" si="42"/>
        <v>1350</v>
      </c>
      <c r="Y272" s="260">
        <f t="shared" si="42"/>
        <v>1350</v>
      </c>
      <c r="Z272" s="260">
        <f t="shared" si="42"/>
        <v>1350</v>
      </c>
      <c r="AA272" s="260">
        <f t="shared" si="42"/>
        <v>1350</v>
      </c>
      <c r="AB272" s="260">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945</v>
      </c>
      <c r="G273" s="73"/>
      <c r="H273" s="76" t="s">
        <v>946</v>
      </c>
      <c r="I273" s="96" t="s">
        <v>947</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2">
        <f t="shared" si="43"/>
        <v>60000000</v>
      </c>
      <c r="Z273" s="262">
        <f t="shared" si="43"/>
        <v>60000000</v>
      </c>
      <c r="AA273" s="262">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948</v>
      </c>
      <c r="G274" s="73"/>
      <c r="H274" s="76" t="s">
        <v>2426</v>
      </c>
      <c r="I274" s="96" t="s">
        <v>570</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2">
        <f t="shared" si="43"/>
        <v>2.5000000000000001E-2</v>
      </c>
      <c r="Z274" s="262">
        <f t="shared" si="43"/>
        <v>2.5000000000000001E-2</v>
      </c>
      <c r="AA274" s="262">
        <f t="shared" si="43"/>
        <v>2.5000000000000001E-2</v>
      </c>
      <c r="AB274" s="262">
        <f t="shared" si="43"/>
        <v>2.5000000000000001E-2</v>
      </c>
      <c r="AC274" s="76"/>
      <c r="AD274" s="97" t="s">
        <v>2427</v>
      </c>
      <c r="AE274" s="76"/>
      <c r="AF274" s="97">
        <v>1</v>
      </c>
      <c r="AG274" s="97">
        <v>1</v>
      </c>
      <c r="AH274" s="73"/>
      <c r="AI274" s="57"/>
      <c r="AJ274" s="45"/>
      <c r="AK274" s="45"/>
      <c r="AL274" s="45"/>
    </row>
    <row r="275" spans="1:38" outlineLevel="2" x14ac:dyDescent="0.25">
      <c r="A275" s="45"/>
      <c r="B275" s="54"/>
      <c r="C275" s="47">
        <f t="shared" si="39"/>
        <v>3</v>
      </c>
      <c r="D275" s="73"/>
      <c r="E275" s="70"/>
      <c r="F275" s="70" t="s">
        <v>949</v>
      </c>
      <c r="G275" s="73"/>
      <c r="H275" s="76" t="s">
        <v>950</v>
      </c>
      <c r="I275" s="96" t="s">
        <v>570</v>
      </c>
      <c r="J275" s="96"/>
      <c r="K275" s="76"/>
      <c r="L275" s="76"/>
      <c r="M275" s="76"/>
      <c r="N275" s="76"/>
      <c r="O275" s="76"/>
      <c r="P275" s="76"/>
      <c r="Q275" s="76"/>
      <c r="R275" s="76"/>
      <c r="S275" s="76"/>
      <c r="T275" s="76"/>
      <c r="U275" s="97">
        <v>0.18</v>
      </c>
      <c r="V275" s="97">
        <v>0.18</v>
      </c>
      <c r="W275" s="97">
        <v>0.18</v>
      </c>
      <c r="X275" s="97">
        <f t="shared" si="43"/>
        <v>0.18</v>
      </c>
      <c r="Y275" s="262">
        <f t="shared" si="43"/>
        <v>0.18</v>
      </c>
      <c r="Z275" s="262">
        <f t="shared" si="43"/>
        <v>0.18</v>
      </c>
      <c r="AA275" s="262">
        <f t="shared" si="43"/>
        <v>0.18</v>
      </c>
      <c r="AB275" s="262">
        <f t="shared" si="43"/>
        <v>0.18</v>
      </c>
      <c r="AC275" s="76"/>
      <c r="AD275" s="97" t="s">
        <v>679</v>
      </c>
      <c r="AE275" s="76"/>
      <c r="AF275" s="97">
        <v>1</v>
      </c>
      <c r="AG275" s="97">
        <v>1</v>
      </c>
      <c r="AH275" s="73"/>
      <c r="AI275" s="57"/>
      <c r="AJ275" s="45"/>
      <c r="AK275" s="45"/>
      <c r="AL275" s="45"/>
    </row>
    <row r="276" spans="1:38" outlineLevel="2" x14ac:dyDescent="0.25">
      <c r="A276" s="45"/>
      <c r="B276" s="54"/>
      <c r="C276" s="47">
        <f>INT($C$29)+2</f>
        <v>3</v>
      </c>
      <c r="D276" s="73"/>
      <c r="E276" s="70"/>
      <c r="F276" s="70" t="s">
        <v>951</v>
      </c>
      <c r="G276" s="73"/>
      <c r="H276" s="76" t="s">
        <v>952</v>
      </c>
      <c r="I276" s="96" t="s">
        <v>953</v>
      </c>
      <c r="J276" s="96"/>
      <c r="K276" s="97">
        <v>0.2</v>
      </c>
      <c r="L276" s="97">
        <v>0.2</v>
      </c>
      <c r="M276" s="76"/>
      <c r="N276" s="76"/>
      <c r="O276" s="76"/>
      <c r="P276" s="76"/>
      <c r="Q276" s="76"/>
      <c r="R276" s="76" t="s">
        <v>679</v>
      </c>
      <c r="S276" s="76"/>
      <c r="T276" s="76"/>
      <c r="U276" s="260">
        <f t="shared" ref="U276:AB278" si="44">INDEX($K276:$Q276,1,U$43)</f>
        <v>0.2</v>
      </c>
      <c r="V276" s="260">
        <f t="shared" si="44"/>
        <v>0.2</v>
      </c>
      <c r="W276" s="260">
        <f t="shared" si="44"/>
        <v>0.2</v>
      </c>
      <c r="X276" s="260">
        <f t="shared" si="44"/>
        <v>0.2</v>
      </c>
      <c r="Y276" s="260">
        <f t="shared" si="44"/>
        <v>0.2</v>
      </c>
      <c r="Z276" s="260">
        <f t="shared" si="44"/>
        <v>0.2</v>
      </c>
      <c r="AA276" s="260">
        <f t="shared" si="44"/>
        <v>0.2</v>
      </c>
      <c r="AB276" s="260">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954</v>
      </c>
      <c r="G277" s="73"/>
      <c r="H277" s="76" t="s">
        <v>955</v>
      </c>
      <c r="I277" s="96" t="s">
        <v>956</v>
      </c>
      <c r="J277" s="96"/>
      <c r="K277" s="97">
        <f>1/1.17</f>
        <v>0.85470085470085477</v>
      </c>
      <c r="L277" s="97">
        <f>1/1.17</f>
        <v>0.85470085470085477</v>
      </c>
      <c r="M277" s="76"/>
      <c r="N277" s="76"/>
      <c r="O277" s="76"/>
      <c r="P277" s="76"/>
      <c r="Q277" s="76"/>
      <c r="R277" s="76" t="s">
        <v>957</v>
      </c>
      <c r="S277" s="76"/>
      <c r="T277" s="76"/>
      <c r="U277" s="260">
        <f t="shared" si="44"/>
        <v>0.85470085470085477</v>
      </c>
      <c r="V277" s="260">
        <f t="shared" si="44"/>
        <v>0.85470085470085477</v>
      </c>
      <c r="W277" s="260">
        <f t="shared" si="44"/>
        <v>0.85470085470085477</v>
      </c>
      <c r="X277" s="260">
        <f t="shared" si="44"/>
        <v>0.85470085470085477</v>
      </c>
      <c r="Y277" s="260">
        <f t="shared" si="44"/>
        <v>0.85470085470085477</v>
      </c>
      <c r="Z277" s="260">
        <f t="shared" si="44"/>
        <v>0.85470085470085477</v>
      </c>
      <c r="AA277" s="260">
        <f t="shared" si="44"/>
        <v>0.85470085470085477</v>
      </c>
      <c r="AB277" s="260">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958</v>
      </c>
      <c r="G278" s="73"/>
      <c r="H278" s="76" t="s">
        <v>959</v>
      </c>
      <c r="I278" s="96" t="s">
        <v>960</v>
      </c>
      <c r="J278" s="96"/>
      <c r="K278" s="97">
        <v>51</v>
      </c>
      <c r="L278" s="97">
        <v>51</v>
      </c>
      <c r="M278" s="76"/>
      <c r="N278" s="76"/>
      <c r="O278" s="76"/>
      <c r="P278" s="76"/>
      <c r="Q278" s="76"/>
      <c r="R278" s="76" t="s">
        <v>961</v>
      </c>
      <c r="S278" s="76"/>
      <c r="T278" s="76"/>
      <c r="U278" s="260">
        <f t="shared" si="44"/>
        <v>51</v>
      </c>
      <c r="V278" s="260">
        <f t="shared" si="44"/>
        <v>51</v>
      </c>
      <c r="W278" s="260">
        <f t="shared" si="44"/>
        <v>51</v>
      </c>
      <c r="X278" s="260">
        <f t="shared" si="44"/>
        <v>51</v>
      </c>
      <c r="Y278" s="260">
        <f t="shared" si="44"/>
        <v>51</v>
      </c>
      <c r="Z278" s="260">
        <f t="shared" si="44"/>
        <v>51</v>
      </c>
      <c r="AA278" s="260">
        <f t="shared" si="44"/>
        <v>51</v>
      </c>
      <c r="AB278" s="260">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2378</v>
      </c>
      <c r="G279" s="73"/>
      <c r="H279" s="76" t="s">
        <v>2382</v>
      </c>
      <c r="I279" s="96"/>
      <c r="J279" s="96"/>
      <c r="K279" s="76"/>
      <c r="L279" s="76"/>
      <c r="M279" s="76"/>
      <c r="N279" s="76"/>
      <c r="O279" s="76"/>
      <c r="P279" s="76"/>
      <c r="Q279" s="76"/>
      <c r="R279" s="76"/>
      <c r="S279" s="76"/>
      <c r="T279" s="76"/>
      <c r="U279" s="267">
        <f>0.006/(365^2)</f>
        <v>4.503659223118784E-8</v>
      </c>
      <c r="V279" s="267">
        <f t="shared" ref="V279:W279" si="46">0.006/(365^2)</f>
        <v>4.503659223118784E-8</v>
      </c>
      <c r="W279" s="267">
        <f t="shared" si="46"/>
        <v>4.503659223118784E-8</v>
      </c>
      <c r="X279" s="97">
        <f t="shared" ref="X279:X281" si="47">W279</f>
        <v>4.503659223118784E-8</v>
      </c>
      <c r="Y279" s="262">
        <f t="shared" ref="Y279:Y281" si="48">X279</f>
        <v>4.503659223118784E-8</v>
      </c>
      <c r="Z279" s="262">
        <f t="shared" ref="Z279:Z281" si="49">Y279</f>
        <v>4.503659223118784E-8</v>
      </c>
      <c r="AA279" s="262">
        <f t="shared" ref="AA279:AA281" si="50">Z279</f>
        <v>4.503659223118784E-8</v>
      </c>
      <c r="AB279" s="262">
        <f t="shared" ref="AB279:AB281" si="51">AA279</f>
        <v>4.503659223118784E-8</v>
      </c>
      <c r="AC279" s="76"/>
      <c r="AD279" s="97" t="s">
        <v>2381</v>
      </c>
      <c r="AE279" s="76"/>
      <c r="AF279" s="97">
        <v>1</v>
      </c>
      <c r="AG279" s="97">
        <v>1</v>
      </c>
      <c r="AH279" s="73"/>
      <c r="AI279" s="57"/>
      <c r="AJ279" s="45"/>
      <c r="AK279" s="45"/>
      <c r="AL279" s="45"/>
    </row>
    <row r="280" spans="1:38" outlineLevel="2" x14ac:dyDescent="0.25">
      <c r="A280" s="45"/>
      <c r="B280" s="54"/>
      <c r="C280" s="47">
        <f t="shared" si="45"/>
        <v>3</v>
      </c>
      <c r="D280" s="73"/>
      <c r="E280" s="70"/>
      <c r="F280" s="70" t="s">
        <v>2379</v>
      </c>
      <c r="G280" s="73"/>
      <c r="H280" s="76" t="s">
        <v>2380</v>
      </c>
      <c r="I280" s="96" t="s">
        <v>731</v>
      </c>
      <c r="J280" s="96"/>
      <c r="K280" s="76"/>
      <c r="L280" s="76"/>
      <c r="M280" s="76"/>
      <c r="N280" s="76"/>
      <c r="O280" s="76"/>
      <c r="P280" s="76"/>
      <c r="Q280" s="76"/>
      <c r="R280" s="76"/>
      <c r="S280" s="76"/>
      <c r="T280" s="76"/>
      <c r="U280" s="97">
        <f>3*365</f>
        <v>1095</v>
      </c>
      <c r="V280" s="97">
        <v>1095</v>
      </c>
      <c r="W280" s="97">
        <v>1095</v>
      </c>
      <c r="X280" s="97">
        <f t="shared" si="47"/>
        <v>1095</v>
      </c>
      <c r="Y280" s="262">
        <f t="shared" ref="Y280" si="52">X280</f>
        <v>1095</v>
      </c>
      <c r="Z280" s="262">
        <f t="shared" ref="Z280" si="53">Y280</f>
        <v>1095</v>
      </c>
      <c r="AA280" s="262">
        <f t="shared" ref="AA280" si="54">Z280</f>
        <v>1095</v>
      </c>
      <c r="AB280" s="262">
        <f t="shared" ref="AB280" si="55">AA280</f>
        <v>1095</v>
      </c>
      <c r="AC280" s="76"/>
      <c r="AD280" s="97" t="s">
        <v>2381</v>
      </c>
      <c r="AE280" s="76"/>
      <c r="AF280" s="97">
        <v>1</v>
      </c>
      <c r="AG280" s="97">
        <v>1</v>
      </c>
      <c r="AH280" s="73"/>
      <c r="AI280" s="57"/>
      <c r="AJ280" s="45"/>
      <c r="AK280" s="45"/>
      <c r="AL280" s="45"/>
    </row>
    <row r="281" spans="1:38" outlineLevel="2" x14ac:dyDescent="0.25">
      <c r="A281" s="45"/>
      <c r="B281" s="54"/>
      <c r="C281" s="47">
        <f>INT($C$29)+2</f>
        <v>3</v>
      </c>
      <c r="D281" s="73"/>
      <c r="E281" s="70"/>
      <c r="F281" s="70" t="s">
        <v>2383</v>
      </c>
      <c r="G281" s="73"/>
      <c r="H281" s="76" t="s">
        <v>2384</v>
      </c>
      <c r="I281" s="96"/>
      <c r="J281" s="96"/>
      <c r="K281" s="76"/>
      <c r="L281" s="76"/>
      <c r="M281" s="76"/>
      <c r="N281" s="76"/>
      <c r="O281" s="76"/>
      <c r="P281" s="76"/>
      <c r="Q281" s="76"/>
      <c r="R281" s="76"/>
      <c r="S281" s="76"/>
      <c r="T281" s="76"/>
      <c r="U281" s="97">
        <v>2</v>
      </c>
      <c r="V281" s="97">
        <v>2</v>
      </c>
      <c r="W281" s="97">
        <v>2</v>
      </c>
      <c r="X281" s="97">
        <f t="shared" si="47"/>
        <v>2</v>
      </c>
      <c r="Y281" s="262">
        <f t="shared" si="48"/>
        <v>2</v>
      </c>
      <c r="Z281" s="262">
        <f t="shared" si="49"/>
        <v>2</v>
      </c>
      <c r="AA281" s="262">
        <f t="shared" si="50"/>
        <v>2</v>
      </c>
      <c r="AB281" s="262">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3" t="s">
        <v>962</v>
      </c>
      <c r="G282" s="73"/>
      <c r="H282" s="253" t="s">
        <v>963</v>
      </c>
      <c r="I282" s="96"/>
      <c r="J282" s="96" t="s">
        <v>587</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964</v>
      </c>
      <c r="F283" s="70" t="s">
        <v>965</v>
      </c>
      <c r="G283" s="73"/>
      <c r="H283" s="76" t="s">
        <v>563</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966</v>
      </c>
      <c r="G284" s="73"/>
      <c r="H284" s="76" t="s">
        <v>967</v>
      </c>
      <c r="I284" s="96" t="s">
        <v>968</v>
      </c>
      <c r="J284" s="96"/>
      <c r="K284" s="97">
        <v>0.09</v>
      </c>
      <c r="L284" s="97">
        <v>0.09</v>
      </c>
      <c r="M284" s="97">
        <v>0.09</v>
      </c>
      <c r="N284" s="97">
        <v>0.09</v>
      </c>
      <c r="O284" s="97">
        <v>0.09</v>
      </c>
      <c r="P284" s="97">
        <v>0.09</v>
      </c>
      <c r="Q284" s="76"/>
      <c r="R284" s="76"/>
      <c r="S284" s="76"/>
      <c r="T284" s="76"/>
      <c r="U284" s="260">
        <f t="shared" ref="U284:AB299" si="57">INDEX($K284:$Q284,1,U$43)</f>
        <v>0.09</v>
      </c>
      <c r="V284" s="260">
        <f t="shared" si="57"/>
        <v>0.09</v>
      </c>
      <c r="W284" s="260">
        <f t="shared" si="57"/>
        <v>0.09</v>
      </c>
      <c r="X284" s="260">
        <f t="shared" si="57"/>
        <v>0.09</v>
      </c>
      <c r="Y284" s="260">
        <f t="shared" si="57"/>
        <v>0.09</v>
      </c>
      <c r="Z284" s="260">
        <f t="shared" si="57"/>
        <v>0.09</v>
      </c>
      <c r="AA284" s="260">
        <f t="shared" si="57"/>
        <v>0.09</v>
      </c>
      <c r="AB284" s="260">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969</v>
      </c>
      <c r="G285" s="73"/>
      <c r="H285" s="76" t="s">
        <v>970</v>
      </c>
      <c r="I285" s="96" t="s">
        <v>971</v>
      </c>
      <c r="J285" s="96"/>
      <c r="K285" s="97">
        <v>4.0999999999999996</v>
      </c>
      <c r="L285" s="97">
        <v>4.0999999999999996</v>
      </c>
      <c r="M285" s="97">
        <v>4.0999999999999996</v>
      </c>
      <c r="N285" s="97">
        <v>4.0999999999999996</v>
      </c>
      <c r="O285" s="97">
        <v>4.0999999999999996</v>
      </c>
      <c r="P285" s="97">
        <v>4.0999999999999996</v>
      </c>
      <c r="Q285" s="76"/>
      <c r="R285" s="76"/>
      <c r="S285" s="76"/>
      <c r="T285" s="76"/>
      <c r="U285" s="260">
        <f t="shared" si="57"/>
        <v>4.0999999999999996</v>
      </c>
      <c r="V285" s="260">
        <f t="shared" si="57"/>
        <v>4.0999999999999996</v>
      </c>
      <c r="W285" s="260">
        <f t="shared" si="57"/>
        <v>4.0999999999999996</v>
      </c>
      <c r="X285" s="260">
        <f t="shared" si="57"/>
        <v>4.0999999999999996</v>
      </c>
      <c r="Y285" s="260">
        <f t="shared" si="57"/>
        <v>4.0999999999999996</v>
      </c>
      <c r="Z285" s="260">
        <f t="shared" si="57"/>
        <v>4.0999999999999996</v>
      </c>
      <c r="AA285" s="260">
        <f t="shared" si="57"/>
        <v>4.0999999999999996</v>
      </c>
      <c r="AB285" s="260">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972</v>
      </c>
      <c r="G286" s="73"/>
      <c r="H286" s="76" t="s">
        <v>973</v>
      </c>
      <c r="I286" s="96" t="s">
        <v>974</v>
      </c>
      <c r="J286" s="96"/>
      <c r="K286" s="97">
        <v>1.3</v>
      </c>
      <c r="L286" s="97">
        <v>1.3</v>
      </c>
      <c r="M286" s="97">
        <v>1.6</v>
      </c>
      <c r="N286" s="97">
        <v>1.6</v>
      </c>
      <c r="O286" s="97">
        <v>1.6</v>
      </c>
      <c r="P286" s="97">
        <v>1.6</v>
      </c>
      <c r="Q286" s="76"/>
      <c r="R286" s="76" t="s">
        <v>580</v>
      </c>
      <c r="S286" s="76" t="s">
        <v>580</v>
      </c>
      <c r="T286" s="76"/>
      <c r="U286" s="260">
        <f t="shared" si="57"/>
        <v>1.3</v>
      </c>
      <c r="V286" s="260">
        <f t="shared" si="57"/>
        <v>1.3</v>
      </c>
      <c r="W286" s="260">
        <f t="shared" si="57"/>
        <v>1.3</v>
      </c>
      <c r="X286" s="260">
        <f t="shared" si="57"/>
        <v>1.3</v>
      </c>
      <c r="Y286" s="260">
        <f t="shared" si="57"/>
        <v>1.3</v>
      </c>
      <c r="Z286" s="260">
        <f t="shared" si="57"/>
        <v>1.3</v>
      </c>
      <c r="AA286" s="260">
        <f t="shared" si="57"/>
        <v>1.3</v>
      </c>
      <c r="AB286" s="260">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975</v>
      </c>
      <c r="G287" s="73"/>
      <c r="H287" s="76" t="s">
        <v>976</v>
      </c>
      <c r="I287" s="96" t="s">
        <v>570</v>
      </c>
      <c r="J287" s="96"/>
      <c r="K287" s="97">
        <v>0.5</v>
      </c>
      <c r="L287" s="97">
        <v>0.5</v>
      </c>
      <c r="M287" s="97">
        <v>0.5</v>
      </c>
      <c r="N287" s="97">
        <v>0.5</v>
      </c>
      <c r="O287" s="97">
        <v>0.5</v>
      </c>
      <c r="P287" s="97">
        <v>0.5</v>
      </c>
      <c r="Q287" s="76"/>
      <c r="R287" s="76" t="s">
        <v>580</v>
      </c>
      <c r="S287" s="76" t="s">
        <v>580</v>
      </c>
      <c r="T287" s="76"/>
      <c r="U287" s="260">
        <f t="shared" si="57"/>
        <v>0.5</v>
      </c>
      <c r="V287" s="260">
        <f t="shared" si="57"/>
        <v>0.5</v>
      </c>
      <c r="W287" s="260">
        <f t="shared" si="57"/>
        <v>0.5</v>
      </c>
      <c r="X287" s="260">
        <f t="shared" si="57"/>
        <v>0.5</v>
      </c>
      <c r="Y287" s="260">
        <f t="shared" si="57"/>
        <v>0.5</v>
      </c>
      <c r="Z287" s="260">
        <f t="shared" si="57"/>
        <v>0.5</v>
      </c>
      <c r="AA287" s="260">
        <f t="shared" si="57"/>
        <v>0.5</v>
      </c>
      <c r="AB287" s="260">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977</v>
      </c>
      <c r="G288" s="73"/>
      <c r="H288" s="76" t="s">
        <v>978</v>
      </c>
      <c r="I288" s="96" t="s">
        <v>642</v>
      </c>
      <c r="J288" s="96"/>
      <c r="K288" s="97">
        <v>0.7</v>
      </c>
      <c r="L288" s="97">
        <v>0.7</v>
      </c>
      <c r="M288" s="97">
        <v>0.7</v>
      </c>
      <c r="N288" s="97">
        <v>0.7</v>
      </c>
      <c r="O288" s="97">
        <v>0.7</v>
      </c>
      <c r="P288" s="97">
        <v>0.7</v>
      </c>
      <c r="Q288" s="76"/>
      <c r="R288" s="76" t="s">
        <v>580</v>
      </c>
      <c r="S288" s="76" t="s">
        <v>580</v>
      </c>
      <c r="T288" s="76"/>
      <c r="U288" s="260">
        <f t="shared" si="57"/>
        <v>0.7</v>
      </c>
      <c r="V288" s="260">
        <f t="shared" si="57"/>
        <v>0.7</v>
      </c>
      <c r="W288" s="260">
        <f t="shared" si="57"/>
        <v>0.7</v>
      </c>
      <c r="X288" s="260">
        <f t="shared" si="57"/>
        <v>0.7</v>
      </c>
      <c r="Y288" s="260">
        <f t="shared" si="57"/>
        <v>0.7</v>
      </c>
      <c r="Z288" s="260">
        <f t="shared" si="57"/>
        <v>0.7</v>
      </c>
      <c r="AA288" s="260">
        <f t="shared" si="57"/>
        <v>0.7</v>
      </c>
      <c r="AB288" s="260">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979</v>
      </c>
      <c r="G289" s="73"/>
      <c r="H289" s="76" t="s">
        <v>980</v>
      </c>
      <c r="I289" s="96" t="s">
        <v>981</v>
      </c>
      <c r="J289" s="96"/>
      <c r="K289" s="97">
        <v>0.15</v>
      </c>
      <c r="L289" s="97">
        <v>0.15</v>
      </c>
      <c r="M289" s="97">
        <v>0.15</v>
      </c>
      <c r="N289" s="97">
        <v>0.15</v>
      </c>
      <c r="O289" s="97">
        <v>0.15</v>
      </c>
      <c r="P289" s="97">
        <v>0.15</v>
      </c>
      <c r="Q289" s="76"/>
      <c r="R289" s="76" t="s">
        <v>580</v>
      </c>
      <c r="S289" s="76" t="s">
        <v>580</v>
      </c>
      <c r="T289" s="76"/>
      <c r="U289" s="260">
        <f t="shared" si="57"/>
        <v>0.15</v>
      </c>
      <c r="V289" s="260">
        <f t="shared" si="57"/>
        <v>0.15</v>
      </c>
      <c r="W289" s="260">
        <f t="shared" si="57"/>
        <v>0.15</v>
      </c>
      <c r="X289" s="260">
        <f t="shared" si="57"/>
        <v>0.15</v>
      </c>
      <c r="Y289" s="260">
        <f t="shared" si="57"/>
        <v>0.15</v>
      </c>
      <c r="Z289" s="260">
        <f t="shared" si="57"/>
        <v>0.15</v>
      </c>
      <c r="AA289" s="260">
        <f t="shared" si="57"/>
        <v>0.15</v>
      </c>
      <c r="AB289" s="260">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982</v>
      </c>
      <c r="G290" s="73"/>
      <c r="H290" s="76" t="s">
        <v>983</v>
      </c>
      <c r="I290" s="96" t="s">
        <v>570</v>
      </c>
      <c r="J290" s="96"/>
      <c r="K290" s="97">
        <v>0.48099999999999998</v>
      </c>
      <c r="L290" s="97">
        <v>0.48099999999999998</v>
      </c>
      <c r="M290" s="97">
        <v>0.48099999999999998</v>
      </c>
      <c r="N290" s="97">
        <v>0.48099999999999998</v>
      </c>
      <c r="O290" s="97">
        <v>0.48099999999999998</v>
      </c>
      <c r="P290" s="97">
        <v>0.48099999999999998</v>
      </c>
      <c r="Q290" s="76"/>
      <c r="R290" s="76" t="s">
        <v>580</v>
      </c>
      <c r="S290" s="76" t="s">
        <v>580</v>
      </c>
      <c r="T290" s="76"/>
      <c r="U290" s="260">
        <f t="shared" si="57"/>
        <v>0.48099999999999998</v>
      </c>
      <c r="V290" s="260">
        <f t="shared" si="57"/>
        <v>0.48099999999999998</v>
      </c>
      <c r="W290" s="260">
        <f t="shared" si="57"/>
        <v>0.48099999999999998</v>
      </c>
      <c r="X290" s="260">
        <f t="shared" si="57"/>
        <v>0.48099999999999998</v>
      </c>
      <c r="Y290" s="260">
        <f t="shared" si="57"/>
        <v>0.48099999999999998</v>
      </c>
      <c r="Z290" s="260">
        <f t="shared" si="57"/>
        <v>0.48099999999999998</v>
      </c>
      <c r="AA290" s="260">
        <f t="shared" si="57"/>
        <v>0.48099999999999998</v>
      </c>
      <c r="AB290" s="260">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984</v>
      </c>
      <c r="G291" s="73"/>
      <c r="H291" s="76" t="s">
        <v>980</v>
      </c>
      <c r="I291" s="96" t="s">
        <v>570</v>
      </c>
      <c r="J291" s="96"/>
      <c r="K291" s="97">
        <v>0.61899999999999999</v>
      </c>
      <c r="L291" s="97">
        <v>0.61899999999999999</v>
      </c>
      <c r="M291" s="97">
        <v>0.61899999999999999</v>
      </c>
      <c r="N291" s="97">
        <v>0.61899999999999999</v>
      </c>
      <c r="O291" s="97">
        <v>0.61899999999999999</v>
      </c>
      <c r="P291" s="97">
        <v>0.61899999999999999</v>
      </c>
      <c r="Q291" s="76"/>
      <c r="R291" s="76" t="s">
        <v>580</v>
      </c>
      <c r="S291" s="76" t="s">
        <v>580</v>
      </c>
      <c r="T291" s="76"/>
      <c r="U291" s="260">
        <f t="shared" si="57"/>
        <v>0.61899999999999999</v>
      </c>
      <c r="V291" s="260">
        <f t="shared" si="57"/>
        <v>0.61899999999999999</v>
      </c>
      <c r="W291" s="260">
        <f t="shared" si="57"/>
        <v>0.61899999999999999</v>
      </c>
      <c r="X291" s="260">
        <f t="shared" si="57"/>
        <v>0.61899999999999999</v>
      </c>
      <c r="Y291" s="260">
        <f t="shared" si="57"/>
        <v>0.61899999999999999</v>
      </c>
      <c r="Z291" s="260">
        <f t="shared" si="57"/>
        <v>0.61899999999999999</v>
      </c>
      <c r="AA291" s="260">
        <f t="shared" si="57"/>
        <v>0.61899999999999999</v>
      </c>
      <c r="AB291" s="260">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985</v>
      </c>
      <c r="G292" s="73"/>
      <c r="H292" s="76" t="s">
        <v>986</v>
      </c>
      <c r="I292" s="96" t="s">
        <v>974</v>
      </c>
      <c r="J292" s="96"/>
      <c r="K292" s="97">
        <v>1.41</v>
      </c>
      <c r="L292" s="97">
        <v>1.41</v>
      </c>
      <c r="M292" s="97">
        <v>1.1000000000000001</v>
      </c>
      <c r="N292" s="97">
        <v>1.1000000000000001</v>
      </c>
      <c r="O292" s="97">
        <v>1.1000000000000001</v>
      </c>
      <c r="P292" s="97">
        <v>1.1000000000000001</v>
      </c>
      <c r="Q292" s="76"/>
      <c r="R292" s="76" t="s">
        <v>580</v>
      </c>
      <c r="S292" s="76" t="s">
        <v>580</v>
      </c>
      <c r="T292" s="76"/>
      <c r="U292" s="260">
        <f t="shared" si="57"/>
        <v>1.41</v>
      </c>
      <c r="V292" s="260">
        <f t="shared" si="57"/>
        <v>1.41</v>
      </c>
      <c r="W292" s="260">
        <f t="shared" si="57"/>
        <v>1.41</v>
      </c>
      <c r="X292" s="260">
        <f t="shared" si="57"/>
        <v>1.41</v>
      </c>
      <c r="Y292" s="260">
        <f t="shared" si="57"/>
        <v>1.41</v>
      </c>
      <c r="Z292" s="260">
        <f t="shared" si="57"/>
        <v>1.41</v>
      </c>
      <c r="AA292" s="260">
        <f t="shared" si="57"/>
        <v>1.41</v>
      </c>
      <c r="AB292" s="260">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987</v>
      </c>
      <c r="G293" s="73"/>
      <c r="H293" s="76" t="s">
        <v>980</v>
      </c>
      <c r="I293" s="96" t="s">
        <v>570</v>
      </c>
      <c r="J293" s="96"/>
      <c r="K293" s="97">
        <v>0.32200000000000001</v>
      </c>
      <c r="L293" s="97">
        <v>0.32200000000000001</v>
      </c>
      <c r="M293" s="97">
        <v>0.32200000000000001</v>
      </c>
      <c r="N293" s="97">
        <v>0.32200000000000001</v>
      </c>
      <c r="O293" s="97">
        <v>0.32200000000000001</v>
      </c>
      <c r="P293" s="97">
        <v>0.32200000000000001</v>
      </c>
      <c r="Q293" s="76"/>
      <c r="R293" s="76" t="s">
        <v>988</v>
      </c>
      <c r="S293" s="76" t="s">
        <v>580</v>
      </c>
      <c r="T293" s="76"/>
      <c r="U293" s="260">
        <f t="shared" si="57"/>
        <v>0.32200000000000001</v>
      </c>
      <c r="V293" s="260">
        <f t="shared" si="57"/>
        <v>0.32200000000000001</v>
      </c>
      <c r="W293" s="260">
        <f t="shared" si="57"/>
        <v>0.32200000000000001</v>
      </c>
      <c r="X293" s="260">
        <f t="shared" si="57"/>
        <v>0.32200000000000001</v>
      </c>
      <c r="Y293" s="260">
        <f t="shared" si="57"/>
        <v>0.32200000000000001</v>
      </c>
      <c r="Z293" s="260">
        <f t="shared" si="57"/>
        <v>0.32200000000000001</v>
      </c>
      <c r="AA293" s="260">
        <f t="shared" si="57"/>
        <v>0.32200000000000001</v>
      </c>
      <c r="AB293" s="260">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989</v>
      </c>
      <c r="G294" s="73"/>
      <c r="H294" s="76" t="s">
        <v>990</v>
      </c>
      <c r="I294" s="96" t="s">
        <v>605</v>
      </c>
      <c r="J294" s="96"/>
      <c r="K294" s="97">
        <v>39</v>
      </c>
      <c r="L294" s="97">
        <v>39</v>
      </c>
      <c r="M294" s="97">
        <v>39</v>
      </c>
      <c r="N294" s="97">
        <v>39</v>
      </c>
      <c r="O294" s="97">
        <v>39</v>
      </c>
      <c r="P294" s="97">
        <v>39</v>
      </c>
      <c r="Q294" s="76"/>
      <c r="R294" s="76" t="s">
        <v>580</v>
      </c>
      <c r="S294" s="76" t="s">
        <v>580</v>
      </c>
      <c r="T294" s="76"/>
      <c r="U294" s="260">
        <f t="shared" si="57"/>
        <v>39</v>
      </c>
      <c r="V294" s="260">
        <f t="shared" si="57"/>
        <v>39</v>
      </c>
      <c r="W294" s="260">
        <f t="shared" si="57"/>
        <v>39</v>
      </c>
      <c r="X294" s="260">
        <f t="shared" si="57"/>
        <v>39</v>
      </c>
      <c r="Y294" s="260">
        <f t="shared" si="57"/>
        <v>39</v>
      </c>
      <c r="Z294" s="260">
        <f t="shared" si="57"/>
        <v>39</v>
      </c>
      <c r="AA294" s="260">
        <f t="shared" si="57"/>
        <v>39</v>
      </c>
      <c r="AB294" s="260">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991</v>
      </c>
      <c r="G295" s="73"/>
      <c r="H295" s="76" t="s">
        <v>992</v>
      </c>
      <c r="I295" s="96" t="s">
        <v>993</v>
      </c>
      <c r="J295" s="96"/>
      <c r="K295" s="97">
        <v>1.3</v>
      </c>
      <c r="L295" s="97">
        <v>1.3</v>
      </c>
      <c r="M295" s="97">
        <v>1.5</v>
      </c>
      <c r="N295" s="97">
        <v>1.5</v>
      </c>
      <c r="O295" s="97">
        <v>1.5</v>
      </c>
      <c r="P295" s="97">
        <v>1.5</v>
      </c>
      <c r="Q295" s="76"/>
      <c r="R295" s="76" t="s">
        <v>580</v>
      </c>
      <c r="S295" s="76" t="s">
        <v>580</v>
      </c>
      <c r="T295" s="76"/>
      <c r="U295" s="260">
        <f t="shared" si="57"/>
        <v>1.3</v>
      </c>
      <c r="V295" s="260">
        <f t="shared" si="57"/>
        <v>1.3</v>
      </c>
      <c r="W295" s="260">
        <f t="shared" si="57"/>
        <v>1.3</v>
      </c>
      <c r="X295" s="260">
        <f t="shared" si="57"/>
        <v>1.3</v>
      </c>
      <c r="Y295" s="260">
        <f t="shared" si="57"/>
        <v>1.3</v>
      </c>
      <c r="Z295" s="260">
        <f t="shared" si="57"/>
        <v>1.3</v>
      </c>
      <c r="AA295" s="260">
        <f t="shared" si="57"/>
        <v>1.3</v>
      </c>
      <c r="AB295" s="260">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994</v>
      </c>
      <c r="G296" s="73"/>
      <c r="H296" s="76" t="s">
        <v>995</v>
      </c>
      <c r="I296" s="96" t="s">
        <v>605</v>
      </c>
      <c r="J296" s="96"/>
      <c r="K296" s="97">
        <v>5</v>
      </c>
      <c r="L296" s="97">
        <v>5</v>
      </c>
      <c r="M296" s="97">
        <v>5</v>
      </c>
      <c r="N296" s="97">
        <v>5</v>
      </c>
      <c r="O296" s="97">
        <v>5</v>
      </c>
      <c r="P296" s="97">
        <v>5</v>
      </c>
      <c r="Q296" s="76"/>
      <c r="R296" s="76" t="s">
        <v>580</v>
      </c>
      <c r="S296" s="76" t="s">
        <v>580</v>
      </c>
      <c r="T296" s="76"/>
      <c r="U296" s="260">
        <f t="shared" si="57"/>
        <v>5</v>
      </c>
      <c r="V296" s="260">
        <f t="shared" si="57"/>
        <v>5</v>
      </c>
      <c r="W296" s="260">
        <f t="shared" si="57"/>
        <v>5</v>
      </c>
      <c r="X296" s="260">
        <f t="shared" si="57"/>
        <v>5</v>
      </c>
      <c r="Y296" s="260">
        <f t="shared" si="57"/>
        <v>5</v>
      </c>
      <c r="Z296" s="260">
        <f t="shared" si="57"/>
        <v>5</v>
      </c>
      <c r="AA296" s="260">
        <f t="shared" si="57"/>
        <v>5</v>
      </c>
      <c r="AB296" s="260">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996</v>
      </c>
      <c r="G297" s="73"/>
      <c r="H297" s="76" t="s">
        <v>997</v>
      </c>
      <c r="I297" s="96" t="s">
        <v>998</v>
      </c>
      <c r="J297" s="96"/>
      <c r="K297" s="97">
        <v>0.15</v>
      </c>
      <c r="L297" s="97">
        <v>0.15</v>
      </c>
      <c r="M297" s="97">
        <v>0.15</v>
      </c>
      <c r="N297" s="97">
        <v>0.15</v>
      </c>
      <c r="O297" s="97">
        <v>0.15</v>
      </c>
      <c r="P297" s="97">
        <v>0.15</v>
      </c>
      <c r="Q297" s="76"/>
      <c r="R297" s="76" t="s">
        <v>580</v>
      </c>
      <c r="S297" s="76" t="s">
        <v>580</v>
      </c>
      <c r="T297" s="76"/>
      <c r="U297" s="260">
        <f t="shared" si="57"/>
        <v>0.15</v>
      </c>
      <c r="V297" s="260">
        <f t="shared" si="57"/>
        <v>0.15</v>
      </c>
      <c r="W297" s="260">
        <f t="shared" si="57"/>
        <v>0.15</v>
      </c>
      <c r="X297" s="260">
        <f t="shared" si="57"/>
        <v>0.15</v>
      </c>
      <c r="Y297" s="260">
        <f t="shared" si="57"/>
        <v>0.15</v>
      </c>
      <c r="Z297" s="260">
        <f t="shared" si="57"/>
        <v>0.15</v>
      </c>
      <c r="AA297" s="260">
        <f t="shared" si="57"/>
        <v>0.15</v>
      </c>
      <c r="AB297" s="260">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999</v>
      </c>
      <c r="G298" s="73"/>
      <c r="H298" s="76" t="s">
        <v>997</v>
      </c>
      <c r="I298" s="96" t="s">
        <v>605</v>
      </c>
      <c r="J298" s="96"/>
      <c r="K298" s="97">
        <v>10</v>
      </c>
      <c r="L298" s="97">
        <v>10</v>
      </c>
      <c r="M298" s="97">
        <v>10</v>
      </c>
      <c r="N298" s="97">
        <v>10</v>
      </c>
      <c r="O298" s="97">
        <v>10</v>
      </c>
      <c r="P298" s="97">
        <v>10</v>
      </c>
      <c r="Q298" s="76"/>
      <c r="R298" s="76" t="s">
        <v>580</v>
      </c>
      <c r="S298" s="76" t="s">
        <v>580</v>
      </c>
      <c r="T298" s="76"/>
      <c r="U298" s="260">
        <f t="shared" si="57"/>
        <v>10</v>
      </c>
      <c r="V298" s="260">
        <f t="shared" si="57"/>
        <v>10</v>
      </c>
      <c r="W298" s="260">
        <f t="shared" si="57"/>
        <v>10</v>
      </c>
      <c r="X298" s="260">
        <f t="shared" si="57"/>
        <v>10</v>
      </c>
      <c r="Y298" s="260">
        <f t="shared" si="57"/>
        <v>10</v>
      </c>
      <c r="Z298" s="260">
        <f t="shared" si="57"/>
        <v>10</v>
      </c>
      <c r="AA298" s="260">
        <f t="shared" si="57"/>
        <v>10</v>
      </c>
      <c r="AB298" s="260">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1000</v>
      </c>
      <c r="G299" s="73"/>
      <c r="H299" s="76" t="s">
        <v>1001</v>
      </c>
      <c r="I299" s="96" t="s">
        <v>1002</v>
      </c>
      <c r="J299" s="96"/>
      <c r="K299" s="97">
        <v>0.38</v>
      </c>
      <c r="L299" s="97">
        <v>0.38</v>
      </c>
      <c r="M299" s="97">
        <v>0.38</v>
      </c>
      <c r="N299" s="97">
        <v>0.38</v>
      </c>
      <c r="O299" s="97">
        <v>0.38</v>
      </c>
      <c r="P299" s="97">
        <v>0.38</v>
      </c>
      <c r="Q299" s="76"/>
      <c r="R299" s="76" t="s">
        <v>580</v>
      </c>
      <c r="S299" s="76" t="s">
        <v>580</v>
      </c>
      <c r="T299" s="76"/>
      <c r="U299" s="260">
        <f t="shared" si="57"/>
        <v>0.38</v>
      </c>
      <c r="V299" s="260">
        <f t="shared" si="57"/>
        <v>0.38</v>
      </c>
      <c r="W299" s="260">
        <f t="shared" si="57"/>
        <v>0.38</v>
      </c>
      <c r="X299" s="260">
        <f t="shared" si="57"/>
        <v>0.38</v>
      </c>
      <c r="Y299" s="260">
        <f t="shared" si="57"/>
        <v>0.38</v>
      </c>
      <c r="Z299" s="260">
        <f t="shared" si="57"/>
        <v>0.38</v>
      </c>
      <c r="AA299" s="260">
        <f t="shared" si="57"/>
        <v>0.38</v>
      </c>
      <c r="AB299" s="260">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3" t="s">
        <v>1003</v>
      </c>
      <c r="G300" s="73"/>
      <c r="H300" s="253" t="s">
        <v>1004</v>
      </c>
      <c r="I300" s="96"/>
      <c r="J300" s="96" t="s">
        <v>587</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1005</v>
      </c>
      <c r="F301" s="70" t="s">
        <v>1006</v>
      </c>
      <c r="G301" s="73"/>
      <c r="H301" s="76" t="s">
        <v>563</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1007</v>
      </c>
      <c r="G302" s="73"/>
      <c r="H302" s="76" t="s">
        <v>1008</v>
      </c>
      <c r="I302" s="96" t="s">
        <v>642</v>
      </c>
      <c r="J302" s="96"/>
      <c r="K302" s="97">
        <v>0.6</v>
      </c>
      <c r="L302" s="97">
        <v>0.6</v>
      </c>
      <c r="M302" s="97">
        <v>0.6</v>
      </c>
      <c r="N302" s="97">
        <v>0.6</v>
      </c>
      <c r="O302" s="97">
        <v>0.6</v>
      </c>
      <c r="P302" s="97">
        <v>0.6</v>
      </c>
      <c r="Q302" s="76"/>
      <c r="R302" s="76" t="s">
        <v>580</v>
      </c>
      <c r="S302" s="76" t="s">
        <v>580</v>
      </c>
      <c r="T302" s="76"/>
      <c r="U302" s="260">
        <f t="shared" ref="U302:AB316" si="59">INDEX($K302:$Q302,1,U$43)</f>
        <v>0.6</v>
      </c>
      <c r="V302" s="260">
        <f t="shared" si="59"/>
        <v>0.6</v>
      </c>
      <c r="W302" s="260">
        <f t="shared" si="59"/>
        <v>0.6</v>
      </c>
      <c r="X302" s="260">
        <f t="shared" si="59"/>
        <v>0.6</v>
      </c>
      <c r="Y302" s="260">
        <f t="shared" si="59"/>
        <v>0.6</v>
      </c>
      <c r="Z302" s="260">
        <f t="shared" si="59"/>
        <v>0.6</v>
      </c>
      <c r="AA302" s="260">
        <f t="shared" si="59"/>
        <v>0.6</v>
      </c>
      <c r="AB302" s="260">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1009</v>
      </c>
      <c r="G303" s="73"/>
      <c r="H303" s="76" t="s">
        <v>1010</v>
      </c>
      <c r="I303" s="96" t="s">
        <v>642</v>
      </c>
      <c r="J303" s="96"/>
      <c r="K303" s="97">
        <v>0.7</v>
      </c>
      <c r="L303" s="97">
        <v>0.7</v>
      </c>
      <c r="M303" s="97">
        <v>0.7</v>
      </c>
      <c r="N303" s="97">
        <v>0.7</v>
      </c>
      <c r="O303" s="97">
        <v>0.7</v>
      </c>
      <c r="P303" s="97">
        <v>0.7</v>
      </c>
      <c r="Q303" s="76"/>
      <c r="R303" s="76" t="s">
        <v>580</v>
      </c>
      <c r="S303" s="76" t="s">
        <v>580</v>
      </c>
      <c r="T303" s="76"/>
      <c r="U303" s="260">
        <f t="shared" si="59"/>
        <v>0.7</v>
      </c>
      <c r="V303" s="260">
        <f t="shared" si="59"/>
        <v>0.7</v>
      </c>
      <c r="W303" s="260">
        <f t="shared" si="59"/>
        <v>0.7</v>
      </c>
      <c r="X303" s="260">
        <f t="shared" si="59"/>
        <v>0.7</v>
      </c>
      <c r="Y303" s="260">
        <f t="shared" si="59"/>
        <v>0.7</v>
      </c>
      <c r="Z303" s="260">
        <f t="shared" si="59"/>
        <v>0.7</v>
      </c>
      <c r="AA303" s="260">
        <f t="shared" si="59"/>
        <v>0.7</v>
      </c>
      <c r="AB303" s="260">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1011</v>
      </c>
      <c r="G304" s="73"/>
      <c r="H304" s="76" t="s">
        <v>1012</v>
      </c>
      <c r="I304" s="96" t="s">
        <v>642</v>
      </c>
      <c r="J304" s="96"/>
      <c r="K304" s="97">
        <v>0.8</v>
      </c>
      <c r="L304" s="97">
        <v>0.8</v>
      </c>
      <c r="M304" s="97">
        <v>0.8</v>
      </c>
      <c r="N304" s="97">
        <v>0.8</v>
      </c>
      <c r="O304" s="97">
        <v>0.8</v>
      </c>
      <c r="P304" s="97">
        <v>0.8</v>
      </c>
      <c r="Q304" s="76"/>
      <c r="R304" s="76" t="s">
        <v>580</v>
      </c>
      <c r="S304" s="76" t="s">
        <v>580</v>
      </c>
      <c r="T304" s="76"/>
      <c r="U304" s="260">
        <f t="shared" si="59"/>
        <v>0.8</v>
      </c>
      <c r="V304" s="260">
        <f t="shared" si="59"/>
        <v>0.8</v>
      </c>
      <c r="W304" s="260">
        <f t="shared" si="59"/>
        <v>0.8</v>
      </c>
      <c r="X304" s="260">
        <f t="shared" si="59"/>
        <v>0.8</v>
      </c>
      <c r="Y304" s="260">
        <f t="shared" si="59"/>
        <v>0.8</v>
      </c>
      <c r="Z304" s="260">
        <f t="shared" si="59"/>
        <v>0.8</v>
      </c>
      <c r="AA304" s="260">
        <f t="shared" si="59"/>
        <v>0.8</v>
      </c>
      <c r="AB304" s="260">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1013</v>
      </c>
      <c r="G305" s="73"/>
      <c r="H305" s="76" t="s">
        <v>1014</v>
      </c>
      <c r="I305" s="96" t="s">
        <v>570</v>
      </c>
      <c r="J305" s="96"/>
      <c r="K305" s="97">
        <v>6</v>
      </c>
      <c r="L305" s="97">
        <v>6</v>
      </c>
      <c r="M305" s="97">
        <v>6</v>
      </c>
      <c r="N305" s="97">
        <v>6</v>
      </c>
      <c r="O305" s="97">
        <v>6</v>
      </c>
      <c r="P305" s="97">
        <v>6</v>
      </c>
      <c r="Q305" s="76"/>
      <c r="R305" s="76" t="s">
        <v>580</v>
      </c>
      <c r="S305" s="76" t="s">
        <v>580</v>
      </c>
      <c r="T305" s="76"/>
      <c r="U305" s="260">
        <f t="shared" si="59"/>
        <v>6</v>
      </c>
      <c r="V305" s="260">
        <f t="shared" si="59"/>
        <v>6</v>
      </c>
      <c r="W305" s="260">
        <f t="shared" si="59"/>
        <v>6</v>
      </c>
      <c r="X305" s="260">
        <f t="shared" si="59"/>
        <v>6</v>
      </c>
      <c r="Y305" s="260">
        <f t="shared" si="59"/>
        <v>6</v>
      </c>
      <c r="Z305" s="260">
        <f t="shared" si="59"/>
        <v>6</v>
      </c>
      <c r="AA305" s="260">
        <f t="shared" si="59"/>
        <v>6</v>
      </c>
      <c r="AB305" s="260">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1015</v>
      </c>
      <c r="G306" s="73"/>
      <c r="H306" s="76" t="s">
        <v>1016</v>
      </c>
      <c r="I306" s="96" t="s">
        <v>570</v>
      </c>
      <c r="J306" s="96"/>
      <c r="K306" s="97">
        <v>0.4</v>
      </c>
      <c r="L306" s="97">
        <v>0.4</v>
      </c>
      <c r="M306" s="97">
        <v>0.4</v>
      </c>
      <c r="N306" s="97">
        <v>0.4</v>
      </c>
      <c r="O306" s="97">
        <v>0.4</v>
      </c>
      <c r="P306" s="97">
        <v>0.4</v>
      </c>
      <c r="Q306" s="76"/>
      <c r="R306" s="76" t="s">
        <v>580</v>
      </c>
      <c r="S306" s="76" t="s">
        <v>580</v>
      </c>
      <c r="T306" s="76"/>
      <c r="U306" s="260">
        <f t="shared" si="59"/>
        <v>0.4</v>
      </c>
      <c r="V306" s="260">
        <f t="shared" si="59"/>
        <v>0.4</v>
      </c>
      <c r="W306" s="260">
        <f t="shared" si="59"/>
        <v>0.4</v>
      </c>
      <c r="X306" s="260">
        <f t="shared" si="59"/>
        <v>0.4</v>
      </c>
      <c r="Y306" s="260">
        <f t="shared" si="59"/>
        <v>0.4</v>
      </c>
      <c r="Z306" s="260">
        <f t="shared" si="59"/>
        <v>0.4</v>
      </c>
      <c r="AA306" s="260">
        <f t="shared" si="59"/>
        <v>0.4</v>
      </c>
      <c r="AB306" s="260">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1017</v>
      </c>
      <c r="G307" s="73"/>
      <c r="H307" s="76" t="s">
        <v>1018</v>
      </c>
      <c r="I307" s="96" t="s">
        <v>663</v>
      </c>
      <c r="J307" s="96"/>
      <c r="K307" s="97">
        <v>0.9</v>
      </c>
      <c r="L307" s="97">
        <v>0.9</v>
      </c>
      <c r="M307" s="97">
        <v>0.9</v>
      </c>
      <c r="N307" s="97">
        <v>0.9</v>
      </c>
      <c r="O307" s="97">
        <v>0.9</v>
      </c>
      <c r="P307" s="97">
        <v>0.9</v>
      </c>
      <c r="Q307" s="76"/>
      <c r="R307" s="76" t="s">
        <v>580</v>
      </c>
      <c r="S307" s="76" t="s">
        <v>580</v>
      </c>
      <c r="T307" s="76"/>
      <c r="U307" s="260">
        <f t="shared" si="59"/>
        <v>0.9</v>
      </c>
      <c r="V307" s="260">
        <f t="shared" si="59"/>
        <v>0.9</v>
      </c>
      <c r="W307" s="260">
        <f t="shared" si="59"/>
        <v>0.9</v>
      </c>
      <c r="X307" s="260">
        <f t="shared" si="59"/>
        <v>0.9</v>
      </c>
      <c r="Y307" s="260">
        <f t="shared" si="59"/>
        <v>0.9</v>
      </c>
      <c r="Z307" s="260">
        <f t="shared" si="59"/>
        <v>0.9</v>
      </c>
      <c r="AA307" s="260">
        <f t="shared" si="59"/>
        <v>0.9</v>
      </c>
      <c r="AB307" s="260">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1019</v>
      </c>
      <c r="G308" s="73"/>
      <c r="H308" s="76" t="s">
        <v>1020</v>
      </c>
      <c r="I308" s="96" t="s">
        <v>663</v>
      </c>
      <c r="J308" s="96"/>
      <c r="K308" s="97">
        <v>0.97</v>
      </c>
      <c r="L308" s="97">
        <v>0.97</v>
      </c>
      <c r="M308" s="97">
        <v>0.97</v>
      </c>
      <c r="N308" s="97">
        <v>0.97</v>
      </c>
      <c r="O308" s="97">
        <v>0.97</v>
      </c>
      <c r="P308" s="97">
        <v>0.97</v>
      </c>
      <c r="Q308" s="76"/>
      <c r="R308" s="76" t="s">
        <v>580</v>
      </c>
      <c r="S308" s="76" t="s">
        <v>580</v>
      </c>
      <c r="T308" s="76"/>
      <c r="U308" s="260">
        <f t="shared" si="59"/>
        <v>0.97</v>
      </c>
      <c r="V308" s="260">
        <f t="shared" si="59"/>
        <v>0.97</v>
      </c>
      <c r="W308" s="260">
        <f t="shared" si="59"/>
        <v>0.97</v>
      </c>
      <c r="X308" s="260">
        <f t="shared" si="59"/>
        <v>0.97</v>
      </c>
      <c r="Y308" s="260">
        <f t="shared" si="59"/>
        <v>0.97</v>
      </c>
      <c r="Z308" s="260">
        <f t="shared" si="59"/>
        <v>0.97</v>
      </c>
      <c r="AA308" s="260">
        <f t="shared" si="59"/>
        <v>0.97</v>
      </c>
      <c r="AB308" s="260">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1021</v>
      </c>
      <c r="G309" s="73"/>
      <c r="H309" s="76" t="s">
        <v>1022</v>
      </c>
      <c r="I309" s="96" t="s">
        <v>592</v>
      </c>
      <c r="J309" s="96"/>
      <c r="K309" s="97">
        <v>27</v>
      </c>
      <c r="L309" s="97">
        <v>27</v>
      </c>
      <c r="M309" s="97">
        <v>27</v>
      </c>
      <c r="N309" s="97">
        <v>23.2</v>
      </c>
      <c r="O309" s="97">
        <v>23.2</v>
      </c>
      <c r="P309" s="97">
        <v>27</v>
      </c>
      <c r="Q309" s="76"/>
      <c r="R309" s="76" t="s">
        <v>580</v>
      </c>
      <c r="S309" s="76" t="s">
        <v>580</v>
      </c>
      <c r="T309" s="76"/>
      <c r="U309" s="260">
        <f t="shared" si="59"/>
        <v>27</v>
      </c>
      <c r="V309" s="260">
        <f t="shared" si="59"/>
        <v>27</v>
      </c>
      <c r="W309" s="260">
        <f t="shared" si="59"/>
        <v>27</v>
      </c>
      <c r="X309" s="260">
        <f t="shared" si="59"/>
        <v>27</v>
      </c>
      <c r="Y309" s="383">
        <f>INDEX($K309:$Q309,1,Y$43)-(20.3-11)</f>
        <v>17.7</v>
      </c>
      <c r="Z309" s="260">
        <f t="shared" si="59"/>
        <v>27</v>
      </c>
      <c r="AA309" s="260">
        <f t="shared" si="59"/>
        <v>27</v>
      </c>
      <c r="AB309" s="383">
        <f>INDEX($K309:$Q309,1,AB$43)-(20.3-11)</f>
        <v>17.7</v>
      </c>
      <c r="AC309" s="323"/>
      <c r="AD309" s="97" t="s">
        <v>2467</v>
      </c>
      <c r="AE309" s="76"/>
      <c r="AF309" s="97">
        <v>1</v>
      </c>
      <c r="AG309" s="97">
        <v>1</v>
      </c>
      <c r="AH309" s="73"/>
      <c r="AI309" s="57"/>
      <c r="AJ309" s="45"/>
      <c r="AK309" s="45"/>
      <c r="AL309" s="45"/>
    </row>
    <row r="310" spans="1:38" outlineLevel="2" x14ac:dyDescent="0.25">
      <c r="A310" s="45"/>
      <c r="B310" s="54"/>
      <c r="C310" s="47">
        <f t="shared" si="58"/>
        <v>3</v>
      </c>
      <c r="D310" s="73"/>
      <c r="E310" s="70"/>
      <c r="F310" s="70" t="s">
        <v>1023</v>
      </c>
      <c r="G310" s="73"/>
      <c r="H310" s="76" t="s">
        <v>1024</v>
      </c>
      <c r="I310" s="96" t="s">
        <v>663</v>
      </c>
      <c r="J310" s="96"/>
      <c r="K310" s="97">
        <v>20.3</v>
      </c>
      <c r="L310" s="97">
        <v>20.3</v>
      </c>
      <c r="M310" s="97">
        <v>20.3</v>
      </c>
      <c r="N310" s="97">
        <v>16.5</v>
      </c>
      <c r="O310" s="97">
        <v>16.5</v>
      </c>
      <c r="P310" s="97">
        <v>20.3</v>
      </c>
      <c r="Q310" s="76"/>
      <c r="R310" s="76" t="s">
        <v>580</v>
      </c>
      <c r="S310" s="76" t="s">
        <v>580</v>
      </c>
      <c r="T310" s="76"/>
      <c r="U310" s="260">
        <f t="shared" si="59"/>
        <v>20.3</v>
      </c>
      <c r="V310" s="260">
        <f t="shared" si="59"/>
        <v>20.3</v>
      </c>
      <c r="W310" s="260">
        <f t="shared" si="59"/>
        <v>20.3</v>
      </c>
      <c r="X310" s="260">
        <f t="shared" si="59"/>
        <v>20.3</v>
      </c>
      <c r="Y310" s="383">
        <v>11</v>
      </c>
      <c r="Z310" s="260">
        <f t="shared" si="59"/>
        <v>20.3</v>
      </c>
      <c r="AA310" s="260">
        <f t="shared" si="59"/>
        <v>20.3</v>
      </c>
      <c r="AB310" s="383">
        <v>11</v>
      </c>
      <c r="AC310" s="323"/>
      <c r="AD310" s="97" t="s">
        <v>2467</v>
      </c>
      <c r="AE310" s="76"/>
      <c r="AF310" s="97">
        <v>1</v>
      </c>
      <c r="AG310" s="97">
        <v>1</v>
      </c>
      <c r="AH310" s="73"/>
      <c r="AI310" s="57"/>
      <c r="AJ310" s="45"/>
      <c r="AK310" s="45"/>
      <c r="AL310" s="45"/>
    </row>
    <row r="311" spans="1:38" outlineLevel="2" x14ac:dyDescent="0.25">
      <c r="A311" s="45"/>
      <c r="B311" s="54"/>
      <c r="C311" s="47">
        <f t="shared" si="58"/>
        <v>3</v>
      </c>
      <c r="D311" s="73"/>
      <c r="E311" s="70"/>
      <c r="F311" s="70" t="s">
        <v>1025</v>
      </c>
      <c r="G311" s="73"/>
      <c r="H311" s="76" t="s">
        <v>1026</v>
      </c>
      <c r="I311" s="96" t="s">
        <v>592</v>
      </c>
      <c r="J311" s="96"/>
      <c r="K311" s="97">
        <v>2</v>
      </c>
      <c r="L311" s="97">
        <v>2</v>
      </c>
      <c r="M311" s="97">
        <v>2</v>
      </c>
      <c r="N311" s="97">
        <v>2</v>
      </c>
      <c r="O311" s="97">
        <v>2</v>
      </c>
      <c r="P311" s="97">
        <v>2</v>
      </c>
      <c r="Q311" s="76"/>
      <c r="R311" s="76" t="s">
        <v>580</v>
      </c>
      <c r="S311" s="76" t="s">
        <v>580</v>
      </c>
      <c r="T311" s="76"/>
      <c r="U311" s="260">
        <f t="shared" si="59"/>
        <v>2</v>
      </c>
      <c r="V311" s="260">
        <f t="shared" si="59"/>
        <v>2</v>
      </c>
      <c r="W311" s="260">
        <f t="shared" si="59"/>
        <v>2</v>
      </c>
      <c r="X311" s="260">
        <f t="shared" si="59"/>
        <v>2</v>
      </c>
      <c r="Y311" s="260">
        <f t="shared" si="59"/>
        <v>2</v>
      </c>
      <c r="Z311" s="260">
        <f t="shared" si="59"/>
        <v>2</v>
      </c>
      <c r="AA311" s="260">
        <f t="shared" si="59"/>
        <v>2</v>
      </c>
      <c r="AB311" s="260">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1027</v>
      </c>
      <c r="G312" s="73"/>
      <c r="H312" s="76" t="s">
        <v>1028</v>
      </c>
      <c r="I312" s="96" t="s">
        <v>570</v>
      </c>
      <c r="J312" s="96"/>
      <c r="K312" s="97">
        <v>13.8</v>
      </c>
      <c r="L312" s="97">
        <v>13.8</v>
      </c>
      <c r="M312" s="97">
        <v>13.8</v>
      </c>
      <c r="N312" s="97">
        <v>13.8</v>
      </c>
      <c r="O312" s="97">
        <v>13.8</v>
      </c>
      <c r="P312" s="97">
        <v>13.8</v>
      </c>
      <c r="Q312" s="76"/>
      <c r="R312" s="76" t="s">
        <v>618</v>
      </c>
      <c r="S312" s="76" t="s">
        <v>618</v>
      </c>
      <c r="T312" s="76"/>
      <c r="U312" s="260">
        <f t="shared" si="59"/>
        <v>13.8</v>
      </c>
      <c r="V312" s="260">
        <f t="shared" si="59"/>
        <v>13.8</v>
      </c>
      <c r="W312" s="260">
        <f t="shared" si="59"/>
        <v>13.8</v>
      </c>
      <c r="X312" s="260">
        <f t="shared" si="59"/>
        <v>13.8</v>
      </c>
      <c r="Y312" s="260">
        <f t="shared" si="59"/>
        <v>13.8</v>
      </c>
      <c r="Z312" s="260">
        <f t="shared" si="59"/>
        <v>13.8</v>
      </c>
      <c r="AA312" s="260">
        <f t="shared" si="59"/>
        <v>13.8</v>
      </c>
      <c r="AB312" s="260">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1029</v>
      </c>
      <c r="G313" s="73"/>
      <c r="H313" s="76" t="s">
        <v>1030</v>
      </c>
      <c r="I313" s="96" t="s">
        <v>570</v>
      </c>
      <c r="J313" s="96"/>
      <c r="K313" s="97">
        <v>7.1999999999999995E-2</v>
      </c>
      <c r="L313" s="97">
        <v>7.1999999999999995E-2</v>
      </c>
      <c r="M313" s="97">
        <v>7.1999999999999995E-2</v>
      </c>
      <c r="N313" s="97">
        <v>9.1999999999999998E-2</v>
      </c>
      <c r="O313" s="97">
        <v>9.1999999999999998E-2</v>
      </c>
      <c r="P313" s="97">
        <v>7.1999999999999995E-2</v>
      </c>
      <c r="Q313" s="76"/>
      <c r="R313" s="76" t="s">
        <v>618</v>
      </c>
      <c r="S313" s="76" t="s">
        <v>618</v>
      </c>
      <c r="T313" s="76"/>
      <c r="U313" s="260">
        <f t="shared" si="59"/>
        <v>7.1999999999999995E-2</v>
      </c>
      <c r="V313" s="260">
        <f t="shared" si="59"/>
        <v>7.1999999999999995E-2</v>
      </c>
      <c r="W313" s="260">
        <f t="shared" si="59"/>
        <v>7.1999999999999995E-2</v>
      </c>
      <c r="X313" s="260">
        <f t="shared" si="59"/>
        <v>7.1999999999999995E-2</v>
      </c>
      <c r="Y313" s="260">
        <f t="shared" si="59"/>
        <v>7.1999999999999995E-2</v>
      </c>
      <c r="Z313" s="260">
        <f t="shared" si="59"/>
        <v>7.1999999999999995E-2</v>
      </c>
      <c r="AA313" s="260">
        <f t="shared" si="59"/>
        <v>7.1999999999999995E-2</v>
      </c>
      <c r="AB313" s="260">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1031</v>
      </c>
      <c r="G314" s="73"/>
      <c r="H314" s="76" t="s">
        <v>1032</v>
      </c>
      <c r="I314" s="96" t="s">
        <v>570</v>
      </c>
      <c r="J314" s="96"/>
      <c r="K314" s="97">
        <v>0.14000000000000001</v>
      </c>
      <c r="L314" s="97">
        <v>0.14000000000000001</v>
      </c>
      <c r="M314" s="97">
        <v>0.14000000000000001</v>
      </c>
      <c r="N314" s="97">
        <v>0.12</v>
      </c>
      <c r="O314" s="97">
        <v>0.12</v>
      </c>
      <c r="P314" s="97">
        <v>0.14000000000000001</v>
      </c>
      <c r="Q314" s="76"/>
      <c r="R314" s="76" t="s">
        <v>580</v>
      </c>
      <c r="S314" s="76" t="s">
        <v>580</v>
      </c>
      <c r="T314" s="76"/>
      <c r="U314" s="260">
        <f t="shared" si="59"/>
        <v>0.14000000000000001</v>
      </c>
      <c r="V314" s="260">
        <f t="shared" si="59"/>
        <v>0.14000000000000001</v>
      </c>
      <c r="W314" s="260">
        <f t="shared" si="59"/>
        <v>0.14000000000000001</v>
      </c>
      <c r="X314" s="260">
        <f t="shared" si="59"/>
        <v>0.14000000000000001</v>
      </c>
      <c r="Y314" s="260">
        <f t="shared" si="59"/>
        <v>0.14000000000000001</v>
      </c>
      <c r="Z314" s="260">
        <f t="shared" si="59"/>
        <v>0.14000000000000001</v>
      </c>
      <c r="AA314" s="260">
        <f t="shared" si="59"/>
        <v>0.14000000000000001</v>
      </c>
      <c r="AB314" s="260">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1033</v>
      </c>
      <c r="G315" s="73"/>
      <c r="H315" s="76" t="s">
        <v>1034</v>
      </c>
      <c r="I315" s="96" t="s">
        <v>570</v>
      </c>
      <c r="J315" s="96"/>
      <c r="K315" s="97">
        <v>8.0000000000000002E-3</v>
      </c>
      <c r="L315" s="97">
        <v>8.0000000000000002E-3</v>
      </c>
      <c r="M315" s="97">
        <v>8.0000000000000002E-3</v>
      </c>
      <c r="N315" s="97">
        <v>8.0000000000000002E-3</v>
      </c>
      <c r="O315" s="97">
        <v>8.0000000000000002E-3</v>
      </c>
      <c r="P315" s="97">
        <v>8.0000000000000002E-3</v>
      </c>
      <c r="Q315" s="76"/>
      <c r="R315" s="76" t="s">
        <v>580</v>
      </c>
      <c r="S315" s="76" t="s">
        <v>580</v>
      </c>
      <c r="T315" s="76"/>
      <c r="U315" s="260">
        <f t="shared" si="59"/>
        <v>8.0000000000000002E-3</v>
      </c>
      <c r="V315" s="260">
        <f t="shared" si="59"/>
        <v>8.0000000000000002E-3</v>
      </c>
      <c r="W315" s="260">
        <f t="shared" si="59"/>
        <v>8.0000000000000002E-3</v>
      </c>
      <c r="X315" s="260">
        <f t="shared" si="59"/>
        <v>8.0000000000000002E-3</v>
      </c>
      <c r="Y315" s="260">
        <f t="shared" si="59"/>
        <v>8.0000000000000002E-3</v>
      </c>
      <c r="Z315" s="260">
        <f t="shared" si="59"/>
        <v>8.0000000000000002E-3</v>
      </c>
      <c r="AA315" s="260">
        <f t="shared" si="59"/>
        <v>8.0000000000000002E-3</v>
      </c>
      <c r="AB315" s="260">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1035</v>
      </c>
      <c r="G316" s="73"/>
      <c r="H316" s="76" t="s">
        <v>1036</v>
      </c>
      <c r="I316" s="96" t="s">
        <v>570</v>
      </c>
      <c r="J316" s="96"/>
      <c r="K316" s="97">
        <v>0.115</v>
      </c>
      <c r="L316" s="97">
        <v>0.115</v>
      </c>
      <c r="M316" s="97">
        <v>0.115</v>
      </c>
      <c r="N316" s="97">
        <v>0.115</v>
      </c>
      <c r="O316" s="97">
        <v>0.115</v>
      </c>
      <c r="P316" s="97">
        <v>0.115</v>
      </c>
      <c r="Q316" s="76"/>
      <c r="R316" s="76" t="s">
        <v>580</v>
      </c>
      <c r="S316" s="76" t="s">
        <v>580</v>
      </c>
      <c r="T316" s="76"/>
      <c r="U316" s="260">
        <f t="shared" si="59"/>
        <v>0.115</v>
      </c>
      <c r="V316" s="260">
        <f t="shared" si="59"/>
        <v>0.115</v>
      </c>
      <c r="W316" s="260">
        <f t="shared" si="59"/>
        <v>0.115</v>
      </c>
      <c r="X316" s="260">
        <f t="shared" si="59"/>
        <v>0.115</v>
      </c>
      <c r="Y316" s="260">
        <f t="shared" si="59"/>
        <v>0.115</v>
      </c>
      <c r="Z316" s="260">
        <f t="shared" si="59"/>
        <v>0.115</v>
      </c>
      <c r="AA316" s="260">
        <f t="shared" si="59"/>
        <v>0.115</v>
      </c>
      <c r="AB316" s="260">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1037</v>
      </c>
      <c r="G317" s="73"/>
      <c r="H317" s="76" t="s">
        <v>624</v>
      </c>
      <c r="I317" s="96" t="s">
        <v>570</v>
      </c>
      <c r="J317" s="96"/>
      <c r="K317" s="76"/>
      <c r="L317" s="76"/>
      <c r="M317" s="76"/>
      <c r="N317" s="76"/>
      <c r="O317" s="76"/>
      <c r="P317" s="76"/>
      <c r="Q317" s="76"/>
      <c r="R317" s="76" t="s">
        <v>580</v>
      </c>
      <c r="S317" s="76" t="s">
        <v>580</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1038</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1039</v>
      </c>
      <c r="G319" s="73"/>
      <c r="H319" s="76" t="s">
        <v>1040</v>
      </c>
      <c r="I319" s="96" t="s">
        <v>570</v>
      </c>
      <c r="J319" s="96"/>
      <c r="K319" s="97">
        <v>1.0900000000000001</v>
      </c>
      <c r="L319" s="97">
        <v>1.0900000000000001</v>
      </c>
      <c r="M319" s="97">
        <v>1.0900000000000001</v>
      </c>
      <c r="N319" s="97">
        <v>1.0900000000000001</v>
      </c>
      <c r="O319" s="97">
        <v>1.0900000000000001</v>
      </c>
      <c r="P319" s="97">
        <v>1.0900000000000001</v>
      </c>
      <c r="Q319" s="76"/>
      <c r="R319" s="76" t="s">
        <v>580</v>
      </c>
      <c r="S319" s="76" t="s">
        <v>580</v>
      </c>
      <c r="T319" s="76"/>
      <c r="U319" s="260">
        <f t="shared" ref="U319:AB323" si="60">INDEX($K319:$Q319,1,U$43)</f>
        <v>1.0900000000000001</v>
      </c>
      <c r="V319" s="260">
        <f t="shared" si="60"/>
        <v>1.0900000000000001</v>
      </c>
      <c r="W319" s="260">
        <f t="shared" si="60"/>
        <v>1.0900000000000001</v>
      </c>
      <c r="X319" s="260">
        <f t="shared" si="60"/>
        <v>1.0900000000000001</v>
      </c>
      <c r="Y319" s="260">
        <f t="shared" si="60"/>
        <v>1.0900000000000001</v>
      </c>
      <c r="Z319" s="260">
        <f t="shared" si="60"/>
        <v>1.0900000000000001</v>
      </c>
      <c r="AA319" s="260">
        <f t="shared" si="60"/>
        <v>1.0900000000000001</v>
      </c>
      <c r="AB319" s="260">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1041</v>
      </c>
      <c r="G320" s="73"/>
      <c r="H320" s="76" t="s">
        <v>1042</v>
      </c>
      <c r="I320" s="96" t="s">
        <v>570</v>
      </c>
      <c r="J320" s="96"/>
      <c r="K320" s="97">
        <v>0.21</v>
      </c>
      <c r="L320" s="97">
        <v>0.21</v>
      </c>
      <c r="M320" s="97">
        <v>0.21</v>
      </c>
      <c r="N320" s="97">
        <v>0.21</v>
      </c>
      <c r="O320" s="97">
        <v>0.21</v>
      </c>
      <c r="P320" s="97">
        <v>0.21</v>
      </c>
      <c r="Q320" s="76"/>
      <c r="R320" s="76" t="s">
        <v>1043</v>
      </c>
      <c r="S320" s="76" t="s">
        <v>1044</v>
      </c>
      <c r="T320" s="76"/>
      <c r="U320" s="260">
        <f t="shared" si="60"/>
        <v>0.21</v>
      </c>
      <c r="V320" s="260">
        <f t="shared" si="60"/>
        <v>0.21</v>
      </c>
      <c r="W320" s="260">
        <f t="shared" si="60"/>
        <v>0.21</v>
      </c>
      <c r="X320" s="260">
        <f t="shared" si="60"/>
        <v>0.21</v>
      </c>
      <c r="Y320" s="260">
        <f t="shared" si="60"/>
        <v>0.21</v>
      </c>
      <c r="Z320" s="260">
        <f t="shared" si="60"/>
        <v>0.21</v>
      </c>
      <c r="AA320" s="260">
        <f t="shared" si="60"/>
        <v>0.21</v>
      </c>
      <c r="AB320" s="260">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1045</v>
      </c>
      <c r="G321" s="73"/>
      <c r="H321" s="76" t="s">
        <v>1046</v>
      </c>
      <c r="I321" s="96" t="s">
        <v>570</v>
      </c>
      <c r="J321" s="96"/>
      <c r="K321" s="97">
        <v>0.9</v>
      </c>
      <c r="L321" s="97">
        <v>0.9</v>
      </c>
      <c r="M321" s="97">
        <v>0.9</v>
      </c>
      <c r="N321" s="97">
        <v>0.9</v>
      </c>
      <c r="O321" s="97">
        <v>0.9</v>
      </c>
      <c r="P321" s="97">
        <v>0.9</v>
      </c>
      <c r="Q321" s="76"/>
      <c r="R321" s="76" t="s">
        <v>1047</v>
      </c>
      <c r="S321" s="76" t="s">
        <v>1048</v>
      </c>
      <c r="T321" s="76"/>
      <c r="U321" s="260">
        <f t="shared" si="60"/>
        <v>0.9</v>
      </c>
      <c r="V321" s="260">
        <f t="shared" si="60"/>
        <v>0.9</v>
      </c>
      <c r="W321" s="260">
        <f t="shared" si="60"/>
        <v>0.9</v>
      </c>
      <c r="X321" s="260">
        <f t="shared" si="60"/>
        <v>0.9</v>
      </c>
      <c r="Y321" s="260">
        <f t="shared" si="60"/>
        <v>0.9</v>
      </c>
      <c r="Z321" s="260">
        <f t="shared" si="60"/>
        <v>0.9</v>
      </c>
      <c r="AA321" s="260">
        <f t="shared" si="60"/>
        <v>0.9</v>
      </c>
      <c r="AB321" s="260">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1049</v>
      </c>
      <c r="G322" s="73"/>
      <c r="H322" s="76" t="s">
        <v>1050</v>
      </c>
      <c r="I322" s="96" t="s">
        <v>2329</v>
      </c>
      <c r="J322" s="96"/>
      <c r="K322" s="97">
        <v>23.8</v>
      </c>
      <c r="L322" s="97">
        <v>23.8</v>
      </c>
      <c r="M322" s="97">
        <v>23.8</v>
      </c>
      <c r="N322" s="97">
        <v>23.8</v>
      </c>
      <c r="O322" s="97">
        <v>23.8</v>
      </c>
      <c r="P322" s="97">
        <v>23.8</v>
      </c>
      <c r="Q322" s="76"/>
      <c r="R322" s="76" t="s">
        <v>2330</v>
      </c>
      <c r="S322" s="76" t="s">
        <v>2330</v>
      </c>
      <c r="T322" s="76"/>
      <c r="U322" s="260">
        <f t="shared" si="60"/>
        <v>23.8</v>
      </c>
      <c r="V322" s="260">
        <f t="shared" si="60"/>
        <v>23.8</v>
      </c>
      <c r="W322" s="260">
        <f t="shared" si="60"/>
        <v>23.8</v>
      </c>
      <c r="X322" s="260">
        <f t="shared" si="60"/>
        <v>23.8</v>
      </c>
      <c r="Y322" s="260">
        <f t="shared" si="60"/>
        <v>23.8</v>
      </c>
      <c r="Z322" s="260">
        <f t="shared" si="60"/>
        <v>23.8</v>
      </c>
      <c r="AA322" s="260">
        <f t="shared" si="60"/>
        <v>23.8</v>
      </c>
      <c r="AB322" s="260">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1051</v>
      </c>
      <c r="G323" s="73"/>
      <c r="H323" s="76" t="s">
        <v>1052</v>
      </c>
      <c r="I323" s="96" t="s">
        <v>2329</v>
      </c>
      <c r="J323" s="96"/>
      <c r="K323" s="97">
        <v>39.6</v>
      </c>
      <c r="L323" s="97">
        <v>39.6</v>
      </c>
      <c r="M323" s="97">
        <v>39.6</v>
      </c>
      <c r="N323" s="97">
        <v>39.6</v>
      </c>
      <c r="O323" s="97">
        <v>39.6</v>
      </c>
      <c r="P323" s="97">
        <v>39.6</v>
      </c>
      <c r="Q323" s="76"/>
      <c r="R323" s="76" t="s">
        <v>2330</v>
      </c>
      <c r="S323" s="76" t="s">
        <v>2330</v>
      </c>
      <c r="T323" s="76"/>
      <c r="U323" s="260">
        <f t="shared" si="60"/>
        <v>39.6</v>
      </c>
      <c r="V323" s="260">
        <f t="shared" si="60"/>
        <v>39.6</v>
      </c>
      <c r="W323" s="260">
        <f t="shared" si="60"/>
        <v>39.6</v>
      </c>
      <c r="X323" s="260">
        <f t="shared" si="60"/>
        <v>39.6</v>
      </c>
      <c r="Y323" s="260">
        <f t="shared" si="60"/>
        <v>39.6</v>
      </c>
      <c r="Z323" s="260">
        <f t="shared" si="60"/>
        <v>39.6</v>
      </c>
      <c r="AA323" s="260">
        <f t="shared" si="60"/>
        <v>39.6</v>
      </c>
      <c r="AB323" s="260">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3" t="s">
        <v>1053</v>
      </c>
      <c r="G324" s="73"/>
      <c r="H324" s="253" t="s">
        <v>1054</v>
      </c>
      <c r="I324" s="96"/>
      <c r="J324" s="96" t="s">
        <v>587</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1055</v>
      </c>
      <c r="F325" s="70" t="s">
        <v>1056</v>
      </c>
      <c r="G325" s="73"/>
      <c r="H325" s="76" t="s">
        <v>563</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1057</v>
      </c>
      <c r="G326" s="73"/>
      <c r="H326" s="76" t="s">
        <v>2468</v>
      </c>
      <c r="I326" s="96" t="s">
        <v>663</v>
      </c>
      <c r="J326" s="96"/>
      <c r="K326" s="97">
        <v>1.84E-2</v>
      </c>
      <c r="L326" s="97">
        <v>1.84E-2</v>
      </c>
      <c r="M326" s="97">
        <v>1.84E-2</v>
      </c>
      <c r="N326" s="97">
        <v>1.84E-2</v>
      </c>
      <c r="O326" s="97">
        <v>1.84E-2</v>
      </c>
      <c r="P326" s="97">
        <v>1.84E-2</v>
      </c>
      <c r="Q326" s="76"/>
      <c r="R326" s="76" t="s">
        <v>1058</v>
      </c>
      <c r="S326" s="76" t="s">
        <v>1058</v>
      </c>
      <c r="T326" s="76"/>
      <c r="U326" s="260">
        <f t="shared" ref="U326:AB330" si="61">INDEX($K326:$Q326,1,U$43)</f>
        <v>1.84E-2</v>
      </c>
      <c r="V326" s="260">
        <f t="shared" si="61"/>
        <v>1.84E-2</v>
      </c>
      <c r="W326" s="260">
        <f t="shared" si="61"/>
        <v>1.84E-2</v>
      </c>
      <c r="X326" s="260">
        <f t="shared" si="61"/>
        <v>1.84E-2</v>
      </c>
      <c r="Y326" s="260">
        <f t="shared" si="61"/>
        <v>1.84E-2</v>
      </c>
      <c r="Z326" s="260">
        <f t="shared" si="61"/>
        <v>1.84E-2</v>
      </c>
      <c r="AA326" s="260">
        <f t="shared" si="61"/>
        <v>1.84E-2</v>
      </c>
      <c r="AB326" s="260">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1059</v>
      </c>
      <c r="G327" s="73"/>
      <c r="H327" s="76" t="s">
        <v>2472</v>
      </c>
      <c r="I327" s="96" t="s">
        <v>570</v>
      </c>
      <c r="J327" s="96"/>
      <c r="K327" s="97">
        <v>13</v>
      </c>
      <c r="L327" s="97">
        <v>13</v>
      </c>
      <c r="M327" s="97">
        <v>13</v>
      </c>
      <c r="N327" s="97">
        <v>13</v>
      </c>
      <c r="O327" s="97">
        <v>13</v>
      </c>
      <c r="P327" s="97">
        <v>13</v>
      </c>
      <c r="Q327" s="76"/>
      <c r="R327" s="76" t="s">
        <v>1058</v>
      </c>
      <c r="S327" s="76" t="s">
        <v>1058</v>
      </c>
      <c r="T327" s="76"/>
      <c r="U327" s="260">
        <f t="shared" si="61"/>
        <v>13</v>
      </c>
      <c r="V327" s="260">
        <f t="shared" si="61"/>
        <v>13</v>
      </c>
      <c r="W327" s="260">
        <f t="shared" si="61"/>
        <v>13</v>
      </c>
      <c r="X327" s="260">
        <f t="shared" si="61"/>
        <v>13</v>
      </c>
      <c r="Y327" s="260">
        <f t="shared" si="61"/>
        <v>13</v>
      </c>
      <c r="Z327" s="260">
        <f t="shared" si="61"/>
        <v>13</v>
      </c>
      <c r="AA327" s="260">
        <f t="shared" si="61"/>
        <v>13</v>
      </c>
      <c r="AB327" s="260">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1060</v>
      </c>
      <c r="G328" s="73"/>
      <c r="H328" s="76" t="s">
        <v>2469</v>
      </c>
      <c r="I328" s="96" t="s">
        <v>695</v>
      </c>
      <c r="J328" s="96"/>
      <c r="K328" s="97">
        <v>7.52</v>
      </c>
      <c r="L328" s="97">
        <v>7.52</v>
      </c>
      <c r="M328" s="97">
        <v>7.52</v>
      </c>
      <c r="N328" s="97">
        <v>7.52</v>
      </c>
      <c r="O328" s="97">
        <v>7.52</v>
      </c>
      <c r="P328" s="97">
        <v>7.52</v>
      </c>
      <c r="Q328" s="76"/>
      <c r="R328" s="76" t="s">
        <v>1058</v>
      </c>
      <c r="S328" s="76" t="s">
        <v>1058</v>
      </c>
      <c r="T328" s="76"/>
      <c r="U328" s="260">
        <f t="shared" si="61"/>
        <v>7.52</v>
      </c>
      <c r="V328" s="260">
        <f t="shared" si="61"/>
        <v>7.52</v>
      </c>
      <c r="W328" s="260">
        <f t="shared" si="61"/>
        <v>7.52</v>
      </c>
      <c r="X328" s="260">
        <f t="shared" si="61"/>
        <v>7.52</v>
      </c>
      <c r="Y328" s="260">
        <f t="shared" si="61"/>
        <v>7.52</v>
      </c>
      <c r="Z328" s="260">
        <f t="shared" si="61"/>
        <v>7.52</v>
      </c>
      <c r="AA328" s="260">
        <f t="shared" si="61"/>
        <v>7.52</v>
      </c>
      <c r="AB328" s="260">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1061</v>
      </c>
      <c r="G329" s="73"/>
      <c r="H329" s="76" t="s">
        <v>2470</v>
      </c>
      <c r="I329" s="96" t="s">
        <v>570</v>
      </c>
      <c r="J329" s="96"/>
      <c r="K329" s="97">
        <v>23.7</v>
      </c>
      <c r="L329" s="97">
        <v>23.7</v>
      </c>
      <c r="M329" s="97">
        <v>23.7</v>
      </c>
      <c r="N329" s="97">
        <v>23.7</v>
      </c>
      <c r="O329" s="97">
        <v>23.7</v>
      </c>
      <c r="P329" s="97">
        <v>23.7</v>
      </c>
      <c r="Q329" s="76"/>
      <c r="R329" s="76" t="s">
        <v>1058</v>
      </c>
      <c r="S329" s="76" t="s">
        <v>1058</v>
      </c>
      <c r="T329" s="76"/>
      <c r="U329" s="260">
        <f t="shared" si="61"/>
        <v>23.7</v>
      </c>
      <c r="V329" s="260">
        <f t="shared" si="61"/>
        <v>23.7</v>
      </c>
      <c r="W329" s="260">
        <f t="shared" si="61"/>
        <v>23.7</v>
      </c>
      <c r="X329" s="260">
        <f t="shared" si="61"/>
        <v>23.7</v>
      </c>
      <c r="Y329" s="260">
        <f t="shared" si="61"/>
        <v>23.7</v>
      </c>
      <c r="Z329" s="260">
        <f t="shared" si="61"/>
        <v>23.7</v>
      </c>
      <c r="AA329" s="260">
        <f t="shared" si="61"/>
        <v>23.7</v>
      </c>
      <c r="AB329" s="260">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1062</v>
      </c>
      <c r="G330" s="73"/>
      <c r="H330" s="76" t="s">
        <v>2471</v>
      </c>
      <c r="I330" s="96" t="s">
        <v>695</v>
      </c>
      <c r="J330" s="96"/>
      <c r="K330" s="97">
        <v>3.36</v>
      </c>
      <c r="L330" s="97">
        <v>3.36</v>
      </c>
      <c r="M330" s="97">
        <v>3.36</v>
      </c>
      <c r="N330" s="97">
        <v>3.36</v>
      </c>
      <c r="O330" s="97">
        <v>3.36</v>
      </c>
      <c r="P330" s="97">
        <v>3.36</v>
      </c>
      <c r="Q330" s="76"/>
      <c r="R330" s="76" t="s">
        <v>1058</v>
      </c>
      <c r="S330" s="76" t="s">
        <v>1058</v>
      </c>
      <c r="T330" s="76"/>
      <c r="U330" s="260">
        <f t="shared" si="61"/>
        <v>3.36</v>
      </c>
      <c r="V330" s="260">
        <f t="shared" si="61"/>
        <v>3.36</v>
      </c>
      <c r="W330" s="260">
        <f t="shared" si="61"/>
        <v>3.36</v>
      </c>
      <c r="X330" s="260">
        <f t="shared" si="61"/>
        <v>3.36</v>
      </c>
      <c r="Y330" s="260">
        <f t="shared" si="61"/>
        <v>3.36</v>
      </c>
      <c r="Z330" s="260">
        <f t="shared" si="61"/>
        <v>3.36</v>
      </c>
      <c r="AA330" s="260">
        <f t="shared" si="61"/>
        <v>3.36</v>
      </c>
      <c r="AB330" s="260">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3" t="s">
        <v>467</v>
      </c>
      <c r="G331" s="73"/>
      <c r="H331" s="253" t="s">
        <v>1063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1064</v>
      </c>
      <c r="F332" s="70" t="s">
        <v>1065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2693</v>
      </c>
      <c r="G333" s="73"/>
      <c r="H333" s="76" t="s">
        <v>2475</v>
      </c>
      <c r="I333" s="96" t="s">
        <v>570</v>
      </c>
      <c r="J333" s="96"/>
      <c r="K333" s="97">
        <v>9.375E-2</v>
      </c>
      <c r="L333" s="97">
        <v>0.20499999999999999</v>
      </c>
      <c r="M333" s="97">
        <v>0</v>
      </c>
      <c r="N333" s="97">
        <v>0</v>
      </c>
      <c r="O333" s="97">
        <v>0</v>
      </c>
      <c r="P333" s="97">
        <v>0</v>
      </c>
      <c r="Q333" s="76"/>
      <c r="R333" s="97" t="s">
        <v>2687</v>
      </c>
      <c r="S333" s="76"/>
      <c r="T333" s="76"/>
      <c r="U333" s="260">
        <f t="shared" ref="U333:AB333" si="62">INDEX($K333:$Q333,1,U$43)</f>
        <v>9.375E-2</v>
      </c>
      <c r="V333" s="260">
        <f t="shared" si="62"/>
        <v>9.375E-2</v>
      </c>
      <c r="W333" s="260">
        <f t="shared" si="62"/>
        <v>9.375E-2</v>
      </c>
      <c r="X333" s="260">
        <f t="shared" si="62"/>
        <v>0.20499999999999999</v>
      </c>
      <c r="Y333" s="260">
        <f t="shared" si="62"/>
        <v>0.20499999999999999</v>
      </c>
      <c r="Z333" s="260">
        <f t="shared" si="62"/>
        <v>0.20499999999999999</v>
      </c>
      <c r="AA333" s="260">
        <f t="shared" si="62"/>
        <v>0.20499999999999999</v>
      </c>
      <c r="AB333" s="260">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1066</v>
      </c>
      <c r="G334" s="73"/>
      <c r="H334" s="76" t="s">
        <v>1067</v>
      </c>
      <c r="I334" s="96" t="s">
        <v>570</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1068</v>
      </c>
      <c r="G335" s="73"/>
      <c r="H335" s="76" t="s">
        <v>1069</v>
      </c>
      <c r="I335" s="96" t="s">
        <v>570</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1070</v>
      </c>
      <c r="G336" s="73"/>
      <c r="H336" s="76" t="s">
        <v>1071</v>
      </c>
      <c r="I336" s="96" t="s">
        <v>599</v>
      </c>
      <c r="J336" s="96"/>
      <c r="K336" s="97">
        <v>17</v>
      </c>
      <c r="L336" s="97">
        <v>17</v>
      </c>
      <c r="M336" s="97">
        <v>21</v>
      </c>
      <c r="N336" s="97">
        <v>21</v>
      </c>
      <c r="O336" s="97">
        <v>21</v>
      </c>
      <c r="P336" s="97">
        <v>21</v>
      </c>
      <c r="Q336" s="76"/>
      <c r="R336" s="76"/>
      <c r="S336" s="76"/>
      <c r="T336" s="76"/>
      <c r="U336" s="260">
        <f t="shared" ref="U336:AB336" si="64">INDEX($K336:$Q336,1,U$43)</f>
        <v>17</v>
      </c>
      <c r="V336" s="260">
        <f t="shared" si="64"/>
        <v>17</v>
      </c>
      <c r="W336" s="260">
        <f t="shared" si="64"/>
        <v>17</v>
      </c>
      <c r="X336" s="260">
        <f t="shared" si="64"/>
        <v>17</v>
      </c>
      <c r="Y336" s="260">
        <f t="shared" si="64"/>
        <v>17</v>
      </c>
      <c r="Z336" s="260">
        <f t="shared" si="64"/>
        <v>17</v>
      </c>
      <c r="AA336" s="260">
        <f t="shared" si="64"/>
        <v>17</v>
      </c>
      <c r="AB336" s="260">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1072</v>
      </c>
      <c r="G337" s="73"/>
      <c r="H337" s="76" t="s">
        <v>1073</v>
      </c>
      <c r="I337" s="96" t="s">
        <v>642</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521</v>
      </c>
      <c r="AE337" s="76"/>
      <c r="AF337" s="97">
        <v>1</v>
      </c>
      <c r="AG337" s="97">
        <v>1</v>
      </c>
      <c r="AH337" s="73"/>
      <c r="AI337" s="57"/>
      <c r="AJ337" s="45"/>
      <c r="AK337" s="45"/>
      <c r="AL337" s="45"/>
    </row>
    <row r="338" spans="1:38" outlineLevel="1" x14ac:dyDescent="0.25">
      <c r="A338" s="45"/>
      <c r="B338" s="54"/>
      <c r="C338" s="47">
        <f>INT($C$29)+1</f>
        <v>2</v>
      </c>
      <c r="D338" s="73"/>
      <c r="E338" s="70"/>
      <c r="F338" s="263" t="s">
        <v>1074</v>
      </c>
      <c r="G338" s="73"/>
      <c r="H338" s="253" t="s">
        <v>1075</v>
      </c>
      <c r="I338" s="96"/>
      <c r="J338" s="96" t="s">
        <v>587</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1076</v>
      </c>
      <c r="F339" s="70" t="s">
        <v>1077</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1078</v>
      </c>
      <c r="G340" s="73"/>
      <c r="H340" s="76" t="s">
        <v>1079</v>
      </c>
      <c r="I340" s="96" t="s">
        <v>2324</v>
      </c>
      <c r="J340" s="96"/>
      <c r="K340" s="267">
        <f>0.03/365</f>
        <v>8.219178082191781E-5</v>
      </c>
      <c r="L340" s="267">
        <f>0.03/365</f>
        <v>8.219178082191781E-5</v>
      </c>
      <c r="M340" s="267">
        <v>5.5300000000000002E-5</v>
      </c>
      <c r="N340" s="267">
        <v>5.5300000000000002E-5</v>
      </c>
      <c r="O340" s="267">
        <v>5.5300000000000002E-5</v>
      </c>
      <c r="P340" s="267">
        <v>5.5300000000000002E-5</v>
      </c>
      <c r="Q340" s="76"/>
      <c r="R340" s="76" t="s">
        <v>2866</v>
      </c>
      <c r="S340" s="76" t="s">
        <v>618</v>
      </c>
      <c r="T340" s="76"/>
      <c r="U340" s="260">
        <f t="shared" ref="U340:AB342" si="65">INDEX($K340:$Q340,1,U$43)</f>
        <v>8.219178082191781E-5</v>
      </c>
      <c r="V340" s="260">
        <f t="shared" si="65"/>
        <v>8.219178082191781E-5</v>
      </c>
      <c r="W340" s="260">
        <f t="shared" si="65"/>
        <v>8.219178082191781E-5</v>
      </c>
      <c r="X340" s="260">
        <f t="shared" si="65"/>
        <v>8.219178082191781E-5</v>
      </c>
      <c r="Y340" s="260">
        <f t="shared" si="65"/>
        <v>8.219178082191781E-5</v>
      </c>
      <c r="Z340" s="260">
        <f t="shared" si="65"/>
        <v>8.219178082191781E-5</v>
      </c>
      <c r="AA340" s="260">
        <f t="shared" si="65"/>
        <v>8.219178082191781E-5</v>
      </c>
      <c r="AB340" s="260">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1080</v>
      </c>
      <c r="G341" s="73"/>
      <c r="H341" s="76" t="s">
        <v>1081</v>
      </c>
      <c r="I341" s="96" t="s">
        <v>570</v>
      </c>
      <c r="J341" s="96"/>
      <c r="K341" s="97">
        <v>0.3</v>
      </c>
      <c r="L341" s="97">
        <v>0.3</v>
      </c>
      <c r="M341" s="97">
        <v>0.3</v>
      </c>
      <c r="N341" s="97">
        <v>0.3</v>
      </c>
      <c r="O341" s="97">
        <v>0.3</v>
      </c>
      <c r="P341" s="97">
        <v>0.3</v>
      </c>
      <c r="Q341" s="76"/>
      <c r="R341" s="76" t="s">
        <v>618</v>
      </c>
      <c r="S341" s="76" t="s">
        <v>618</v>
      </c>
      <c r="T341" s="76"/>
      <c r="U341" s="260">
        <f t="shared" si="65"/>
        <v>0.3</v>
      </c>
      <c r="V341" s="260">
        <f t="shared" si="65"/>
        <v>0.3</v>
      </c>
      <c r="W341" s="260">
        <f t="shared" si="65"/>
        <v>0.3</v>
      </c>
      <c r="X341" s="260">
        <f t="shared" si="65"/>
        <v>0.3</v>
      </c>
      <c r="Y341" s="260">
        <f t="shared" si="65"/>
        <v>0.3</v>
      </c>
      <c r="Z341" s="260">
        <f t="shared" si="65"/>
        <v>0.3</v>
      </c>
      <c r="AA341" s="260">
        <f t="shared" si="65"/>
        <v>0.3</v>
      </c>
      <c r="AB341" s="260">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1082</v>
      </c>
      <c r="G342" s="73"/>
      <c r="H342" s="76" t="s">
        <v>1083</v>
      </c>
      <c r="I342" s="96" t="s">
        <v>570</v>
      </c>
      <c r="J342" s="96"/>
      <c r="K342" s="97">
        <v>0.6</v>
      </c>
      <c r="L342" s="97">
        <v>0.6</v>
      </c>
      <c r="M342" s="97">
        <v>0.6</v>
      </c>
      <c r="N342" s="97">
        <v>0.6</v>
      </c>
      <c r="O342" s="97">
        <v>0.6</v>
      </c>
      <c r="P342" s="97">
        <v>0.6</v>
      </c>
      <c r="Q342" s="76"/>
      <c r="R342" s="76" t="s">
        <v>618</v>
      </c>
      <c r="S342" s="76" t="s">
        <v>618</v>
      </c>
      <c r="T342" s="76"/>
      <c r="U342" s="260">
        <f t="shared" si="65"/>
        <v>0.6</v>
      </c>
      <c r="V342" s="260">
        <f t="shared" si="65"/>
        <v>0.6</v>
      </c>
      <c r="W342" s="260">
        <f t="shared" si="65"/>
        <v>0.6</v>
      </c>
      <c r="X342" s="260">
        <f t="shared" si="65"/>
        <v>0.6</v>
      </c>
      <c r="Y342" s="260">
        <f t="shared" si="65"/>
        <v>0.6</v>
      </c>
      <c r="Z342" s="260">
        <f t="shared" si="65"/>
        <v>0.6</v>
      </c>
      <c r="AA342" s="260">
        <f t="shared" si="65"/>
        <v>0.6</v>
      </c>
      <c r="AB342" s="260">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1084</v>
      </c>
      <c r="G343" s="73"/>
      <c r="H343" s="76" t="s">
        <v>1085</v>
      </c>
      <c r="I343" s="96" t="s">
        <v>570</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1086</v>
      </c>
      <c r="G344" s="73"/>
      <c r="H344" s="76" t="s">
        <v>1087</v>
      </c>
      <c r="I344" s="96" t="s">
        <v>570</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1088</v>
      </c>
      <c r="G345" s="73"/>
      <c r="H345" s="76" t="s">
        <v>1089</v>
      </c>
      <c r="I345" s="96" t="s">
        <v>570</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1090</v>
      </c>
      <c r="G346" s="73"/>
      <c r="H346" s="76" t="s">
        <v>1091</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1092</v>
      </c>
      <c r="G347" s="73"/>
      <c r="H347" s="76" t="s">
        <v>1093</v>
      </c>
      <c r="I347" s="96" t="s">
        <v>570</v>
      </c>
      <c r="J347" s="96"/>
      <c r="K347" s="76"/>
      <c r="L347" s="76"/>
      <c r="M347" s="97">
        <v>-40</v>
      </c>
      <c r="N347" s="97">
        <v>-40</v>
      </c>
      <c r="O347" s="97">
        <v>-40</v>
      </c>
      <c r="P347" s="97">
        <v>-40</v>
      </c>
      <c r="Q347" s="76"/>
      <c r="R347" s="76"/>
      <c r="S347" s="76" t="s">
        <v>627</v>
      </c>
      <c r="T347" s="76"/>
      <c r="U347" s="97">
        <v>-9.9499999999999993</v>
      </c>
      <c r="V347" s="97">
        <v>-9.9499999999999993</v>
      </c>
      <c r="W347" s="97">
        <v>-9.9499999999999993</v>
      </c>
      <c r="X347" s="97">
        <v>-8.9</v>
      </c>
      <c r="Y347" s="97">
        <v>-8.9</v>
      </c>
      <c r="Z347" s="97">
        <v>-8.9</v>
      </c>
      <c r="AA347" s="97">
        <v>-8.9</v>
      </c>
      <c r="AB347" s="97">
        <v>-8.9</v>
      </c>
      <c r="AC347" s="76"/>
      <c r="AD347" s="97" t="s">
        <v>1094</v>
      </c>
      <c r="AE347" s="76"/>
      <c r="AF347" s="97">
        <v>1</v>
      </c>
      <c r="AG347" s="97">
        <v>1</v>
      </c>
      <c r="AH347" s="73"/>
      <c r="AI347" s="57"/>
      <c r="AJ347" s="45"/>
      <c r="AK347" s="45"/>
      <c r="AL347" s="45"/>
    </row>
    <row r="348" spans="1:38" outlineLevel="2" x14ac:dyDescent="0.25">
      <c r="A348" s="45"/>
      <c r="B348" s="54"/>
      <c r="C348" s="47">
        <f>INT($C$29)+2</f>
        <v>3</v>
      </c>
      <c r="D348" s="73"/>
      <c r="E348" s="70"/>
      <c r="F348" s="70" t="s">
        <v>1095</v>
      </c>
      <c r="G348" s="73"/>
      <c r="H348" s="76" t="s">
        <v>1096</v>
      </c>
      <c r="I348" s="96" t="s">
        <v>570</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1094</v>
      </c>
      <c r="AE348" s="76"/>
      <c r="AF348" s="97">
        <v>1</v>
      </c>
      <c r="AG348" s="97">
        <v>1</v>
      </c>
      <c r="AH348" s="73"/>
      <c r="AI348" s="57"/>
      <c r="AJ348" s="45"/>
      <c r="AK348" s="45"/>
      <c r="AL348" s="45"/>
    </row>
    <row r="349" spans="1:38" outlineLevel="2" x14ac:dyDescent="0.25">
      <c r="A349" s="45"/>
      <c r="B349" s="54"/>
      <c r="C349" s="47">
        <f>INT($C$29)+2</f>
        <v>3</v>
      </c>
      <c r="D349" s="73"/>
      <c r="E349" s="70"/>
      <c r="F349" s="70" t="s">
        <v>1097</v>
      </c>
      <c r="G349" s="73"/>
      <c r="H349" s="76" t="s">
        <v>1098</v>
      </c>
      <c r="I349" s="96" t="s">
        <v>570</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1094</v>
      </c>
      <c r="AE349" s="76"/>
      <c r="AF349" s="97">
        <v>1</v>
      </c>
      <c r="AG349" s="97">
        <v>1</v>
      </c>
      <c r="AH349" s="73"/>
      <c r="AI349" s="57"/>
      <c r="AJ349" s="45"/>
      <c r="AK349" s="45"/>
      <c r="AL349" s="45"/>
    </row>
    <row r="350" spans="1:38" outlineLevel="3" x14ac:dyDescent="0.25">
      <c r="A350" s="45"/>
      <c r="B350" s="54"/>
      <c r="C350" s="47">
        <f>INT($C$29)+3</f>
        <v>4</v>
      </c>
      <c r="D350" s="73"/>
      <c r="E350" s="70"/>
      <c r="F350" s="70" t="s">
        <v>1099</v>
      </c>
      <c r="G350" s="73"/>
      <c r="H350" s="76" t="s">
        <v>1100</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1101</v>
      </c>
      <c r="G351" s="73"/>
      <c r="H351" s="76" t="s">
        <v>1102</v>
      </c>
      <c r="I351" s="96" t="s">
        <v>570</v>
      </c>
      <c r="J351" s="96"/>
      <c r="K351" s="97">
        <v>0.1</v>
      </c>
      <c r="L351" s="97">
        <v>0.1</v>
      </c>
      <c r="M351" s="97">
        <v>0.1</v>
      </c>
      <c r="N351" s="97">
        <v>0.1</v>
      </c>
      <c r="O351" s="97">
        <v>0.1</v>
      </c>
      <c r="P351" s="97">
        <v>0.1</v>
      </c>
      <c r="Q351" s="76"/>
      <c r="R351" s="76" t="s">
        <v>1103</v>
      </c>
      <c r="S351" s="76"/>
      <c r="T351" s="76"/>
      <c r="U351" s="260">
        <f t="shared" ref="U351:AB351" si="67">INDEX($K351:$Q351,1,U$43)</f>
        <v>0.1</v>
      </c>
      <c r="V351" s="260">
        <f t="shared" si="67"/>
        <v>0.1</v>
      </c>
      <c r="W351" s="260">
        <f t="shared" si="67"/>
        <v>0.1</v>
      </c>
      <c r="X351" s="260">
        <f t="shared" si="67"/>
        <v>0.1</v>
      </c>
      <c r="Y351" s="260">
        <f t="shared" si="67"/>
        <v>0.1</v>
      </c>
      <c r="Z351" s="260">
        <f t="shared" si="67"/>
        <v>0.1</v>
      </c>
      <c r="AA351" s="260">
        <f t="shared" si="67"/>
        <v>0.1</v>
      </c>
      <c r="AB351" s="260">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1104</v>
      </c>
      <c r="G352" s="73"/>
      <c r="H352" s="391" t="s">
        <v>2867</v>
      </c>
      <c r="I352" s="96" t="s">
        <v>570</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1105</v>
      </c>
      <c r="AE352" s="76"/>
      <c r="AF352" s="97">
        <v>1</v>
      </c>
      <c r="AG352" s="97">
        <v>1</v>
      </c>
      <c r="AH352" s="73"/>
      <c r="AI352" s="57"/>
      <c r="AJ352" s="45"/>
      <c r="AK352" s="45"/>
      <c r="AL352" s="45"/>
    </row>
    <row r="353" spans="1:38" outlineLevel="2" x14ac:dyDescent="0.25">
      <c r="A353" s="45"/>
      <c r="B353" s="54"/>
      <c r="C353" s="47">
        <f t="shared" si="66"/>
        <v>3</v>
      </c>
      <c r="D353" s="73"/>
      <c r="E353" s="70"/>
      <c r="F353" s="70" t="s">
        <v>1106</v>
      </c>
      <c r="G353" s="73"/>
      <c r="H353" s="76" t="s">
        <v>1107</v>
      </c>
      <c r="I353" s="96" t="s">
        <v>570</v>
      </c>
      <c r="J353" s="96"/>
      <c r="K353" s="97">
        <v>300</v>
      </c>
      <c r="L353" s="97">
        <v>300</v>
      </c>
      <c r="M353" s="97">
        <v>300</v>
      </c>
      <c r="N353" s="97">
        <v>300</v>
      </c>
      <c r="O353" s="97">
        <v>300</v>
      </c>
      <c r="P353" s="97">
        <v>300</v>
      </c>
      <c r="Q353" s="76"/>
      <c r="R353" s="76"/>
      <c r="S353" s="76"/>
      <c r="T353" s="76"/>
      <c r="U353" s="260">
        <f t="shared" ref="U353:AB360" si="69">INDEX($K353:$Q353,1,U$43)</f>
        <v>300</v>
      </c>
      <c r="V353" s="260">
        <f t="shared" si="69"/>
        <v>300</v>
      </c>
      <c r="W353" s="260">
        <f t="shared" si="69"/>
        <v>300</v>
      </c>
      <c r="X353" s="260">
        <f t="shared" si="69"/>
        <v>300</v>
      </c>
      <c r="Y353" s="260">
        <f t="shared" si="69"/>
        <v>300</v>
      </c>
      <c r="Z353" s="260">
        <f t="shared" si="69"/>
        <v>300</v>
      </c>
      <c r="AA353" s="260">
        <f t="shared" si="69"/>
        <v>300</v>
      </c>
      <c r="AB353" s="260">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1108</v>
      </c>
      <c r="G354" s="73"/>
      <c r="H354" s="76" t="s">
        <v>1109</v>
      </c>
      <c r="I354" s="96" t="s">
        <v>570</v>
      </c>
      <c r="J354" s="96"/>
      <c r="K354" s="97">
        <v>365</v>
      </c>
      <c r="L354" s="97">
        <v>365</v>
      </c>
      <c r="M354" s="97">
        <v>365</v>
      </c>
      <c r="N354" s="97">
        <v>365</v>
      </c>
      <c r="O354" s="97">
        <v>365</v>
      </c>
      <c r="P354" s="97">
        <v>365</v>
      </c>
      <c r="Q354" s="76"/>
      <c r="R354" s="76"/>
      <c r="S354" s="76"/>
      <c r="T354" s="76"/>
      <c r="U354" s="260">
        <f t="shared" si="69"/>
        <v>365</v>
      </c>
      <c r="V354" s="260">
        <f t="shared" si="69"/>
        <v>365</v>
      </c>
      <c r="W354" s="260">
        <f t="shared" si="69"/>
        <v>365</v>
      </c>
      <c r="X354" s="260">
        <f t="shared" si="69"/>
        <v>365</v>
      </c>
      <c r="Y354" s="260">
        <f t="shared" si="69"/>
        <v>365</v>
      </c>
      <c r="Z354" s="260">
        <f t="shared" si="69"/>
        <v>365</v>
      </c>
      <c r="AA354" s="260">
        <f t="shared" si="69"/>
        <v>365</v>
      </c>
      <c r="AB354" s="260">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1110</v>
      </c>
      <c r="G355" s="73"/>
      <c r="H355" s="76" t="s">
        <v>1111</v>
      </c>
      <c r="I355" s="96" t="s">
        <v>570</v>
      </c>
      <c r="J355" s="96"/>
      <c r="K355" s="97">
        <v>0.2</v>
      </c>
      <c r="L355" s="97">
        <v>0.2</v>
      </c>
      <c r="M355" s="97"/>
      <c r="N355" s="97"/>
      <c r="O355" s="97"/>
      <c r="P355" s="97"/>
      <c r="Q355" s="76"/>
      <c r="R355" s="76"/>
      <c r="S355" s="76"/>
      <c r="T355" s="76"/>
      <c r="U355" s="260">
        <f t="shared" si="69"/>
        <v>0.2</v>
      </c>
      <c r="V355" s="260">
        <f t="shared" si="69"/>
        <v>0.2</v>
      </c>
      <c r="W355" s="260">
        <f t="shared" si="69"/>
        <v>0.2</v>
      </c>
      <c r="X355" s="260">
        <f t="shared" si="69"/>
        <v>0.2</v>
      </c>
      <c r="Y355" s="260">
        <f t="shared" si="69"/>
        <v>0.2</v>
      </c>
      <c r="Z355" s="260">
        <f t="shared" si="69"/>
        <v>0.2</v>
      </c>
      <c r="AA355" s="260">
        <f t="shared" si="69"/>
        <v>0.2</v>
      </c>
      <c r="AB355" s="260">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1112</v>
      </c>
      <c r="G356" s="73"/>
      <c r="H356" s="76" t="s">
        <v>1113</v>
      </c>
      <c r="I356" s="96" t="s">
        <v>570</v>
      </c>
      <c r="J356" s="96"/>
      <c r="K356" s="97">
        <v>0.5</v>
      </c>
      <c r="L356" s="97">
        <v>0.5</v>
      </c>
      <c r="M356" s="97"/>
      <c r="N356" s="97"/>
      <c r="O356" s="97"/>
      <c r="P356" s="97"/>
      <c r="Q356" s="76"/>
      <c r="R356" s="76" t="s">
        <v>521</v>
      </c>
      <c r="S356" s="76"/>
      <c r="T356" s="76"/>
      <c r="U356" s="260">
        <f t="shared" si="69"/>
        <v>0.5</v>
      </c>
      <c r="V356" s="260">
        <f t="shared" si="69"/>
        <v>0.5</v>
      </c>
      <c r="W356" s="260">
        <f t="shared" si="69"/>
        <v>0.5</v>
      </c>
      <c r="X356" s="260">
        <f t="shared" si="69"/>
        <v>0.5</v>
      </c>
      <c r="Y356" s="260">
        <f t="shared" si="69"/>
        <v>0.5</v>
      </c>
      <c r="Z356" s="260">
        <f t="shared" si="69"/>
        <v>0.5</v>
      </c>
      <c r="AA356" s="260">
        <f t="shared" si="69"/>
        <v>0.5</v>
      </c>
      <c r="AB356" s="260">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1114</v>
      </c>
      <c r="G357" s="73"/>
      <c r="H357" s="76" t="s">
        <v>1115</v>
      </c>
      <c r="I357" s="96" t="s">
        <v>570</v>
      </c>
      <c r="J357" s="96"/>
      <c r="K357" s="123">
        <v>0.1</v>
      </c>
      <c r="L357" s="97"/>
      <c r="M357" s="76"/>
      <c r="N357" s="76"/>
      <c r="O357" s="76"/>
      <c r="P357" s="76"/>
      <c r="Q357" s="76"/>
      <c r="R357" s="76"/>
      <c r="S357" s="76"/>
      <c r="T357" s="76"/>
      <c r="U357" s="260">
        <f t="shared" si="69"/>
        <v>0.1</v>
      </c>
      <c r="V357" s="260">
        <f t="shared" si="69"/>
        <v>0.1</v>
      </c>
      <c r="W357" s="260">
        <f t="shared" si="69"/>
        <v>0.1</v>
      </c>
      <c r="X357" s="260">
        <f t="shared" si="69"/>
        <v>0</v>
      </c>
      <c r="Y357" s="260">
        <f t="shared" si="69"/>
        <v>0</v>
      </c>
      <c r="Z357" s="260">
        <f t="shared" si="69"/>
        <v>0</v>
      </c>
      <c r="AA357" s="260">
        <f t="shared" si="69"/>
        <v>0</v>
      </c>
      <c r="AB357" s="260">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1116</v>
      </c>
      <c r="G358" s="73"/>
      <c r="H358" s="76" t="s">
        <v>1117</v>
      </c>
      <c r="I358" s="96" t="s">
        <v>570</v>
      </c>
      <c r="J358" s="96"/>
      <c r="K358" s="123">
        <v>0.03</v>
      </c>
      <c r="L358" s="97"/>
      <c r="M358" s="76"/>
      <c r="N358" s="76"/>
      <c r="O358" s="76"/>
      <c r="P358" s="76"/>
      <c r="Q358" s="76"/>
      <c r="R358" s="76"/>
      <c r="S358" s="76"/>
      <c r="T358" s="76"/>
      <c r="U358" s="260">
        <f t="shared" si="69"/>
        <v>0.03</v>
      </c>
      <c r="V358" s="260">
        <f t="shared" si="69"/>
        <v>0.03</v>
      </c>
      <c r="W358" s="260">
        <f t="shared" si="69"/>
        <v>0.03</v>
      </c>
      <c r="X358" s="260">
        <f t="shared" si="69"/>
        <v>0</v>
      </c>
      <c r="Y358" s="260">
        <f t="shared" si="69"/>
        <v>0</v>
      </c>
      <c r="Z358" s="260">
        <f t="shared" si="69"/>
        <v>0</v>
      </c>
      <c r="AA358" s="260">
        <f t="shared" si="69"/>
        <v>0</v>
      </c>
      <c r="AB358" s="260">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1118</v>
      </c>
      <c r="G359" s="73"/>
      <c r="H359" s="76" t="s">
        <v>1119</v>
      </c>
      <c r="I359" s="96" t="s">
        <v>570</v>
      </c>
      <c r="J359" s="96"/>
      <c r="K359" s="123">
        <v>0.01</v>
      </c>
      <c r="L359" s="97"/>
      <c r="M359" s="76"/>
      <c r="N359" s="76"/>
      <c r="O359" s="76"/>
      <c r="P359" s="76"/>
      <c r="Q359" s="76"/>
      <c r="R359" s="76"/>
      <c r="S359" s="76"/>
      <c r="T359" s="76"/>
      <c r="U359" s="260">
        <f t="shared" si="69"/>
        <v>0.01</v>
      </c>
      <c r="V359" s="260">
        <f t="shared" si="69"/>
        <v>0.01</v>
      </c>
      <c r="W359" s="260">
        <f t="shared" si="69"/>
        <v>0.01</v>
      </c>
      <c r="X359" s="260">
        <f t="shared" si="69"/>
        <v>0</v>
      </c>
      <c r="Y359" s="260">
        <f t="shared" si="69"/>
        <v>0</v>
      </c>
      <c r="Z359" s="260">
        <f t="shared" si="69"/>
        <v>0</v>
      </c>
      <c r="AA359" s="260">
        <f t="shared" si="69"/>
        <v>0</v>
      </c>
      <c r="AB359" s="260">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1120</v>
      </c>
      <c r="G360" s="73"/>
      <c r="H360" s="76" t="s">
        <v>1121</v>
      </c>
      <c r="I360" s="96" t="s">
        <v>570</v>
      </c>
      <c r="J360" s="96"/>
      <c r="K360" s="123">
        <v>0</v>
      </c>
      <c r="L360" s="97"/>
      <c r="M360" s="76"/>
      <c r="N360" s="76"/>
      <c r="O360" s="76"/>
      <c r="P360" s="76"/>
      <c r="Q360" s="76"/>
      <c r="R360" s="76"/>
      <c r="S360" s="76"/>
      <c r="T360" s="76"/>
      <c r="U360" s="260">
        <f t="shared" si="69"/>
        <v>0</v>
      </c>
      <c r="V360" s="260">
        <f t="shared" si="69"/>
        <v>0</v>
      </c>
      <c r="W360" s="260">
        <f t="shared" si="69"/>
        <v>0</v>
      </c>
      <c r="X360" s="260">
        <f t="shared" si="69"/>
        <v>0</v>
      </c>
      <c r="Y360" s="260">
        <f t="shared" si="69"/>
        <v>0</v>
      </c>
      <c r="Z360" s="260">
        <f t="shared" si="69"/>
        <v>0</v>
      </c>
      <c r="AA360" s="260">
        <f t="shared" si="69"/>
        <v>0</v>
      </c>
      <c r="AB360" s="260">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2316</v>
      </c>
      <c r="G361" s="73"/>
      <c r="H361" s="76" t="s">
        <v>2321</v>
      </c>
      <c r="I361" s="96" t="s">
        <v>2324</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1105</v>
      </c>
      <c r="AE361" s="76"/>
      <c r="AF361" s="97">
        <v>1</v>
      </c>
      <c r="AG361" s="97">
        <v>1</v>
      </c>
      <c r="AH361" s="73"/>
      <c r="AI361" s="57"/>
      <c r="AJ361" s="45"/>
      <c r="AK361" s="45"/>
      <c r="AL361" s="45"/>
    </row>
    <row r="362" spans="1:38" outlineLevel="2" x14ac:dyDescent="0.25">
      <c r="A362" s="45"/>
      <c r="B362" s="54"/>
      <c r="C362" s="47">
        <f t="shared" si="66"/>
        <v>3</v>
      </c>
      <c r="D362" s="73"/>
      <c r="E362" s="70"/>
      <c r="F362" s="70" t="s">
        <v>2317</v>
      </c>
      <c r="G362" s="73"/>
      <c r="H362" s="76" t="s">
        <v>2325</v>
      </c>
      <c r="I362" s="96" t="s">
        <v>570</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521</v>
      </c>
      <c r="AE362" s="76"/>
      <c r="AF362" s="97">
        <v>1</v>
      </c>
      <c r="AG362" s="97">
        <v>1</v>
      </c>
      <c r="AH362" s="73"/>
      <c r="AI362" s="57"/>
      <c r="AJ362" s="45"/>
      <c r="AK362" s="45"/>
      <c r="AL362" s="45"/>
    </row>
    <row r="363" spans="1:38" outlineLevel="2" x14ac:dyDescent="0.25">
      <c r="A363" s="45"/>
      <c r="B363" s="54"/>
      <c r="C363" s="47">
        <f t="shared" si="66"/>
        <v>3</v>
      </c>
      <c r="D363" s="73"/>
      <c r="E363" s="70"/>
      <c r="F363" s="70" t="s">
        <v>2318</v>
      </c>
      <c r="G363" s="73"/>
      <c r="H363" s="76" t="s">
        <v>2322</v>
      </c>
      <c r="I363" s="96" t="s">
        <v>570</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521</v>
      </c>
      <c r="AE363" s="76"/>
      <c r="AF363" s="97">
        <v>1</v>
      </c>
      <c r="AG363" s="97">
        <v>1</v>
      </c>
      <c r="AH363" s="73"/>
      <c r="AI363" s="57"/>
      <c r="AJ363" s="45"/>
      <c r="AK363" s="45"/>
      <c r="AL363" s="45"/>
    </row>
    <row r="364" spans="1:38" outlineLevel="2" x14ac:dyDescent="0.25">
      <c r="A364" s="45"/>
      <c r="B364" s="54"/>
      <c r="C364" s="47">
        <f t="shared" si="66"/>
        <v>3</v>
      </c>
      <c r="D364" s="73"/>
      <c r="E364" s="70"/>
      <c r="F364" s="70" t="s">
        <v>2319</v>
      </c>
      <c r="G364" s="73"/>
      <c r="H364" s="76" t="s">
        <v>2326</v>
      </c>
      <c r="I364" s="96" t="s">
        <v>2327</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521</v>
      </c>
      <c r="AE364" s="76"/>
      <c r="AF364" s="97">
        <v>1</v>
      </c>
      <c r="AG364" s="97">
        <v>1</v>
      </c>
      <c r="AH364" s="73"/>
      <c r="AI364" s="57"/>
      <c r="AJ364" s="45"/>
      <c r="AK364" s="45"/>
      <c r="AL364" s="45"/>
    </row>
    <row r="365" spans="1:38" outlineLevel="2" x14ac:dyDescent="0.25">
      <c r="A365" s="45"/>
      <c r="B365" s="54"/>
      <c r="C365" s="47">
        <f t="shared" si="66"/>
        <v>3</v>
      </c>
      <c r="D365" s="73"/>
      <c r="E365" s="70"/>
      <c r="F365" s="70" t="s">
        <v>2320</v>
      </c>
      <c r="G365" s="73"/>
      <c r="H365" s="76" t="s">
        <v>2323</v>
      </c>
      <c r="I365" s="96" t="s">
        <v>2327</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521</v>
      </c>
      <c r="AE365" s="76"/>
      <c r="AF365" s="97">
        <v>1</v>
      </c>
      <c r="AG365" s="97">
        <v>1</v>
      </c>
      <c r="AH365" s="73"/>
      <c r="AI365" s="57"/>
      <c r="AJ365" s="45"/>
      <c r="AK365" s="45"/>
      <c r="AL365" s="45"/>
    </row>
    <row r="366" spans="1:38" outlineLevel="1" x14ac:dyDescent="0.25">
      <c r="A366" s="45"/>
      <c r="B366" s="54"/>
      <c r="C366" s="47">
        <f>INT($C$29)+1</f>
        <v>2</v>
      </c>
      <c r="D366" s="73"/>
      <c r="E366" s="70"/>
      <c r="F366" s="263" t="s">
        <v>1122</v>
      </c>
      <c r="G366" s="73"/>
      <c r="H366" s="253" t="s">
        <v>1123</v>
      </c>
      <c r="I366" s="136"/>
      <c r="J366" s="136" t="s">
        <v>1124</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1125</v>
      </c>
      <c r="G367" s="73"/>
      <c r="H367" s="76" t="s">
        <v>672</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1126</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1127</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1128</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1129</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1130</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1131</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1132</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1133</v>
      </c>
      <c r="G375" s="73"/>
      <c r="H375" s="76" t="s">
        <v>672</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1134</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1135</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1136</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1137</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1138</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1139</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1140</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1141</v>
      </c>
      <c r="G383" s="73"/>
      <c r="H383" s="76" t="s">
        <v>2352</v>
      </c>
      <c r="I383" s="96"/>
      <c r="J383" s="96"/>
      <c r="K383" s="76"/>
      <c r="L383" s="76"/>
      <c r="M383" s="76"/>
      <c r="N383" s="76"/>
      <c r="O383" s="76"/>
      <c r="P383" s="76"/>
      <c r="Q383" s="76"/>
      <c r="R383" s="76"/>
      <c r="S383" s="76"/>
      <c r="T383" s="76"/>
      <c r="U383" s="343">
        <v>0</v>
      </c>
      <c r="V383" s="343">
        <v>0</v>
      </c>
      <c r="W383" s="343">
        <v>0</v>
      </c>
      <c r="X383" s="343">
        <v>0</v>
      </c>
      <c r="Y383" s="343">
        <v>0</v>
      </c>
      <c r="Z383" s="343">
        <v>0</v>
      </c>
      <c r="AA383" s="343">
        <v>0</v>
      </c>
      <c r="AB383" s="343">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1142</v>
      </c>
      <c r="G384" s="73"/>
      <c r="H384" s="76" t="s">
        <v>2690</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2359</v>
      </c>
      <c r="AE384" s="76"/>
      <c r="AF384" s="97">
        <v>1</v>
      </c>
      <c r="AG384" s="97">
        <v>1</v>
      </c>
      <c r="AH384" s="73"/>
      <c r="AI384" s="57"/>
      <c r="AJ384" s="45"/>
      <c r="AK384" s="45"/>
      <c r="AL384" s="45"/>
    </row>
    <row r="385" spans="1:38" outlineLevel="2" x14ac:dyDescent="0.25">
      <c r="A385" s="45"/>
      <c r="B385" s="54"/>
      <c r="C385" s="47">
        <f t="shared" si="71"/>
        <v>3</v>
      </c>
      <c r="D385" s="73"/>
      <c r="E385" s="70"/>
      <c r="F385" s="70" t="s">
        <v>1143</v>
      </c>
      <c r="G385" s="73"/>
      <c r="H385" s="76" t="s">
        <v>2353</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1144</v>
      </c>
      <c r="G386" s="73"/>
      <c r="H386" s="76" t="s">
        <v>2354</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1145</v>
      </c>
      <c r="G387" s="73"/>
      <c r="H387" s="76" t="s">
        <v>2355</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1146</v>
      </c>
      <c r="G388" s="73"/>
      <c r="H388" s="76" t="s">
        <v>2356</v>
      </c>
      <c r="I388" s="96"/>
      <c r="J388" s="96"/>
      <c r="K388" s="76"/>
      <c r="L388" s="76"/>
      <c r="M388" s="76"/>
      <c r="N388" s="76"/>
      <c r="O388" s="76"/>
      <c r="P388" s="76"/>
      <c r="Q388" s="76"/>
      <c r="R388" s="76"/>
      <c r="S388" s="76"/>
      <c r="T388" s="76"/>
      <c r="U388" s="268">
        <f>U387</f>
        <v>0.33</v>
      </c>
      <c r="V388" s="268">
        <f>V387</f>
        <v>0.33</v>
      </c>
      <c r="W388" s="268">
        <f>W387</f>
        <v>0.33</v>
      </c>
      <c r="X388" s="268">
        <f t="shared" ref="X388:AB388" si="72">X387</f>
        <v>0.33</v>
      </c>
      <c r="Y388" s="268">
        <f t="shared" si="72"/>
        <v>0.33</v>
      </c>
      <c r="Z388" s="268">
        <f t="shared" si="72"/>
        <v>0.33</v>
      </c>
      <c r="AA388" s="268">
        <f t="shared" si="72"/>
        <v>0.33</v>
      </c>
      <c r="AB388" s="268">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1147</v>
      </c>
      <c r="G389" s="73"/>
      <c r="H389" s="76" t="s">
        <v>2357</v>
      </c>
      <c r="I389" s="96"/>
      <c r="J389" s="96"/>
      <c r="K389" s="76"/>
      <c r="L389" s="76"/>
      <c r="M389" s="76"/>
      <c r="N389" s="76"/>
      <c r="O389" s="76"/>
      <c r="P389" s="76"/>
      <c r="Q389" s="76"/>
      <c r="R389" s="76"/>
      <c r="S389" s="76"/>
      <c r="T389" s="76"/>
      <c r="U389" s="268">
        <f t="shared" ref="U389:AB389" si="73">U388</f>
        <v>0.33</v>
      </c>
      <c r="V389" s="268">
        <f t="shared" si="73"/>
        <v>0.33</v>
      </c>
      <c r="W389" s="268">
        <f t="shared" si="73"/>
        <v>0.33</v>
      </c>
      <c r="X389" s="268">
        <f t="shared" si="73"/>
        <v>0.33</v>
      </c>
      <c r="Y389" s="268">
        <f t="shared" si="73"/>
        <v>0.33</v>
      </c>
      <c r="Z389" s="268">
        <f t="shared" si="73"/>
        <v>0.33</v>
      </c>
      <c r="AA389" s="268">
        <f t="shared" si="73"/>
        <v>0.33</v>
      </c>
      <c r="AB389" s="268">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1148</v>
      </c>
      <c r="G390" s="73"/>
      <c r="H390" s="76" t="s">
        <v>2358</v>
      </c>
      <c r="I390" s="96"/>
      <c r="J390" s="96"/>
      <c r="K390" s="76"/>
      <c r="L390" s="76"/>
      <c r="M390" s="76"/>
      <c r="N390" s="76"/>
      <c r="O390" s="76"/>
      <c r="P390" s="76"/>
      <c r="Q390" s="76"/>
      <c r="R390" s="76"/>
      <c r="S390" s="76"/>
      <c r="T390" s="76"/>
      <c r="U390" s="268">
        <f t="shared" ref="U390:AB390" si="74">U389</f>
        <v>0.33</v>
      </c>
      <c r="V390" s="268">
        <f t="shared" si="74"/>
        <v>0.33</v>
      </c>
      <c r="W390" s="268">
        <f t="shared" si="74"/>
        <v>0.33</v>
      </c>
      <c r="X390" s="268">
        <f t="shared" si="74"/>
        <v>0.33</v>
      </c>
      <c r="Y390" s="268">
        <f t="shared" si="74"/>
        <v>0.33</v>
      </c>
      <c r="Z390" s="268">
        <f t="shared" si="74"/>
        <v>0.33</v>
      </c>
      <c r="AA390" s="268">
        <f t="shared" si="74"/>
        <v>0.33</v>
      </c>
      <c r="AB390" s="268">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1149</v>
      </c>
      <c r="G391" s="73"/>
      <c r="H391" s="76" t="s">
        <v>672</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1150</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1151</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1152</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1153</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1154</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1155</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1156</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1157</v>
      </c>
      <c r="G399" s="73"/>
      <c r="H399" s="76" t="s">
        <v>672</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1158</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1159</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1160</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1161</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1162</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1163</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1164</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1165</v>
      </c>
      <c r="G407" s="73"/>
      <c r="H407" s="76" t="s">
        <v>672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1166</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1167</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1168</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1169</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1170</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1171</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1172</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1173</v>
      </c>
      <c r="G415" s="73"/>
      <c r="H415" s="76" t="s">
        <v>672</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1174</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1175</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1176</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1181</v>
      </c>
      <c r="G423" s="73"/>
      <c r="H423" s="76" t="s">
        <v>672</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1189</v>
      </c>
      <c r="G431" s="73"/>
      <c r="H431" s="76" t="s">
        <v>2260</v>
      </c>
      <c r="I431" s="96"/>
      <c r="J431" s="96"/>
      <c r="K431" s="76"/>
      <c r="L431" s="76"/>
      <c r="M431" s="76"/>
      <c r="N431" s="76"/>
      <c r="O431" s="76"/>
      <c r="P431" s="76"/>
      <c r="Q431" s="76"/>
      <c r="R431" s="76"/>
      <c r="S431" s="76"/>
      <c r="T431" s="76"/>
      <c r="U431" s="97">
        <f t="shared" ref="U431" si="76">-1+0.4</f>
        <v>-0.6</v>
      </c>
      <c r="V431" s="262">
        <f t="shared" ref="V431" si="77">U431</f>
        <v>-0.6</v>
      </c>
      <c r="W431" s="262">
        <f t="shared" ref="W431" si="78">V431</f>
        <v>-0.6</v>
      </c>
      <c r="X431" s="262">
        <f t="shared" ref="X431" si="79">Y431</f>
        <v>-1</v>
      </c>
      <c r="Y431" s="97">
        <v>-1</v>
      </c>
      <c r="Z431" s="262">
        <f t="shared" ref="Z431:AB431" si="80">Y431</f>
        <v>-1</v>
      </c>
      <c r="AA431" s="262">
        <f t="shared" si="80"/>
        <v>-1</v>
      </c>
      <c r="AB431" s="262">
        <f t="shared" si="80"/>
        <v>-1</v>
      </c>
      <c r="AC431" s="76"/>
      <c r="AD431" s="97" t="s">
        <v>2686</v>
      </c>
      <c r="AE431" s="76"/>
      <c r="AF431" s="97">
        <v>1</v>
      </c>
      <c r="AG431" s="97">
        <v>1</v>
      </c>
      <c r="AH431" s="73"/>
      <c r="AI431" s="57"/>
      <c r="AJ431" s="45"/>
      <c r="AK431" s="45"/>
      <c r="AL431" s="45"/>
    </row>
    <row r="432" spans="1:38" outlineLevel="2" x14ac:dyDescent="0.25">
      <c r="A432" s="45"/>
      <c r="B432" s="54"/>
      <c r="C432" s="47">
        <f t="shared" si="75"/>
        <v>3</v>
      </c>
      <c r="D432" s="73"/>
      <c r="E432" s="70"/>
      <c r="F432" s="70" t="s">
        <v>1190</v>
      </c>
      <c r="G432" s="73"/>
      <c r="H432" s="76" t="s">
        <v>2696</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1191</v>
      </c>
      <c r="G433" s="73"/>
      <c r="H433" s="76" t="s">
        <v>2697</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1192</v>
      </c>
      <c r="G434" s="73"/>
      <c r="H434" s="76" t="s">
        <v>2698</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1193</v>
      </c>
      <c r="G435" s="73"/>
      <c r="H435" s="76" t="s">
        <v>2699</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1194</v>
      </c>
      <c r="G436" s="73"/>
      <c r="H436" s="76" t="s">
        <v>2700</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1195</v>
      </c>
      <c r="G437" s="73"/>
      <c r="H437" s="76" t="s">
        <v>2701</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1196</v>
      </c>
      <c r="G438" s="73"/>
      <c r="H438" s="76" t="s">
        <v>2702</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1197</v>
      </c>
      <c r="G439" s="73"/>
      <c r="H439" s="76" t="s">
        <v>672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1198</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1199</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1200</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1205</v>
      </c>
      <c r="G447" s="73"/>
      <c r="H447" s="76" t="s">
        <v>672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1208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1213</v>
      </c>
      <c r="G455" s="73"/>
      <c r="H455" s="76" t="s">
        <v>672</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1220</v>
      </c>
      <c r="G462" s="73"/>
      <c r="H462" s="76"/>
      <c r="I462" s="96"/>
      <c r="J462" s="96"/>
      <c r="K462" s="76"/>
      <c r="L462" s="76"/>
      <c r="M462" s="76"/>
      <c r="N462" s="76"/>
      <c r="O462" s="76"/>
      <c r="P462" s="76"/>
      <c r="Q462" s="76"/>
      <c r="R462" s="76"/>
      <c r="S462" s="76"/>
      <c r="T462" s="96" t="s">
        <v>1221</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1222</v>
      </c>
      <c r="G463" s="73"/>
      <c r="H463" s="76" t="s">
        <v>1223</v>
      </c>
      <c r="I463" s="96" t="s">
        <v>570</v>
      </c>
      <c r="J463" s="96" t="s">
        <v>1224</v>
      </c>
      <c r="K463" s="76"/>
      <c r="L463" s="76"/>
      <c r="M463" s="76"/>
      <c r="N463" s="76"/>
      <c r="O463" s="76"/>
      <c r="P463" s="76"/>
      <c r="Q463" s="76"/>
      <c r="R463" s="76"/>
      <c r="S463" s="76"/>
      <c r="T463" s="76">
        <v>-0.1</v>
      </c>
      <c r="U463" s="97">
        <v>-0.2</v>
      </c>
      <c r="V463" s="97">
        <v>-0.2</v>
      </c>
      <c r="W463" s="97">
        <v>-0.2</v>
      </c>
      <c r="X463" s="262">
        <f t="shared" ref="X463:AB475" si="81">W463</f>
        <v>-0.2</v>
      </c>
      <c r="Y463" s="262">
        <f t="shared" si="81"/>
        <v>-0.2</v>
      </c>
      <c r="Z463" s="262">
        <f t="shared" si="81"/>
        <v>-0.2</v>
      </c>
      <c r="AA463" s="262">
        <f t="shared" si="81"/>
        <v>-0.2</v>
      </c>
      <c r="AB463" s="262">
        <f t="shared" si="81"/>
        <v>-0.2</v>
      </c>
      <c r="AC463" s="76"/>
      <c r="AD463" s="97" t="s">
        <v>1225</v>
      </c>
      <c r="AE463" s="76"/>
      <c r="AF463" s="97">
        <v>1</v>
      </c>
      <c r="AG463" s="97">
        <v>1</v>
      </c>
      <c r="AH463" s="73"/>
      <c r="AI463" s="57"/>
      <c r="AJ463" s="45"/>
      <c r="AK463" s="45"/>
      <c r="AL463" s="45"/>
    </row>
    <row r="464" spans="1:38" outlineLevel="2" x14ac:dyDescent="0.25">
      <c r="A464" s="45"/>
      <c r="B464" s="54"/>
      <c r="C464" s="47">
        <f t="shared" si="75"/>
        <v>3</v>
      </c>
      <c r="D464" s="73"/>
      <c r="E464" s="70"/>
      <c r="F464" s="70" t="s">
        <v>1226</v>
      </c>
      <c r="G464" s="73"/>
      <c r="H464" s="76" t="s">
        <v>2703</v>
      </c>
      <c r="I464" s="96" t="s">
        <v>570</v>
      </c>
      <c r="J464" s="96" t="s">
        <v>1224</v>
      </c>
      <c r="K464" s="76"/>
      <c r="L464" s="76"/>
      <c r="M464" s="76"/>
      <c r="N464" s="76"/>
      <c r="O464" s="76"/>
      <c r="P464" s="76"/>
      <c r="Q464" s="76"/>
      <c r="R464" s="76"/>
      <c r="S464" s="76"/>
      <c r="T464" s="76">
        <v>0</v>
      </c>
      <c r="U464" s="97">
        <v>-0.1</v>
      </c>
      <c r="V464" s="97">
        <v>-0.1</v>
      </c>
      <c r="W464" s="97">
        <v>-0.1</v>
      </c>
      <c r="X464" s="262">
        <f t="shared" si="81"/>
        <v>-0.1</v>
      </c>
      <c r="Y464" s="262">
        <f t="shared" si="81"/>
        <v>-0.1</v>
      </c>
      <c r="Z464" s="262">
        <f t="shared" si="81"/>
        <v>-0.1</v>
      </c>
      <c r="AA464" s="262">
        <f t="shared" si="81"/>
        <v>-0.1</v>
      </c>
      <c r="AB464" s="262">
        <f t="shared" si="81"/>
        <v>-0.1</v>
      </c>
      <c r="AC464" s="76"/>
      <c r="AD464" s="97" t="s">
        <v>2691</v>
      </c>
      <c r="AE464" s="76"/>
      <c r="AF464" s="97">
        <v>1</v>
      </c>
      <c r="AG464" s="97">
        <v>1</v>
      </c>
      <c r="AH464" s="73"/>
      <c r="AI464" s="57"/>
      <c r="AJ464" s="45"/>
      <c r="AK464" s="45"/>
      <c r="AL464" s="45"/>
    </row>
    <row r="465" spans="1:38" outlineLevel="2" x14ac:dyDescent="0.25">
      <c r="A465" s="45"/>
      <c r="B465" s="54"/>
      <c r="C465" s="47">
        <f t="shared" si="75"/>
        <v>3</v>
      </c>
      <c r="D465" s="73"/>
      <c r="E465" s="70"/>
      <c r="F465" s="70" t="s">
        <v>1227</v>
      </c>
      <c r="G465" s="73"/>
      <c r="H465" s="76" t="s">
        <v>2704</v>
      </c>
      <c r="I465" s="96" t="s">
        <v>570</v>
      </c>
      <c r="J465" s="96" t="s">
        <v>1224</v>
      </c>
      <c r="K465" s="76"/>
      <c r="L465" s="76"/>
      <c r="M465" s="76"/>
      <c r="N465" s="76"/>
      <c r="O465" s="76"/>
      <c r="P465" s="76"/>
      <c r="Q465" s="76"/>
      <c r="R465" s="76"/>
      <c r="S465" s="76"/>
      <c r="T465" s="76">
        <v>-1.4E-2</v>
      </c>
      <c r="U465" s="97">
        <v>0</v>
      </c>
      <c r="V465" s="97">
        <v>0</v>
      </c>
      <c r="W465" s="97">
        <v>0</v>
      </c>
      <c r="X465" s="262">
        <f t="shared" si="81"/>
        <v>0</v>
      </c>
      <c r="Y465" s="262">
        <f t="shared" si="81"/>
        <v>0</v>
      </c>
      <c r="Z465" s="262">
        <f t="shared" si="81"/>
        <v>0</v>
      </c>
      <c r="AA465" s="262">
        <f t="shared" si="81"/>
        <v>0</v>
      </c>
      <c r="AB465" s="262">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1228</v>
      </c>
      <c r="G466" s="73"/>
      <c r="H466" s="76" t="s">
        <v>2705</v>
      </c>
      <c r="I466" s="96" t="s">
        <v>570</v>
      </c>
      <c r="J466" s="96" t="s">
        <v>1224</v>
      </c>
      <c r="K466" s="76"/>
      <c r="L466" s="76"/>
      <c r="M466" s="76"/>
      <c r="N466" s="76"/>
      <c r="O466" s="76"/>
      <c r="P466" s="76"/>
      <c r="Q466" s="76"/>
      <c r="R466" s="76"/>
      <c r="S466" s="76"/>
      <c r="T466" s="76">
        <v>-0.104</v>
      </c>
      <c r="U466" s="97">
        <v>0</v>
      </c>
      <c r="V466" s="97">
        <v>0</v>
      </c>
      <c r="W466" s="97">
        <v>0</v>
      </c>
      <c r="X466" s="262">
        <f t="shared" si="81"/>
        <v>0</v>
      </c>
      <c r="Y466" s="262">
        <f t="shared" si="81"/>
        <v>0</v>
      </c>
      <c r="Z466" s="262">
        <f t="shared" si="81"/>
        <v>0</v>
      </c>
      <c r="AA466" s="262">
        <f t="shared" si="81"/>
        <v>0</v>
      </c>
      <c r="AB466" s="262">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1229</v>
      </c>
      <c r="G467" s="73"/>
      <c r="H467" s="76" t="s">
        <v>2706</v>
      </c>
      <c r="I467" s="96" t="s">
        <v>570</v>
      </c>
      <c r="J467" s="96" t="s">
        <v>1224</v>
      </c>
      <c r="K467" s="76"/>
      <c r="L467" s="76"/>
      <c r="M467" s="76"/>
      <c r="N467" s="76"/>
      <c r="O467" s="76"/>
      <c r="P467" s="76"/>
      <c r="Q467" s="76"/>
      <c r="R467" s="76"/>
      <c r="S467" s="76"/>
      <c r="T467" s="76">
        <v>-0.32100000000000001</v>
      </c>
      <c r="U467" s="97">
        <v>0</v>
      </c>
      <c r="V467" s="97">
        <v>0</v>
      </c>
      <c r="W467" s="97">
        <v>0</v>
      </c>
      <c r="X467" s="262">
        <f t="shared" si="81"/>
        <v>0</v>
      </c>
      <c r="Y467" s="262">
        <f t="shared" si="81"/>
        <v>0</v>
      </c>
      <c r="Z467" s="262">
        <f t="shared" si="81"/>
        <v>0</v>
      </c>
      <c r="AA467" s="262">
        <f t="shared" si="81"/>
        <v>0</v>
      </c>
      <c r="AB467" s="262">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1230</v>
      </c>
      <c r="G468" s="73"/>
      <c r="H468" s="76" t="s">
        <v>2707</v>
      </c>
      <c r="I468" s="96" t="s">
        <v>570</v>
      </c>
      <c r="J468" s="96" t="s">
        <v>1224</v>
      </c>
      <c r="K468" s="76"/>
      <c r="L468" s="76"/>
      <c r="M468" s="76"/>
      <c r="N468" s="76"/>
      <c r="O468" s="76"/>
      <c r="P468" s="76"/>
      <c r="Q468" s="76"/>
      <c r="R468" s="76"/>
      <c r="S468" s="76"/>
      <c r="T468" s="76">
        <v>-0.32100000000000001</v>
      </c>
      <c r="U468" s="268">
        <f>U467</f>
        <v>0</v>
      </c>
      <c r="V468" s="268">
        <f>V467</f>
        <v>0</v>
      </c>
      <c r="W468" s="268">
        <f>W467</f>
        <v>0</v>
      </c>
      <c r="X468" s="268">
        <f t="shared" ref="X468:AB470" si="82">X467</f>
        <v>0</v>
      </c>
      <c r="Y468" s="268">
        <f t="shared" si="82"/>
        <v>0</v>
      </c>
      <c r="Z468" s="268">
        <f t="shared" si="82"/>
        <v>0</v>
      </c>
      <c r="AA468" s="268">
        <f t="shared" si="82"/>
        <v>0</v>
      </c>
      <c r="AB468" s="268">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1231</v>
      </c>
      <c r="G469" s="73"/>
      <c r="H469" s="76" t="s">
        <v>2708</v>
      </c>
      <c r="I469" s="96" t="s">
        <v>570</v>
      </c>
      <c r="J469" s="96" t="s">
        <v>1224</v>
      </c>
      <c r="K469" s="76"/>
      <c r="L469" s="76"/>
      <c r="M469" s="76"/>
      <c r="N469" s="76"/>
      <c r="O469" s="76"/>
      <c r="P469" s="76"/>
      <c r="Q469" s="76"/>
      <c r="R469" s="76"/>
      <c r="S469" s="76"/>
      <c r="T469" s="76">
        <v>-0.32100000000000001</v>
      </c>
      <c r="U469" s="268">
        <f t="shared" ref="U469:W470" si="83">U468</f>
        <v>0</v>
      </c>
      <c r="V469" s="268">
        <f t="shared" si="83"/>
        <v>0</v>
      </c>
      <c r="W469" s="268">
        <f t="shared" si="83"/>
        <v>0</v>
      </c>
      <c r="X469" s="268">
        <f t="shared" si="82"/>
        <v>0</v>
      </c>
      <c r="Y469" s="268">
        <f t="shared" si="82"/>
        <v>0</v>
      </c>
      <c r="Z469" s="268">
        <f t="shared" si="82"/>
        <v>0</v>
      </c>
      <c r="AA469" s="268">
        <f t="shared" si="82"/>
        <v>0</v>
      </c>
      <c r="AB469" s="268">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1232</v>
      </c>
      <c r="G470" s="73"/>
      <c r="H470" s="76" t="s">
        <v>2709</v>
      </c>
      <c r="I470" s="96" t="s">
        <v>570</v>
      </c>
      <c r="J470" s="96" t="s">
        <v>1224</v>
      </c>
      <c r="K470" s="76"/>
      <c r="L470" s="76"/>
      <c r="M470" s="76"/>
      <c r="N470" s="76"/>
      <c r="O470" s="76"/>
      <c r="P470" s="76"/>
      <c r="Q470" s="76"/>
      <c r="R470" s="76"/>
      <c r="S470" s="76"/>
      <c r="T470" s="76">
        <v>-0.32100000000000001</v>
      </c>
      <c r="U470" s="268">
        <f t="shared" si="83"/>
        <v>0</v>
      </c>
      <c r="V470" s="268">
        <f t="shared" si="83"/>
        <v>0</v>
      </c>
      <c r="W470" s="268">
        <f t="shared" si="83"/>
        <v>0</v>
      </c>
      <c r="X470" s="268">
        <f t="shared" si="82"/>
        <v>0</v>
      </c>
      <c r="Y470" s="268">
        <f t="shared" si="82"/>
        <v>0</v>
      </c>
      <c r="Z470" s="268">
        <f t="shared" si="82"/>
        <v>0</v>
      </c>
      <c r="AA470" s="268">
        <f t="shared" si="82"/>
        <v>0</v>
      </c>
      <c r="AB470" s="268">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1233</v>
      </c>
      <c r="G471" s="73"/>
      <c r="H471" s="76" t="s">
        <v>1234</v>
      </c>
      <c r="I471" s="96" t="s">
        <v>570</v>
      </c>
      <c r="J471" s="96" t="s">
        <v>1224</v>
      </c>
      <c r="K471" s="76"/>
      <c r="L471" s="76"/>
      <c r="M471" s="76"/>
      <c r="N471" s="76"/>
      <c r="O471" s="76"/>
      <c r="P471" s="76"/>
      <c r="Q471" s="76"/>
      <c r="R471" s="76"/>
      <c r="S471" s="76"/>
      <c r="T471" s="76">
        <v>0</v>
      </c>
      <c r="U471" s="97">
        <v>0</v>
      </c>
      <c r="V471" s="97">
        <v>0</v>
      </c>
      <c r="W471" s="97">
        <v>0</v>
      </c>
      <c r="X471" s="262">
        <f t="shared" si="81"/>
        <v>0</v>
      </c>
      <c r="Y471" s="262">
        <f t="shared" si="81"/>
        <v>0</v>
      </c>
      <c r="Z471" s="262">
        <f t="shared" si="81"/>
        <v>0</v>
      </c>
      <c r="AA471" s="262">
        <f t="shared" si="81"/>
        <v>0</v>
      </c>
      <c r="AB471" s="262">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1235</v>
      </c>
      <c r="G472" s="73"/>
      <c r="H472" s="76" t="s">
        <v>2710</v>
      </c>
      <c r="I472" s="96" t="s">
        <v>570</v>
      </c>
      <c r="J472" s="96" t="s">
        <v>1224</v>
      </c>
      <c r="K472" s="76"/>
      <c r="L472" s="76"/>
      <c r="M472" s="76"/>
      <c r="N472" s="76"/>
      <c r="O472" s="76"/>
      <c r="P472" s="76"/>
      <c r="Q472" s="76"/>
      <c r="R472" s="76"/>
      <c r="S472" s="76"/>
      <c r="T472" s="76">
        <v>0</v>
      </c>
      <c r="U472" s="97">
        <v>0</v>
      </c>
      <c r="V472" s="97">
        <v>0</v>
      </c>
      <c r="W472" s="97">
        <v>0</v>
      </c>
      <c r="X472" s="262">
        <f t="shared" si="81"/>
        <v>0</v>
      </c>
      <c r="Y472" s="262">
        <f t="shared" si="81"/>
        <v>0</v>
      </c>
      <c r="Z472" s="262">
        <f t="shared" si="81"/>
        <v>0</v>
      </c>
      <c r="AA472" s="262">
        <f t="shared" si="81"/>
        <v>0</v>
      </c>
      <c r="AB472" s="262">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1236</v>
      </c>
      <c r="G473" s="73"/>
      <c r="H473" s="76" t="s">
        <v>2711</v>
      </c>
      <c r="I473" s="96" t="s">
        <v>570</v>
      </c>
      <c r="J473" s="96" t="s">
        <v>1224</v>
      </c>
      <c r="K473" s="76"/>
      <c r="L473" s="76"/>
      <c r="M473" s="76"/>
      <c r="N473" s="76"/>
      <c r="O473" s="76"/>
      <c r="P473" s="76"/>
      <c r="Q473" s="76"/>
      <c r="R473" s="76"/>
      <c r="S473" s="76"/>
      <c r="T473" s="76">
        <v>-1.7000000000000001E-2</v>
      </c>
      <c r="U473" s="97">
        <v>0</v>
      </c>
      <c r="V473" s="97">
        <v>0</v>
      </c>
      <c r="W473" s="97">
        <v>0</v>
      </c>
      <c r="X473" s="262">
        <f t="shared" si="81"/>
        <v>0</v>
      </c>
      <c r="Y473" s="262">
        <f t="shared" si="81"/>
        <v>0</v>
      </c>
      <c r="Z473" s="262">
        <f t="shared" si="81"/>
        <v>0</v>
      </c>
      <c r="AA473" s="262">
        <f t="shared" si="81"/>
        <v>0</v>
      </c>
      <c r="AB473" s="262">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1237</v>
      </c>
      <c r="G474" s="73"/>
      <c r="H474" s="76" t="s">
        <v>2712</v>
      </c>
      <c r="I474" s="96" t="s">
        <v>570</v>
      </c>
      <c r="J474" s="96" t="s">
        <v>1224</v>
      </c>
      <c r="K474" s="76"/>
      <c r="L474" s="76"/>
      <c r="M474" s="76"/>
      <c r="N474" s="76"/>
      <c r="O474" s="76"/>
      <c r="P474" s="76"/>
      <c r="Q474" s="76"/>
      <c r="R474" s="76"/>
      <c r="S474" s="76"/>
      <c r="T474" s="76">
        <v>-0.39700000000000002</v>
      </c>
      <c r="U474" s="97">
        <v>0</v>
      </c>
      <c r="V474" s="97">
        <v>0</v>
      </c>
      <c r="W474" s="97">
        <v>0</v>
      </c>
      <c r="X474" s="262">
        <f t="shared" si="81"/>
        <v>0</v>
      </c>
      <c r="Y474" s="262">
        <f t="shared" si="81"/>
        <v>0</v>
      </c>
      <c r="Z474" s="262">
        <f t="shared" si="81"/>
        <v>0</v>
      </c>
      <c r="AA474" s="262">
        <f t="shared" si="81"/>
        <v>0</v>
      </c>
      <c r="AB474" s="262">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1238</v>
      </c>
      <c r="G475" s="73"/>
      <c r="H475" s="76" t="s">
        <v>2713</v>
      </c>
      <c r="I475" s="96" t="s">
        <v>570</v>
      </c>
      <c r="J475" s="96" t="s">
        <v>1224</v>
      </c>
      <c r="K475" s="76"/>
      <c r="L475" s="76"/>
      <c r="M475" s="76"/>
      <c r="N475" s="76"/>
      <c r="O475" s="76"/>
      <c r="P475" s="76"/>
      <c r="Q475" s="76"/>
      <c r="R475" s="76"/>
      <c r="S475" s="76"/>
      <c r="T475" s="76">
        <v>-0.74199999999999999</v>
      </c>
      <c r="U475" s="97">
        <v>0</v>
      </c>
      <c r="V475" s="97">
        <v>0</v>
      </c>
      <c r="W475" s="97">
        <v>0</v>
      </c>
      <c r="X475" s="262">
        <f t="shared" si="81"/>
        <v>0</v>
      </c>
      <c r="Y475" s="262">
        <f t="shared" si="81"/>
        <v>0</v>
      </c>
      <c r="Z475" s="262">
        <f t="shared" si="81"/>
        <v>0</v>
      </c>
      <c r="AA475" s="262">
        <f t="shared" si="81"/>
        <v>0</v>
      </c>
      <c r="AB475" s="262">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1239</v>
      </c>
      <c r="G476" s="73"/>
      <c r="H476" s="76" t="s">
        <v>2714</v>
      </c>
      <c r="I476" s="96" t="s">
        <v>570</v>
      </c>
      <c r="J476" s="96" t="s">
        <v>1224</v>
      </c>
      <c r="K476" s="76"/>
      <c r="L476" s="76"/>
      <c r="M476" s="76"/>
      <c r="N476" s="76"/>
      <c r="O476" s="76"/>
      <c r="P476" s="76"/>
      <c r="Q476" s="76"/>
      <c r="R476" s="76"/>
      <c r="S476" s="76"/>
      <c r="T476" s="76">
        <v>-0.74199999999999999</v>
      </c>
      <c r="U476" s="268">
        <f t="shared" ref="U476:AB478" si="84">U475</f>
        <v>0</v>
      </c>
      <c r="V476" s="268">
        <f t="shared" si="84"/>
        <v>0</v>
      </c>
      <c r="W476" s="268">
        <f t="shared" si="84"/>
        <v>0</v>
      </c>
      <c r="X476" s="268">
        <f t="shared" si="84"/>
        <v>0</v>
      </c>
      <c r="Y476" s="268">
        <f t="shared" si="84"/>
        <v>0</v>
      </c>
      <c r="Z476" s="268">
        <f t="shared" si="84"/>
        <v>0</v>
      </c>
      <c r="AA476" s="268">
        <f t="shared" si="84"/>
        <v>0</v>
      </c>
      <c r="AB476" s="268">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1240</v>
      </c>
      <c r="G477" s="73"/>
      <c r="H477" s="76" t="s">
        <v>2715</v>
      </c>
      <c r="I477" s="96" t="s">
        <v>570</v>
      </c>
      <c r="J477" s="96" t="s">
        <v>1224</v>
      </c>
      <c r="K477" s="76"/>
      <c r="L477" s="76"/>
      <c r="M477" s="76"/>
      <c r="N477" s="76"/>
      <c r="O477" s="76"/>
      <c r="P477" s="76"/>
      <c r="Q477" s="76"/>
      <c r="R477" s="76"/>
      <c r="S477" s="76"/>
      <c r="T477" s="76">
        <v>-0.74199999999999999</v>
      </c>
      <c r="U477" s="268">
        <f t="shared" si="84"/>
        <v>0</v>
      </c>
      <c r="V477" s="268">
        <f t="shared" si="84"/>
        <v>0</v>
      </c>
      <c r="W477" s="268">
        <f t="shared" si="84"/>
        <v>0</v>
      </c>
      <c r="X477" s="268">
        <f t="shared" si="84"/>
        <v>0</v>
      </c>
      <c r="Y477" s="268">
        <f t="shared" si="84"/>
        <v>0</v>
      </c>
      <c r="Z477" s="268">
        <f t="shared" si="84"/>
        <v>0</v>
      </c>
      <c r="AA477" s="268">
        <f t="shared" si="84"/>
        <v>0</v>
      </c>
      <c r="AB477" s="268">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1241</v>
      </c>
      <c r="G478" s="73"/>
      <c r="H478" s="76" t="s">
        <v>2716</v>
      </c>
      <c r="I478" s="96" t="s">
        <v>570</v>
      </c>
      <c r="J478" s="96" t="s">
        <v>1224</v>
      </c>
      <c r="K478" s="76"/>
      <c r="L478" s="76"/>
      <c r="M478" s="76"/>
      <c r="N478" s="76"/>
      <c r="O478" s="76"/>
      <c r="P478" s="76"/>
      <c r="Q478" s="76"/>
      <c r="R478" s="76"/>
      <c r="S478" s="76"/>
      <c r="T478" s="76">
        <v>-0.74199999999999999</v>
      </c>
      <c r="U478" s="268">
        <f t="shared" si="84"/>
        <v>0</v>
      </c>
      <c r="V478" s="268">
        <f t="shared" si="84"/>
        <v>0</v>
      </c>
      <c r="W478" s="268">
        <f t="shared" si="84"/>
        <v>0</v>
      </c>
      <c r="X478" s="268">
        <f t="shared" si="84"/>
        <v>0</v>
      </c>
      <c r="Y478" s="268">
        <f t="shared" si="84"/>
        <v>0</v>
      </c>
      <c r="Z478" s="268">
        <f t="shared" si="84"/>
        <v>0</v>
      </c>
      <c r="AA478" s="268">
        <f t="shared" si="84"/>
        <v>0</v>
      </c>
      <c r="AB478" s="268">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1242</v>
      </c>
      <c r="G479" s="73"/>
      <c r="H479" s="76" t="s">
        <v>672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1247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1248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1249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1250</v>
      </c>
      <c r="G487" s="73"/>
      <c r="H487" s="76" t="s">
        <v>1251</v>
      </c>
      <c r="I487" s="96" t="s">
        <v>570</v>
      </c>
      <c r="J487" s="96" t="s">
        <v>1252</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1253</v>
      </c>
      <c r="AE487" s="76"/>
      <c r="AF487" s="97">
        <v>1</v>
      </c>
      <c r="AG487" s="97">
        <v>1</v>
      </c>
      <c r="AH487" s="73"/>
      <c r="AI487" s="57"/>
      <c r="AJ487" s="45"/>
      <c r="AK487" s="45"/>
      <c r="AL487" s="45"/>
    </row>
    <row r="488" spans="1:38" outlineLevel="2" x14ac:dyDescent="0.25">
      <c r="A488" s="45"/>
      <c r="B488" s="54"/>
      <c r="C488" s="47">
        <f t="shared" si="75"/>
        <v>3</v>
      </c>
      <c r="D488" s="73"/>
      <c r="E488" s="70"/>
      <c r="F488" s="70" t="s">
        <v>1254</v>
      </c>
      <c r="G488" s="73"/>
      <c r="H488" s="76" t="s">
        <v>2717</v>
      </c>
      <c r="I488" s="96" t="s">
        <v>570</v>
      </c>
      <c r="J488" s="96" t="s">
        <v>1252</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1255</v>
      </c>
      <c r="G489" s="73"/>
      <c r="H489" s="76" t="s">
        <v>2718</v>
      </c>
      <c r="I489" s="96" t="s">
        <v>570</v>
      </c>
      <c r="J489" s="96" t="s">
        <v>1252</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1256</v>
      </c>
      <c r="G490" s="73"/>
      <c r="H490" s="76" t="s">
        <v>2719</v>
      </c>
      <c r="I490" s="96" t="s">
        <v>570</v>
      </c>
      <c r="J490" s="96" t="s">
        <v>1252</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1257</v>
      </c>
      <c r="G491" s="73"/>
      <c r="H491" s="76" t="s">
        <v>2720</v>
      </c>
      <c r="I491" s="96" t="s">
        <v>570</v>
      </c>
      <c r="J491" s="96" t="s">
        <v>1252</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1258</v>
      </c>
      <c r="G492" s="73"/>
      <c r="H492" s="76" t="s">
        <v>2721</v>
      </c>
      <c r="I492" s="96" t="s">
        <v>570</v>
      </c>
      <c r="J492" s="96" t="s">
        <v>1252</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1259</v>
      </c>
      <c r="G493" s="73"/>
      <c r="H493" s="76" t="s">
        <v>2722</v>
      </c>
      <c r="I493" s="96" t="s">
        <v>570</v>
      </c>
      <c r="J493" s="96" t="s">
        <v>1252</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1260</v>
      </c>
      <c r="G494" s="73"/>
      <c r="H494" s="76" t="s">
        <v>2723</v>
      </c>
      <c r="I494" s="96" t="s">
        <v>570</v>
      </c>
      <c r="J494" s="96" t="s">
        <v>1252</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1261</v>
      </c>
      <c r="G495" s="73"/>
      <c r="H495" s="76" t="s">
        <v>2264</v>
      </c>
      <c r="I495" s="96" t="s">
        <v>570</v>
      </c>
      <c r="J495" s="96" t="s">
        <v>1224</v>
      </c>
      <c r="K495" s="76"/>
      <c r="L495" s="76"/>
      <c r="M495" s="76"/>
      <c r="N495" s="76"/>
      <c r="O495" s="76"/>
      <c r="P495" s="76"/>
      <c r="Q495" s="76"/>
      <c r="R495" s="76"/>
      <c r="S495" s="76"/>
      <c r="T495" s="76"/>
      <c r="U495" s="346">
        <v>-0.4</v>
      </c>
      <c r="V495" s="346">
        <v>-0.5</v>
      </c>
      <c r="W495" s="346">
        <v>-0.5</v>
      </c>
      <c r="X495" s="262">
        <f>Y495</f>
        <v>-0.55000000000000004</v>
      </c>
      <c r="Y495" s="262">
        <f>Z495</f>
        <v>-0.55000000000000004</v>
      </c>
      <c r="Z495" s="97">
        <v>-0.55000000000000004</v>
      </c>
      <c r="AA495" s="262">
        <f t="shared" ref="AA495" si="86">Z495</f>
        <v>-0.55000000000000004</v>
      </c>
      <c r="AB495" s="262">
        <f t="shared" ref="AB495" si="87">AA495</f>
        <v>-0.55000000000000004</v>
      </c>
      <c r="AC495" s="76"/>
      <c r="AD495" s="97" t="s">
        <v>2795</v>
      </c>
      <c r="AE495" s="76"/>
      <c r="AF495" s="97">
        <v>1</v>
      </c>
      <c r="AG495" s="97">
        <v>1</v>
      </c>
      <c r="AH495" s="73"/>
      <c r="AI495" s="57"/>
      <c r="AJ495" s="45"/>
      <c r="AK495" s="45"/>
      <c r="AL495" s="45"/>
    </row>
    <row r="496" spans="1:38" outlineLevel="2" x14ac:dyDescent="0.25">
      <c r="A496" s="45"/>
      <c r="B496" s="54"/>
      <c r="C496" s="47">
        <f t="shared" si="85"/>
        <v>3</v>
      </c>
      <c r="D496" s="73"/>
      <c r="E496" s="70"/>
      <c r="F496" s="70" t="s">
        <v>1262</v>
      </c>
      <c r="G496" s="73"/>
      <c r="H496" s="76" t="s">
        <v>2724</v>
      </c>
      <c r="I496" s="96" t="s">
        <v>570</v>
      </c>
      <c r="J496" s="96" t="s">
        <v>1224</v>
      </c>
      <c r="K496" s="76"/>
      <c r="L496" s="76"/>
      <c r="M496" s="76"/>
      <c r="N496" s="76"/>
      <c r="O496" s="76"/>
      <c r="P496" s="76"/>
      <c r="Q496" s="76"/>
      <c r="R496" s="76"/>
      <c r="S496" s="76"/>
      <c r="T496" s="76"/>
      <c r="U496" s="269">
        <v>0</v>
      </c>
      <c r="V496" s="269">
        <v>0</v>
      </c>
      <c r="W496" s="269">
        <v>0</v>
      </c>
      <c r="X496" s="262">
        <f t="shared" ref="X496:Y496" si="88">Y496</f>
        <v>-0.2</v>
      </c>
      <c r="Y496" s="262">
        <f t="shared" si="88"/>
        <v>-0.2</v>
      </c>
      <c r="Z496" s="97">
        <v>-0.2</v>
      </c>
      <c r="AA496" s="262">
        <f t="shared" ref="X496:AB518" si="89">Z496</f>
        <v>-0.2</v>
      </c>
      <c r="AB496" s="262">
        <f t="shared" si="89"/>
        <v>-0.2</v>
      </c>
      <c r="AC496" s="76"/>
      <c r="AD496" s="97" t="s">
        <v>2826</v>
      </c>
      <c r="AE496" s="76"/>
      <c r="AF496" s="97">
        <v>1</v>
      </c>
      <c r="AG496" s="97">
        <v>1</v>
      </c>
      <c r="AH496" s="73"/>
      <c r="AI496" s="57"/>
      <c r="AJ496" s="45"/>
      <c r="AK496" s="45"/>
      <c r="AL496" s="45"/>
    </row>
    <row r="497" spans="1:38" outlineLevel="2" x14ac:dyDescent="0.25">
      <c r="A497" s="45"/>
      <c r="B497" s="54"/>
      <c r="C497" s="47">
        <f t="shared" si="85"/>
        <v>3</v>
      </c>
      <c r="D497" s="73"/>
      <c r="E497" s="70"/>
      <c r="F497" s="70" t="s">
        <v>1263</v>
      </c>
      <c r="G497" s="73"/>
      <c r="H497" s="76" t="s">
        <v>2725</v>
      </c>
      <c r="I497" s="96" t="s">
        <v>570</v>
      </c>
      <c r="J497" s="96" t="s">
        <v>1224</v>
      </c>
      <c r="K497" s="76"/>
      <c r="L497" s="76"/>
      <c r="M497" s="76"/>
      <c r="N497" s="76"/>
      <c r="O497" s="76"/>
      <c r="P497" s="76"/>
      <c r="Q497" s="76"/>
      <c r="R497" s="76"/>
      <c r="S497" s="76"/>
      <c r="T497" s="76"/>
      <c r="U497" s="269">
        <v>0</v>
      </c>
      <c r="V497" s="269">
        <v>0</v>
      </c>
      <c r="W497" s="269">
        <v>0</v>
      </c>
      <c r="X497" s="262">
        <f t="shared" ref="X497:Y497" si="90">Y497</f>
        <v>0</v>
      </c>
      <c r="Y497" s="262">
        <f t="shared" si="90"/>
        <v>0</v>
      </c>
      <c r="Z497" s="97">
        <v>0</v>
      </c>
      <c r="AA497" s="262">
        <f t="shared" si="89"/>
        <v>0</v>
      </c>
      <c r="AB497" s="262">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1264</v>
      </c>
      <c r="G498" s="73"/>
      <c r="H498" s="76" t="s">
        <v>2726</v>
      </c>
      <c r="I498" s="96" t="s">
        <v>570</v>
      </c>
      <c r="J498" s="96" t="s">
        <v>1224</v>
      </c>
      <c r="K498" s="76"/>
      <c r="L498" s="76"/>
      <c r="M498" s="76"/>
      <c r="N498" s="76"/>
      <c r="O498" s="76"/>
      <c r="P498" s="76"/>
      <c r="Q498" s="76"/>
      <c r="R498" s="76"/>
      <c r="S498" s="76"/>
      <c r="T498" s="76"/>
      <c r="U498" s="269">
        <v>0</v>
      </c>
      <c r="V498" s="269">
        <v>0</v>
      </c>
      <c r="W498" s="269">
        <v>0</v>
      </c>
      <c r="X498" s="262">
        <f t="shared" ref="X498:Y498" si="91">Y498</f>
        <v>0</v>
      </c>
      <c r="Y498" s="262">
        <f t="shared" si="91"/>
        <v>0</v>
      </c>
      <c r="Z498" s="97">
        <v>0</v>
      </c>
      <c r="AA498" s="262">
        <f t="shared" si="89"/>
        <v>0</v>
      </c>
      <c r="AB498" s="262">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1265</v>
      </c>
      <c r="G499" s="73"/>
      <c r="H499" s="76" t="s">
        <v>2727</v>
      </c>
      <c r="I499" s="96" t="s">
        <v>570</v>
      </c>
      <c r="J499" s="96" t="s">
        <v>1224</v>
      </c>
      <c r="K499" s="76"/>
      <c r="L499" s="76"/>
      <c r="M499" s="76"/>
      <c r="N499" s="76"/>
      <c r="O499" s="76"/>
      <c r="P499" s="76"/>
      <c r="Q499" s="76"/>
      <c r="R499" s="76"/>
      <c r="S499" s="76"/>
      <c r="T499" s="76"/>
      <c r="U499" s="269">
        <v>0</v>
      </c>
      <c r="V499" s="269">
        <v>0</v>
      </c>
      <c r="W499" s="269">
        <v>0</v>
      </c>
      <c r="X499" s="262">
        <f t="shared" ref="X499:Y499" si="92">Y499</f>
        <v>0</v>
      </c>
      <c r="Y499" s="262">
        <f t="shared" si="92"/>
        <v>0</v>
      </c>
      <c r="Z499" s="97">
        <v>0</v>
      </c>
      <c r="AA499" s="262">
        <f t="shared" si="89"/>
        <v>0</v>
      </c>
      <c r="AB499" s="262">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1266</v>
      </c>
      <c r="G500" s="73"/>
      <c r="H500" s="76" t="s">
        <v>2728</v>
      </c>
      <c r="I500" s="96" t="s">
        <v>570</v>
      </c>
      <c r="J500" s="96" t="s">
        <v>1224</v>
      </c>
      <c r="K500" s="76"/>
      <c r="L500" s="76"/>
      <c r="M500" s="76"/>
      <c r="N500" s="76"/>
      <c r="O500" s="76"/>
      <c r="P500" s="76"/>
      <c r="Q500" s="76"/>
      <c r="R500" s="76"/>
      <c r="S500" s="76"/>
      <c r="T500" s="76"/>
      <c r="U500" s="269">
        <v>0</v>
      </c>
      <c r="V500" s="269">
        <v>0</v>
      </c>
      <c r="W500" s="269">
        <v>0</v>
      </c>
      <c r="X500" s="262">
        <f t="shared" ref="X500:Y500" si="93">Y500</f>
        <v>0</v>
      </c>
      <c r="Y500" s="262">
        <f t="shared" si="93"/>
        <v>0</v>
      </c>
      <c r="Z500" s="97">
        <v>0</v>
      </c>
      <c r="AA500" s="262">
        <f t="shared" si="89"/>
        <v>0</v>
      </c>
      <c r="AB500" s="262">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1267</v>
      </c>
      <c r="G501" s="73"/>
      <c r="H501" s="76" t="s">
        <v>2729</v>
      </c>
      <c r="I501" s="96" t="s">
        <v>570</v>
      </c>
      <c r="J501" s="96" t="s">
        <v>1224</v>
      </c>
      <c r="K501" s="76"/>
      <c r="L501" s="76"/>
      <c r="M501" s="76"/>
      <c r="N501" s="76"/>
      <c r="O501" s="76"/>
      <c r="P501" s="76"/>
      <c r="Q501" s="76"/>
      <c r="R501" s="76"/>
      <c r="S501" s="76"/>
      <c r="T501" s="76"/>
      <c r="U501" s="269">
        <v>0</v>
      </c>
      <c r="V501" s="269">
        <v>0</v>
      </c>
      <c r="W501" s="269">
        <v>0</v>
      </c>
      <c r="X501" s="262">
        <f t="shared" ref="X501:Y501" si="94">Y501</f>
        <v>0</v>
      </c>
      <c r="Y501" s="262">
        <f t="shared" si="94"/>
        <v>0</v>
      </c>
      <c r="Z501" s="97">
        <v>0</v>
      </c>
      <c r="AA501" s="262">
        <f t="shared" si="89"/>
        <v>0</v>
      </c>
      <c r="AB501" s="262">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1268</v>
      </c>
      <c r="G502" s="73"/>
      <c r="H502" s="76" t="s">
        <v>2730</v>
      </c>
      <c r="I502" s="96" t="s">
        <v>570</v>
      </c>
      <c r="J502" s="96" t="s">
        <v>1224</v>
      </c>
      <c r="K502" s="76"/>
      <c r="L502" s="76"/>
      <c r="M502" s="76"/>
      <c r="N502" s="76"/>
      <c r="O502" s="76"/>
      <c r="P502" s="76"/>
      <c r="Q502" s="76"/>
      <c r="R502" s="76"/>
      <c r="S502" s="76"/>
      <c r="T502" s="76"/>
      <c r="U502" s="269">
        <v>0</v>
      </c>
      <c r="V502" s="269">
        <v>0</v>
      </c>
      <c r="W502" s="269">
        <v>0</v>
      </c>
      <c r="X502" s="262">
        <f t="shared" ref="X502:Y502" si="95">Y502</f>
        <v>-0.2</v>
      </c>
      <c r="Y502" s="262">
        <f t="shared" si="95"/>
        <v>-0.2</v>
      </c>
      <c r="Z502" s="97">
        <f>Z496</f>
        <v>-0.2</v>
      </c>
      <c r="AA502" s="262">
        <f t="shared" si="89"/>
        <v>-0.2</v>
      </c>
      <c r="AB502" s="262">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1269</v>
      </c>
      <c r="G503" s="73"/>
      <c r="H503" s="76" t="s">
        <v>1270</v>
      </c>
      <c r="I503" s="96" t="s">
        <v>570</v>
      </c>
      <c r="J503" s="96" t="s">
        <v>1224</v>
      </c>
      <c r="K503" s="76"/>
      <c r="L503" s="76"/>
      <c r="M503" s="76"/>
      <c r="N503" s="76"/>
      <c r="O503" s="76"/>
      <c r="P503" s="76"/>
      <c r="Q503" s="76"/>
      <c r="R503" s="76"/>
      <c r="S503" s="76"/>
      <c r="T503" s="76"/>
      <c r="U503" s="269">
        <v>0</v>
      </c>
      <c r="V503" s="269">
        <v>0</v>
      </c>
      <c r="W503" s="269">
        <v>0</v>
      </c>
      <c r="X503" s="262">
        <f t="shared" si="89"/>
        <v>0</v>
      </c>
      <c r="Y503" s="262">
        <f t="shared" si="89"/>
        <v>0</v>
      </c>
      <c r="Z503" s="262">
        <f t="shared" si="89"/>
        <v>0</v>
      </c>
      <c r="AA503" s="262">
        <f t="shared" si="89"/>
        <v>0</v>
      </c>
      <c r="AB503" s="262">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1271</v>
      </c>
      <c r="G504" s="73"/>
      <c r="H504" s="76" t="s">
        <v>2731</v>
      </c>
      <c r="I504" s="96" t="s">
        <v>570</v>
      </c>
      <c r="J504" s="96" t="s">
        <v>1224</v>
      </c>
      <c r="K504" s="76"/>
      <c r="L504" s="76"/>
      <c r="M504" s="76"/>
      <c r="N504" s="76"/>
      <c r="O504" s="76"/>
      <c r="P504" s="76"/>
      <c r="Q504" s="76"/>
      <c r="R504" s="76"/>
      <c r="S504" s="76"/>
      <c r="T504" s="76"/>
      <c r="U504" s="269">
        <v>0</v>
      </c>
      <c r="V504" s="269">
        <v>0</v>
      </c>
      <c r="W504" s="269">
        <v>0</v>
      </c>
      <c r="X504" s="262">
        <f t="shared" si="89"/>
        <v>0</v>
      </c>
      <c r="Y504" s="262">
        <f t="shared" si="89"/>
        <v>0</v>
      </c>
      <c r="Z504" s="262">
        <f t="shared" si="89"/>
        <v>0</v>
      </c>
      <c r="AA504" s="262">
        <f t="shared" si="89"/>
        <v>0</v>
      </c>
      <c r="AB504" s="262">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1272</v>
      </c>
      <c r="G505" s="73"/>
      <c r="H505" s="76" t="s">
        <v>2732</v>
      </c>
      <c r="I505" s="96" t="s">
        <v>570</v>
      </c>
      <c r="J505" s="96" t="s">
        <v>1224</v>
      </c>
      <c r="K505" s="76"/>
      <c r="L505" s="76"/>
      <c r="M505" s="76"/>
      <c r="N505" s="76"/>
      <c r="O505" s="76"/>
      <c r="P505" s="76"/>
      <c r="Q505" s="76"/>
      <c r="R505" s="76"/>
      <c r="S505" s="76"/>
      <c r="T505" s="76"/>
      <c r="U505" s="269">
        <v>0</v>
      </c>
      <c r="V505" s="269">
        <v>0</v>
      </c>
      <c r="W505" s="269">
        <v>0</v>
      </c>
      <c r="X505" s="262">
        <f t="shared" si="89"/>
        <v>0</v>
      </c>
      <c r="Y505" s="262">
        <f t="shared" si="89"/>
        <v>0</v>
      </c>
      <c r="Z505" s="262">
        <f t="shared" si="89"/>
        <v>0</v>
      </c>
      <c r="AA505" s="262">
        <f t="shared" si="89"/>
        <v>0</v>
      </c>
      <c r="AB505" s="262">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1273</v>
      </c>
      <c r="G506" s="73"/>
      <c r="H506" s="76" t="s">
        <v>2733</v>
      </c>
      <c r="I506" s="96" t="s">
        <v>570</v>
      </c>
      <c r="J506" s="96" t="s">
        <v>1224</v>
      </c>
      <c r="K506" s="76"/>
      <c r="L506" s="76"/>
      <c r="M506" s="76"/>
      <c r="N506" s="76"/>
      <c r="O506" s="76"/>
      <c r="P506" s="76"/>
      <c r="Q506" s="76"/>
      <c r="R506" s="76"/>
      <c r="S506" s="76"/>
      <c r="T506" s="76"/>
      <c r="U506" s="269">
        <v>0</v>
      </c>
      <c r="V506" s="269">
        <v>0</v>
      </c>
      <c r="W506" s="269">
        <v>0</v>
      </c>
      <c r="X506" s="262">
        <f t="shared" si="89"/>
        <v>0</v>
      </c>
      <c r="Y506" s="262">
        <f t="shared" si="89"/>
        <v>0</v>
      </c>
      <c r="Z506" s="262">
        <f t="shared" si="89"/>
        <v>0</v>
      </c>
      <c r="AA506" s="262">
        <f t="shared" si="89"/>
        <v>0</v>
      </c>
      <c r="AB506" s="262">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1274</v>
      </c>
      <c r="G507" s="73"/>
      <c r="H507" s="76" t="s">
        <v>2734</v>
      </c>
      <c r="I507" s="96" t="s">
        <v>570</v>
      </c>
      <c r="J507" s="96" t="s">
        <v>1224</v>
      </c>
      <c r="K507" s="76"/>
      <c r="L507" s="76"/>
      <c r="M507" s="76"/>
      <c r="N507" s="76"/>
      <c r="O507" s="76"/>
      <c r="P507" s="76"/>
      <c r="Q507" s="76"/>
      <c r="R507" s="76"/>
      <c r="S507" s="76"/>
      <c r="T507" s="76"/>
      <c r="U507" s="269">
        <v>0</v>
      </c>
      <c r="V507" s="269">
        <v>0</v>
      </c>
      <c r="W507" s="269">
        <v>0</v>
      </c>
      <c r="X507" s="262">
        <f t="shared" si="89"/>
        <v>0</v>
      </c>
      <c r="Y507" s="262">
        <f t="shared" si="89"/>
        <v>0</v>
      </c>
      <c r="Z507" s="262">
        <f t="shared" si="89"/>
        <v>0</v>
      </c>
      <c r="AA507" s="262">
        <f t="shared" si="89"/>
        <v>0</v>
      </c>
      <c r="AB507" s="262">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1275</v>
      </c>
      <c r="G508" s="73"/>
      <c r="H508" s="76" t="s">
        <v>2735</v>
      </c>
      <c r="I508" s="96" t="s">
        <v>570</v>
      </c>
      <c r="J508" s="96" t="s">
        <v>1224</v>
      </c>
      <c r="K508" s="76"/>
      <c r="L508" s="76"/>
      <c r="M508" s="76"/>
      <c r="N508" s="76"/>
      <c r="O508" s="76"/>
      <c r="P508" s="76"/>
      <c r="Q508" s="76"/>
      <c r="R508" s="76"/>
      <c r="S508" s="76"/>
      <c r="T508" s="76"/>
      <c r="U508" s="269">
        <v>0</v>
      </c>
      <c r="V508" s="269">
        <v>0</v>
      </c>
      <c r="W508" s="269">
        <v>0</v>
      </c>
      <c r="X508" s="262">
        <f t="shared" si="89"/>
        <v>0</v>
      </c>
      <c r="Y508" s="262">
        <f t="shared" si="89"/>
        <v>0</v>
      </c>
      <c r="Z508" s="262">
        <f t="shared" si="89"/>
        <v>0</v>
      </c>
      <c r="AA508" s="262">
        <f t="shared" si="89"/>
        <v>0</v>
      </c>
      <c r="AB508" s="262">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1276</v>
      </c>
      <c r="G509" s="73"/>
      <c r="H509" s="76" t="s">
        <v>2736</v>
      </c>
      <c r="I509" s="96" t="s">
        <v>570</v>
      </c>
      <c r="J509" s="96" t="s">
        <v>1224</v>
      </c>
      <c r="K509" s="76"/>
      <c r="L509" s="76"/>
      <c r="M509" s="76"/>
      <c r="N509" s="76"/>
      <c r="O509" s="76"/>
      <c r="P509" s="76"/>
      <c r="Q509" s="76"/>
      <c r="R509" s="76"/>
      <c r="S509" s="76"/>
      <c r="T509" s="76"/>
      <c r="U509" s="269">
        <v>0</v>
      </c>
      <c r="V509" s="269">
        <v>0</v>
      </c>
      <c r="W509" s="269">
        <v>0</v>
      </c>
      <c r="X509" s="262">
        <f t="shared" si="89"/>
        <v>0</v>
      </c>
      <c r="Y509" s="262">
        <f t="shared" si="89"/>
        <v>0</v>
      </c>
      <c r="Z509" s="262">
        <f t="shared" si="89"/>
        <v>0</v>
      </c>
      <c r="AA509" s="262">
        <f t="shared" si="89"/>
        <v>0</v>
      </c>
      <c r="AB509" s="262">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1277</v>
      </c>
      <c r="G510" s="73"/>
      <c r="H510" s="76" t="s">
        <v>2737</v>
      </c>
      <c r="I510" s="96" t="s">
        <v>570</v>
      </c>
      <c r="J510" s="96" t="s">
        <v>1224</v>
      </c>
      <c r="K510" s="76"/>
      <c r="L510" s="76"/>
      <c r="M510" s="76"/>
      <c r="N510" s="76"/>
      <c r="O510" s="76"/>
      <c r="P510" s="76"/>
      <c r="Q510" s="76"/>
      <c r="R510" s="76"/>
      <c r="S510" s="76"/>
      <c r="T510" s="76"/>
      <c r="U510" s="269">
        <v>0</v>
      </c>
      <c r="V510" s="269">
        <v>0</v>
      </c>
      <c r="W510" s="269">
        <v>0</v>
      </c>
      <c r="X510" s="262">
        <f t="shared" si="89"/>
        <v>0</v>
      </c>
      <c r="Y510" s="262">
        <f t="shared" si="89"/>
        <v>0</v>
      </c>
      <c r="Z510" s="262">
        <f t="shared" si="89"/>
        <v>0</v>
      </c>
      <c r="AA510" s="262">
        <f t="shared" si="89"/>
        <v>0</v>
      </c>
      <c r="AB510" s="262">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1278</v>
      </c>
      <c r="G511" s="73"/>
      <c r="H511" s="76" t="s">
        <v>1279</v>
      </c>
      <c r="I511" s="96" t="s">
        <v>570</v>
      </c>
      <c r="J511" s="96" t="s">
        <v>1224</v>
      </c>
      <c r="K511" s="76"/>
      <c r="L511" s="76"/>
      <c r="M511" s="76"/>
      <c r="N511" s="76"/>
      <c r="O511" s="76"/>
      <c r="P511" s="76"/>
      <c r="Q511" s="76"/>
      <c r="R511" s="76"/>
      <c r="S511" s="76"/>
      <c r="T511" s="76"/>
      <c r="U511" s="269">
        <v>0</v>
      </c>
      <c r="V511" s="269">
        <v>0</v>
      </c>
      <c r="W511" s="269">
        <v>0</v>
      </c>
      <c r="X511" s="262">
        <f t="shared" si="89"/>
        <v>0</v>
      </c>
      <c r="Y511" s="262">
        <f t="shared" si="89"/>
        <v>0</v>
      </c>
      <c r="Z511" s="262">
        <f t="shared" si="89"/>
        <v>0</v>
      </c>
      <c r="AA511" s="262">
        <f t="shared" si="89"/>
        <v>0</v>
      </c>
      <c r="AB511" s="262">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1280</v>
      </c>
      <c r="G512" s="73"/>
      <c r="H512" s="76" t="s">
        <v>2738</v>
      </c>
      <c r="I512" s="96" t="s">
        <v>570</v>
      </c>
      <c r="J512" s="96" t="s">
        <v>1224</v>
      </c>
      <c r="K512" s="76"/>
      <c r="L512" s="76"/>
      <c r="M512" s="76"/>
      <c r="N512" s="76"/>
      <c r="O512" s="76"/>
      <c r="P512" s="76"/>
      <c r="Q512" s="76"/>
      <c r="R512" s="76"/>
      <c r="S512" s="76"/>
      <c r="T512" s="76"/>
      <c r="U512" s="269">
        <v>0</v>
      </c>
      <c r="V512" s="269">
        <v>0</v>
      </c>
      <c r="W512" s="269">
        <v>0</v>
      </c>
      <c r="X512" s="262">
        <f t="shared" si="89"/>
        <v>0</v>
      </c>
      <c r="Y512" s="262">
        <f t="shared" si="89"/>
        <v>0</v>
      </c>
      <c r="Z512" s="262">
        <f t="shared" si="89"/>
        <v>0</v>
      </c>
      <c r="AA512" s="262">
        <f t="shared" si="89"/>
        <v>0</v>
      </c>
      <c r="AB512" s="262">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1281</v>
      </c>
      <c r="G513" s="73"/>
      <c r="H513" s="76" t="s">
        <v>2739</v>
      </c>
      <c r="I513" s="96" t="s">
        <v>570</v>
      </c>
      <c r="J513" s="96" t="s">
        <v>1224</v>
      </c>
      <c r="K513" s="76"/>
      <c r="L513" s="76"/>
      <c r="M513" s="76"/>
      <c r="N513" s="76"/>
      <c r="O513" s="76"/>
      <c r="P513" s="76"/>
      <c r="Q513" s="76"/>
      <c r="R513" s="76"/>
      <c r="S513" s="76"/>
      <c r="T513" s="76"/>
      <c r="U513" s="269">
        <v>0</v>
      </c>
      <c r="V513" s="269">
        <v>0</v>
      </c>
      <c r="W513" s="269">
        <v>0</v>
      </c>
      <c r="X513" s="262">
        <f t="shared" si="89"/>
        <v>0</v>
      </c>
      <c r="Y513" s="262">
        <f t="shared" si="89"/>
        <v>0</v>
      </c>
      <c r="Z513" s="262">
        <f t="shared" si="89"/>
        <v>0</v>
      </c>
      <c r="AA513" s="262">
        <f t="shared" si="89"/>
        <v>0</v>
      </c>
      <c r="AB513" s="262">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1282</v>
      </c>
      <c r="G514" s="73"/>
      <c r="H514" s="76" t="s">
        <v>2740</v>
      </c>
      <c r="I514" s="96" t="s">
        <v>570</v>
      </c>
      <c r="J514" s="96" t="s">
        <v>1224</v>
      </c>
      <c r="K514" s="76"/>
      <c r="L514" s="76"/>
      <c r="M514" s="76"/>
      <c r="N514" s="76"/>
      <c r="O514" s="76"/>
      <c r="P514" s="76"/>
      <c r="Q514" s="76"/>
      <c r="R514" s="76"/>
      <c r="S514" s="76"/>
      <c r="T514" s="76"/>
      <c r="U514" s="269">
        <v>0</v>
      </c>
      <c r="V514" s="269">
        <v>0</v>
      </c>
      <c r="W514" s="269">
        <v>0</v>
      </c>
      <c r="X514" s="262">
        <f t="shared" si="89"/>
        <v>0</v>
      </c>
      <c r="Y514" s="262">
        <f t="shared" si="89"/>
        <v>0</v>
      </c>
      <c r="Z514" s="262">
        <f t="shared" si="89"/>
        <v>0</v>
      </c>
      <c r="AA514" s="262">
        <f t="shared" si="89"/>
        <v>0</v>
      </c>
      <c r="AB514" s="262">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1283</v>
      </c>
      <c r="G515" s="73"/>
      <c r="H515" s="76" t="s">
        <v>2741</v>
      </c>
      <c r="I515" s="96" t="s">
        <v>570</v>
      </c>
      <c r="J515" s="96" t="s">
        <v>1224</v>
      </c>
      <c r="K515" s="76"/>
      <c r="L515" s="76"/>
      <c r="M515" s="76"/>
      <c r="N515" s="76"/>
      <c r="O515" s="76"/>
      <c r="P515" s="76"/>
      <c r="Q515" s="76"/>
      <c r="R515" s="76"/>
      <c r="S515" s="76"/>
      <c r="T515" s="76"/>
      <c r="U515" s="269">
        <v>0</v>
      </c>
      <c r="V515" s="269">
        <v>0</v>
      </c>
      <c r="W515" s="269">
        <v>0</v>
      </c>
      <c r="X515" s="262">
        <f t="shared" si="89"/>
        <v>0</v>
      </c>
      <c r="Y515" s="262">
        <f t="shared" si="89"/>
        <v>0</v>
      </c>
      <c r="Z515" s="262">
        <f t="shared" si="89"/>
        <v>0</v>
      </c>
      <c r="AA515" s="262">
        <f t="shared" si="89"/>
        <v>0</v>
      </c>
      <c r="AB515" s="262">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1284</v>
      </c>
      <c r="G516" s="73"/>
      <c r="H516" s="76" t="s">
        <v>2742</v>
      </c>
      <c r="I516" s="96" t="s">
        <v>570</v>
      </c>
      <c r="J516" s="96" t="s">
        <v>1224</v>
      </c>
      <c r="K516" s="76"/>
      <c r="L516" s="76"/>
      <c r="M516" s="76"/>
      <c r="N516" s="76"/>
      <c r="O516" s="76"/>
      <c r="P516" s="76"/>
      <c r="Q516" s="76"/>
      <c r="R516" s="76"/>
      <c r="S516" s="76"/>
      <c r="T516" s="76"/>
      <c r="U516" s="269">
        <v>0</v>
      </c>
      <c r="V516" s="269">
        <v>0</v>
      </c>
      <c r="W516" s="269">
        <v>0</v>
      </c>
      <c r="X516" s="262">
        <f t="shared" si="89"/>
        <v>0</v>
      </c>
      <c r="Y516" s="262">
        <f t="shared" si="89"/>
        <v>0</v>
      </c>
      <c r="Z516" s="262">
        <f t="shared" si="89"/>
        <v>0</v>
      </c>
      <c r="AA516" s="262">
        <f t="shared" si="89"/>
        <v>0</v>
      </c>
      <c r="AB516" s="262">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1285</v>
      </c>
      <c r="G517" s="73"/>
      <c r="H517" s="76" t="s">
        <v>2743</v>
      </c>
      <c r="I517" s="96" t="s">
        <v>570</v>
      </c>
      <c r="J517" s="96" t="s">
        <v>1224</v>
      </c>
      <c r="K517" s="76"/>
      <c r="L517" s="76"/>
      <c r="M517" s="76"/>
      <c r="N517" s="76"/>
      <c r="O517" s="76"/>
      <c r="P517" s="76"/>
      <c r="Q517" s="76"/>
      <c r="R517" s="76"/>
      <c r="S517" s="76"/>
      <c r="T517" s="76"/>
      <c r="U517" s="269">
        <v>0</v>
      </c>
      <c r="V517" s="269">
        <v>0</v>
      </c>
      <c r="W517" s="269">
        <v>0</v>
      </c>
      <c r="X517" s="262">
        <f t="shared" si="89"/>
        <v>0</v>
      </c>
      <c r="Y517" s="262">
        <f t="shared" si="89"/>
        <v>0</v>
      </c>
      <c r="Z517" s="262">
        <f t="shared" si="89"/>
        <v>0</v>
      </c>
      <c r="AA517" s="262">
        <f t="shared" si="89"/>
        <v>0</v>
      </c>
      <c r="AB517" s="262">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1286</v>
      </c>
      <c r="G518" s="73"/>
      <c r="H518" s="76" t="s">
        <v>2744</v>
      </c>
      <c r="I518" s="96" t="s">
        <v>570</v>
      </c>
      <c r="J518" s="96" t="s">
        <v>1224</v>
      </c>
      <c r="K518" s="76"/>
      <c r="L518" s="76"/>
      <c r="M518" s="76"/>
      <c r="N518" s="76"/>
      <c r="O518" s="76"/>
      <c r="P518" s="76"/>
      <c r="Q518" s="76"/>
      <c r="R518" s="76"/>
      <c r="S518" s="76"/>
      <c r="T518" s="76"/>
      <c r="U518" s="269">
        <v>0</v>
      </c>
      <c r="V518" s="269">
        <v>0</v>
      </c>
      <c r="W518" s="269">
        <v>0</v>
      </c>
      <c r="X518" s="262">
        <f t="shared" si="89"/>
        <v>0</v>
      </c>
      <c r="Y518" s="262">
        <f t="shared" si="89"/>
        <v>0</v>
      </c>
      <c r="Z518" s="262">
        <f t="shared" si="89"/>
        <v>0</v>
      </c>
      <c r="AA518" s="262">
        <f t="shared" si="89"/>
        <v>0</v>
      </c>
      <c r="AB518" s="262">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2754</v>
      </c>
      <c r="G519" s="73"/>
      <c r="H519" s="76" t="s">
        <v>672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2755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2756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2757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2758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2759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2762</v>
      </c>
      <c r="G527" s="73"/>
      <c r="H527" s="76" t="s">
        <v>2786</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2763</v>
      </c>
      <c r="G528" s="73"/>
      <c r="H528" s="76" t="s">
        <v>2787</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2764</v>
      </c>
      <c r="G529" s="73"/>
      <c r="H529" s="76" t="s">
        <v>2788</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2765</v>
      </c>
      <c r="G530" s="73"/>
      <c r="H530" s="76" t="s">
        <v>2789</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2766</v>
      </c>
      <c r="G531" s="73"/>
      <c r="H531" s="76" t="s">
        <v>2790</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2767</v>
      </c>
      <c r="G532" s="73"/>
      <c r="H532" s="76" t="s">
        <v>2791</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2768</v>
      </c>
      <c r="G533" s="73"/>
      <c r="H533" s="76" t="s">
        <v>2792</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2769</v>
      </c>
      <c r="G534" s="73"/>
      <c r="H534" s="76" t="s">
        <v>2793</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2770</v>
      </c>
      <c r="G535" s="73"/>
      <c r="H535" s="76" t="s">
        <v>672</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2771</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2772</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2773</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2774</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2775</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2776</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2777</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2778</v>
      </c>
      <c r="G543" s="73"/>
      <c r="H543" s="76" t="s">
        <v>2882</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2779</v>
      </c>
      <c r="G544" s="73"/>
      <c r="H544" s="76" t="s">
        <v>2787</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2780</v>
      </c>
      <c r="G545" s="73"/>
      <c r="H545" s="76" t="s">
        <v>2788</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2781</v>
      </c>
      <c r="G546" s="73"/>
      <c r="H546" s="76" t="s">
        <v>2789</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2782</v>
      </c>
      <c r="G547" s="73"/>
      <c r="H547" s="76" t="s">
        <v>2790</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2783</v>
      </c>
      <c r="G548" s="73"/>
      <c r="H548" s="76" t="s">
        <v>2791</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2784</v>
      </c>
      <c r="G549" s="73"/>
      <c r="H549" s="76" t="s">
        <v>2792</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2785</v>
      </c>
      <c r="G550" s="73"/>
      <c r="H550" s="76" t="s">
        <v>2793</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2884</v>
      </c>
      <c r="G551" s="73"/>
      <c r="H551" s="76" t="s">
        <v>2883</v>
      </c>
      <c r="I551" s="96">
        <v>1</v>
      </c>
      <c r="J551" s="96"/>
      <c r="K551" s="76"/>
      <c r="L551" s="76"/>
      <c r="M551" s="76"/>
      <c r="N551" s="76"/>
      <c r="O551" s="76"/>
      <c r="P551" s="76"/>
      <c r="Q551" s="76"/>
      <c r="R551" s="76"/>
      <c r="S551" s="76"/>
      <c r="T551" s="76"/>
      <c r="U551" s="97">
        <f>-$I551*(-0.05623-0.3347)</f>
        <v>0.39093</v>
      </c>
      <c r="V551" s="262">
        <f t="shared" ref="V551" si="96">U551</f>
        <v>0.39093</v>
      </c>
      <c r="W551" s="262">
        <f t="shared" ref="W551" si="97">V551</f>
        <v>0.39093</v>
      </c>
      <c r="X551" s="262">
        <f t="shared" ref="X551" si="98">Y551</f>
        <v>5.6230000000000002E-2</v>
      </c>
      <c r="Y551" s="97">
        <f>-$I551*-0.05623</f>
        <v>5.6230000000000002E-2</v>
      </c>
      <c r="Z551" s="262">
        <f t="shared" ref="Z551" si="99">Y551</f>
        <v>5.6230000000000002E-2</v>
      </c>
      <c r="AA551" s="262">
        <f t="shared" ref="AA551" si="100">Z551</f>
        <v>5.6230000000000002E-2</v>
      </c>
      <c r="AB551" s="262">
        <f t="shared" ref="AB551" si="101">AA551</f>
        <v>5.6230000000000002E-2</v>
      </c>
      <c r="AC551" s="76"/>
      <c r="AD551" s="97" t="s">
        <v>2871</v>
      </c>
      <c r="AE551" s="76"/>
      <c r="AF551" s="97">
        <v>1</v>
      </c>
      <c r="AG551" s="97">
        <v>1</v>
      </c>
      <c r="AH551" s="73"/>
      <c r="AI551" s="57"/>
      <c r="AJ551" s="45"/>
      <c r="AK551" s="45"/>
      <c r="AL551" s="45"/>
    </row>
    <row r="552" spans="1:38" outlineLevel="2" x14ac:dyDescent="0.25">
      <c r="A552" s="45"/>
      <c r="B552" s="54"/>
      <c r="C552" s="47">
        <f t="shared" si="85"/>
        <v>3</v>
      </c>
      <c r="D552" s="73"/>
      <c r="E552" s="70"/>
      <c r="F552" s="70" t="s">
        <v>2885</v>
      </c>
      <c r="G552" s="73"/>
      <c r="H552" s="76" t="s">
        <v>2787</v>
      </c>
      <c r="I552" s="96">
        <v>2</v>
      </c>
      <c r="J552" s="96"/>
      <c r="K552" s="76"/>
      <c r="L552" s="76"/>
      <c r="M552" s="76"/>
      <c r="N552" s="76"/>
      <c r="O552" s="76"/>
      <c r="P552" s="76"/>
      <c r="Q552" s="76"/>
      <c r="R552" s="76"/>
      <c r="S552" s="76"/>
      <c r="T552" s="76"/>
      <c r="U552" s="97">
        <f t="shared" ref="U552:U558" si="102">-$I552*(-0.05623-0.3347)</f>
        <v>0.78186</v>
      </c>
      <c r="V552" s="262">
        <f t="shared" ref="V552:V558" si="103">U552</f>
        <v>0.78186</v>
      </c>
      <c r="W552" s="262">
        <f t="shared" ref="W552:W558" si="104">V552</f>
        <v>0.78186</v>
      </c>
      <c r="X552" s="262">
        <f t="shared" ref="X552:X558" si="105">Y552</f>
        <v>0.11246</v>
      </c>
      <c r="Y552" s="97">
        <f t="shared" ref="Y552:Y558" si="106">-$I552*-0.05623</f>
        <v>0.11246</v>
      </c>
      <c r="Z552" s="262">
        <f t="shared" ref="Z552:Z558" si="107">Y552</f>
        <v>0.11246</v>
      </c>
      <c r="AA552" s="262">
        <f t="shared" ref="AA552:AA558" si="108">Z552</f>
        <v>0.11246</v>
      </c>
      <c r="AB552" s="262">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2886</v>
      </c>
      <c r="G553" s="73"/>
      <c r="H553" s="76" t="s">
        <v>2788</v>
      </c>
      <c r="I553" s="96">
        <v>3</v>
      </c>
      <c r="J553" s="96"/>
      <c r="K553" s="76"/>
      <c r="L553" s="76"/>
      <c r="M553" s="76"/>
      <c r="N553" s="76"/>
      <c r="O553" s="76"/>
      <c r="P553" s="76"/>
      <c r="Q553" s="76"/>
      <c r="R553" s="76"/>
      <c r="S553" s="76"/>
      <c r="T553" s="76"/>
      <c r="U553" s="97">
        <f t="shared" si="102"/>
        <v>1.17279</v>
      </c>
      <c r="V553" s="262">
        <f t="shared" si="103"/>
        <v>1.17279</v>
      </c>
      <c r="W553" s="262">
        <f t="shared" si="104"/>
        <v>1.17279</v>
      </c>
      <c r="X553" s="262">
        <f t="shared" si="105"/>
        <v>0.16869000000000001</v>
      </c>
      <c r="Y553" s="97">
        <f t="shared" si="106"/>
        <v>0.16869000000000001</v>
      </c>
      <c r="Z553" s="262">
        <f t="shared" si="107"/>
        <v>0.16869000000000001</v>
      </c>
      <c r="AA553" s="262">
        <f t="shared" si="108"/>
        <v>0.16869000000000001</v>
      </c>
      <c r="AB553" s="262">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2887</v>
      </c>
      <c r="G554" s="73"/>
      <c r="H554" s="76" t="s">
        <v>2789</v>
      </c>
      <c r="I554" s="96">
        <v>4</v>
      </c>
      <c r="J554" s="96"/>
      <c r="K554" s="76"/>
      <c r="L554" s="76"/>
      <c r="M554" s="76"/>
      <c r="N554" s="76"/>
      <c r="O554" s="76"/>
      <c r="P554" s="76"/>
      <c r="Q554" s="76"/>
      <c r="R554" s="76"/>
      <c r="S554" s="76"/>
      <c r="T554" s="76"/>
      <c r="U554" s="97">
        <f t="shared" si="102"/>
        <v>1.56372</v>
      </c>
      <c r="V554" s="262">
        <f t="shared" si="103"/>
        <v>1.56372</v>
      </c>
      <c r="W554" s="262">
        <f t="shared" si="104"/>
        <v>1.56372</v>
      </c>
      <c r="X554" s="262">
        <f t="shared" si="105"/>
        <v>0.22492000000000001</v>
      </c>
      <c r="Y554" s="97">
        <f t="shared" si="106"/>
        <v>0.22492000000000001</v>
      </c>
      <c r="Z554" s="262">
        <f t="shared" si="107"/>
        <v>0.22492000000000001</v>
      </c>
      <c r="AA554" s="262">
        <f t="shared" si="108"/>
        <v>0.22492000000000001</v>
      </c>
      <c r="AB554" s="262">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2888</v>
      </c>
      <c r="G555" s="73"/>
      <c r="H555" s="76" t="s">
        <v>2790</v>
      </c>
      <c r="I555" s="96">
        <v>5</v>
      </c>
      <c r="J555" s="96"/>
      <c r="K555" s="76"/>
      <c r="L555" s="76"/>
      <c r="M555" s="76"/>
      <c r="N555" s="76"/>
      <c r="O555" s="76"/>
      <c r="P555" s="76"/>
      <c r="Q555" s="76"/>
      <c r="R555" s="76"/>
      <c r="S555" s="76"/>
      <c r="T555" s="76"/>
      <c r="U555" s="97">
        <f t="shared" si="102"/>
        <v>1.95465</v>
      </c>
      <c r="V555" s="262">
        <f t="shared" si="103"/>
        <v>1.95465</v>
      </c>
      <c r="W555" s="262">
        <f t="shared" si="104"/>
        <v>1.95465</v>
      </c>
      <c r="X555" s="262">
        <f t="shared" si="105"/>
        <v>0.28115000000000001</v>
      </c>
      <c r="Y555" s="97">
        <f t="shared" si="106"/>
        <v>0.28115000000000001</v>
      </c>
      <c r="Z555" s="262">
        <f t="shared" si="107"/>
        <v>0.28115000000000001</v>
      </c>
      <c r="AA555" s="262">
        <f t="shared" si="108"/>
        <v>0.28115000000000001</v>
      </c>
      <c r="AB555" s="262">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2889</v>
      </c>
      <c r="G556" s="73"/>
      <c r="H556" s="76" t="s">
        <v>2791</v>
      </c>
      <c r="I556" s="96">
        <v>6</v>
      </c>
      <c r="J556" s="96"/>
      <c r="K556" s="76"/>
      <c r="L556" s="76"/>
      <c r="M556" s="76"/>
      <c r="N556" s="76"/>
      <c r="O556" s="76"/>
      <c r="P556" s="76"/>
      <c r="Q556" s="76"/>
      <c r="R556" s="76"/>
      <c r="S556" s="76"/>
      <c r="T556" s="76"/>
      <c r="U556" s="97">
        <f t="shared" si="102"/>
        <v>2.34558</v>
      </c>
      <c r="V556" s="262">
        <f t="shared" si="103"/>
        <v>2.34558</v>
      </c>
      <c r="W556" s="262">
        <f t="shared" si="104"/>
        <v>2.34558</v>
      </c>
      <c r="X556" s="262">
        <f t="shared" si="105"/>
        <v>0.33738000000000001</v>
      </c>
      <c r="Y556" s="97">
        <f t="shared" si="106"/>
        <v>0.33738000000000001</v>
      </c>
      <c r="Z556" s="262">
        <f t="shared" si="107"/>
        <v>0.33738000000000001</v>
      </c>
      <c r="AA556" s="262">
        <f t="shared" si="108"/>
        <v>0.33738000000000001</v>
      </c>
      <c r="AB556" s="262">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2890</v>
      </c>
      <c r="G557" s="73"/>
      <c r="H557" s="76" t="s">
        <v>2792</v>
      </c>
      <c r="I557" s="96">
        <v>7</v>
      </c>
      <c r="J557" s="96"/>
      <c r="K557" s="76"/>
      <c r="L557" s="76"/>
      <c r="M557" s="76"/>
      <c r="N557" s="76"/>
      <c r="O557" s="76"/>
      <c r="P557" s="76"/>
      <c r="Q557" s="76"/>
      <c r="R557" s="76"/>
      <c r="S557" s="76"/>
      <c r="T557" s="76"/>
      <c r="U557" s="97">
        <f t="shared" si="102"/>
        <v>2.73651</v>
      </c>
      <c r="V557" s="262">
        <f t="shared" si="103"/>
        <v>2.73651</v>
      </c>
      <c r="W557" s="262">
        <f t="shared" si="104"/>
        <v>2.73651</v>
      </c>
      <c r="X557" s="262">
        <f t="shared" si="105"/>
        <v>0.39361000000000002</v>
      </c>
      <c r="Y557" s="97">
        <f t="shared" si="106"/>
        <v>0.39361000000000002</v>
      </c>
      <c r="Z557" s="262">
        <f t="shared" si="107"/>
        <v>0.39361000000000002</v>
      </c>
      <c r="AA557" s="262">
        <f t="shared" si="108"/>
        <v>0.39361000000000002</v>
      </c>
      <c r="AB557" s="262">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2891</v>
      </c>
      <c r="G558" s="73"/>
      <c r="H558" s="76" t="s">
        <v>2793</v>
      </c>
      <c r="I558" s="96">
        <v>8</v>
      </c>
      <c r="J558" s="96"/>
      <c r="K558" s="76"/>
      <c r="L558" s="76"/>
      <c r="M558" s="76"/>
      <c r="N558" s="76"/>
      <c r="O558" s="76"/>
      <c r="P558" s="76"/>
      <c r="Q558" s="76"/>
      <c r="R558" s="76"/>
      <c r="S558" s="76"/>
      <c r="T558" s="76"/>
      <c r="U558" s="97">
        <f t="shared" si="102"/>
        <v>3.12744</v>
      </c>
      <c r="V558" s="262">
        <f t="shared" si="103"/>
        <v>3.12744</v>
      </c>
      <c r="W558" s="262">
        <f t="shared" si="104"/>
        <v>3.12744</v>
      </c>
      <c r="X558" s="262">
        <f t="shared" si="105"/>
        <v>0.44984000000000002</v>
      </c>
      <c r="Y558" s="97">
        <f t="shared" si="106"/>
        <v>0.44984000000000002</v>
      </c>
      <c r="Z558" s="262">
        <f t="shared" si="107"/>
        <v>0.44984000000000002</v>
      </c>
      <c r="AA558" s="262">
        <f t="shared" si="108"/>
        <v>0.44984000000000002</v>
      </c>
      <c r="AB558" s="262">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3" t="s">
        <v>1287</v>
      </c>
      <c r="G559" s="73"/>
      <c r="H559" s="253" t="s">
        <v>1288</v>
      </c>
      <c r="I559" s="136"/>
      <c r="J559" s="136" t="s">
        <v>1124</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1289</v>
      </c>
      <c r="G560" s="73"/>
      <c r="H560" s="76" t="s">
        <v>672</v>
      </c>
      <c r="I560" s="96" t="s">
        <v>570</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1290</v>
      </c>
      <c r="G561" s="73"/>
      <c r="H561" s="76"/>
      <c r="I561" s="96" t="s">
        <v>570</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1291</v>
      </c>
      <c r="G562" s="73"/>
      <c r="H562" s="76"/>
      <c r="I562" s="96" t="s">
        <v>570</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1292</v>
      </c>
      <c r="G563" s="73"/>
      <c r="H563" s="76" t="s">
        <v>1396</v>
      </c>
      <c r="I563" s="96" t="s">
        <v>570</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1293</v>
      </c>
      <c r="G564" s="73"/>
      <c r="H564" s="76" t="s">
        <v>1398</v>
      </c>
      <c r="I564" s="96" t="s">
        <v>570</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1399</v>
      </c>
      <c r="AE564" s="76"/>
      <c r="AF564" s="97">
        <v>1</v>
      </c>
      <c r="AG564" s="97">
        <v>1</v>
      </c>
      <c r="AH564" s="73"/>
      <c r="AI564" s="57"/>
      <c r="AJ564" s="45"/>
      <c r="AK564" s="45"/>
      <c r="AL564" s="45"/>
    </row>
    <row r="565" spans="1:38" outlineLevel="3" x14ac:dyDescent="0.25">
      <c r="A565" s="45"/>
      <c r="B565" s="54"/>
      <c r="C565" s="47">
        <f t="shared" si="110"/>
        <v>3</v>
      </c>
      <c r="D565" s="73"/>
      <c r="E565" s="70"/>
      <c r="F565" s="70" t="s">
        <v>1294</v>
      </c>
      <c r="G565" s="73"/>
      <c r="H565" s="76" t="s">
        <v>1401</v>
      </c>
      <c r="I565" s="96" t="s">
        <v>570</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1295</v>
      </c>
      <c r="G566" s="73"/>
      <c r="H566" s="76" t="s">
        <v>672</v>
      </c>
      <c r="I566" s="96" t="s">
        <v>570</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1296</v>
      </c>
      <c r="G567" s="73"/>
      <c r="H567" s="76"/>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1297</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1298</v>
      </c>
      <c r="G569" s="73"/>
      <c r="H569" s="76" t="s">
        <v>672</v>
      </c>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1299</v>
      </c>
      <c r="G570" s="73"/>
      <c r="H570" s="76"/>
      <c r="I570" s="96" t="s">
        <v>570</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1300</v>
      </c>
      <c r="G571" s="73"/>
      <c r="H571" s="76"/>
      <c r="I571" s="96" t="s">
        <v>570</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1301</v>
      </c>
      <c r="G572" s="73"/>
      <c r="H572" s="76" t="s">
        <v>672</v>
      </c>
      <c r="I572" s="96" t="s">
        <v>570</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1302</v>
      </c>
      <c r="G573" s="73"/>
      <c r="H573" s="76"/>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1303</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1304</v>
      </c>
      <c r="G575" s="73"/>
      <c r="H575" s="76" t="s">
        <v>672</v>
      </c>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1305</v>
      </c>
      <c r="G576" s="73"/>
      <c r="H576" s="76"/>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1306</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1307</v>
      </c>
      <c r="G578" s="73"/>
      <c r="H578" s="76" t="s">
        <v>672</v>
      </c>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1308</v>
      </c>
      <c r="G579" s="73"/>
      <c r="H579" s="76"/>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1309</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1310</v>
      </c>
      <c r="G581" s="73"/>
      <c r="H581" s="76" t="s">
        <v>672</v>
      </c>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1311</v>
      </c>
      <c r="G582" s="73"/>
      <c r="H582" s="76"/>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1312</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1313</v>
      </c>
      <c r="G584" s="73"/>
      <c r="H584" s="76" t="s">
        <v>1314</v>
      </c>
      <c r="I584" s="96" t="s">
        <v>570</v>
      </c>
      <c r="J584" s="96"/>
      <c r="K584" s="76"/>
      <c r="L584" s="76"/>
      <c r="M584" s="76"/>
      <c r="N584" s="76"/>
      <c r="O584" s="76"/>
      <c r="P584" s="76"/>
      <c r="Q584" s="76"/>
      <c r="R584" s="76"/>
      <c r="S584" s="76"/>
      <c r="T584" s="76"/>
      <c r="U584" s="97">
        <v>0</v>
      </c>
      <c r="V584" s="262">
        <f t="shared" ref="V584:V585" si="112">U584</f>
        <v>0</v>
      </c>
      <c r="W584" s="262">
        <f t="shared" ref="W584:W585" si="113">V584</f>
        <v>0</v>
      </c>
      <c r="X584" s="262">
        <f t="shared" ref="X584" si="114">Y584</f>
        <v>-0.26729999999999998</v>
      </c>
      <c r="Y584" s="97">
        <v>-0.26729999999999998</v>
      </c>
      <c r="Z584" s="262">
        <f t="shared" ref="Z584:AB584" si="115">Y584</f>
        <v>-0.26729999999999998</v>
      </c>
      <c r="AA584" s="262">
        <f t="shared" si="115"/>
        <v>-0.26729999999999998</v>
      </c>
      <c r="AB584" s="262">
        <f t="shared" si="115"/>
        <v>-0.26729999999999998</v>
      </c>
      <c r="AC584" s="76"/>
      <c r="AD584" s="76" t="s">
        <v>1315</v>
      </c>
      <c r="AE584" s="76"/>
      <c r="AF584" s="97">
        <v>1</v>
      </c>
      <c r="AG584" s="97">
        <v>1</v>
      </c>
      <c r="AH584" s="73"/>
      <c r="AI584" s="57"/>
      <c r="AJ584" s="45"/>
      <c r="AK584" s="45"/>
      <c r="AL584" s="45"/>
    </row>
    <row r="585" spans="1:38" outlineLevel="2" x14ac:dyDescent="0.25">
      <c r="A585" s="45"/>
      <c r="B585" s="54"/>
      <c r="C585" s="47">
        <f t="shared" si="110"/>
        <v>3</v>
      </c>
      <c r="D585" s="73"/>
      <c r="E585" s="70"/>
      <c r="F585" s="70" t="s">
        <v>1316</v>
      </c>
      <c r="G585" s="73"/>
      <c r="H585" s="76" t="s">
        <v>2745</v>
      </c>
      <c r="I585" s="96" t="s">
        <v>570</v>
      </c>
      <c r="J585" s="96"/>
      <c r="K585" s="76"/>
      <c r="L585" s="76"/>
      <c r="M585" s="76"/>
      <c r="N585" s="76"/>
      <c r="O585" s="76"/>
      <c r="P585" s="76"/>
      <c r="Q585" s="76"/>
      <c r="R585" s="76"/>
      <c r="S585" s="76"/>
      <c r="T585" s="76"/>
      <c r="U585" s="97">
        <v>-2.38</v>
      </c>
      <c r="V585" s="262">
        <f t="shared" si="112"/>
        <v>-2.38</v>
      </c>
      <c r="W585" s="262">
        <f t="shared" si="113"/>
        <v>-2.38</v>
      </c>
      <c r="X585" s="262">
        <f>Y585</f>
        <v>0</v>
      </c>
      <c r="Y585" s="97">
        <v>0</v>
      </c>
      <c r="Z585" s="262">
        <f>Y585</f>
        <v>0</v>
      </c>
      <c r="AA585" s="262">
        <f>Z585</f>
        <v>0</v>
      </c>
      <c r="AB585" s="262">
        <f>AA585</f>
        <v>0</v>
      </c>
      <c r="AC585" s="76"/>
      <c r="AD585" s="76" t="s">
        <v>2683</v>
      </c>
      <c r="AE585" s="76"/>
      <c r="AF585" s="97">
        <v>1</v>
      </c>
      <c r="AG585" s="97">
        <v>1</v>
      </c>
      <c r="AH585" s="73"/>
      <c r="AI585" s="57"/>
      <c r="AJ585" s="45"/>
      <c r="AK585" s="45"/>
      <c r="AL585" s="45"/>
    </row>
    <row r="586" spans="1:38" outlineLevel="2" x14ac:dyDescent="0.25">
      <c r="A586" s="45"/>
      <c r="B586" s="54"/>
      <c r="C586" s="47">
        <f t="shared" si="110"/>
        <v>3</v>
      </c>
      <c r="D586" s="73"/>
      <c r="E586" s="70"/>
      <c r="F586" s="70" t="s">
        <v>1317</v>
      </c>
      <c r="G586" s="73"/>
      <c r="H586" s="76" t="s">
        <v>2746</v>
      </c>
      <c r="I586" s="96" t="s">
        <v>570</v>
      </c>
      <c r="J586" s="96"/>
      <c r="K586" s="76"/>
      <c r="L586" s="76"/>
      <c r="M586" s="76"/>
      <c r="N586" s="76"/>
      <c r="O586" s="76"/>
      <c r="P586" s="76"/>
      <c r="Q586" s="76"/>
      <c r="R586" s="76"/>
      <c r="S586" s="76"/>
      <c r="T586" s="76"/>
      <c r="U586" s="260">
        <f>U584</f>
        <v>0</v>
      </c>
      <c r="V586" s="260">
        <f t="shared" ref="V586:AB586" si="116">V584</f>
        <v>0</v>
      </c>
      <c r="W586" s="260">
        <f t="shared" si="116"/>
        <v>0</v>
      </c>
      <c r="X586" s="260">
        <f t="shared" si="116"/>
        <v>-0.26729999999999998</v>
      </c>
      <c r="Y586" s="260">
        <f t="shared" si="116"/>
        <v>-0.26729999999999998</v>
      </c>
      <c r="Z586" s="260">
        <f t="shared" si="116"/>
        <v>-0.26729999999999998</v>
      </c>
      <c r="AA586" s="260">
        <f t="shared" si="116"/>
        <v>-0.26729999999999998</v>
      </c>
      <c r="AB586" s="260">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1318</v>
      </c>
      <c r="G587" s="73"/>
      <c r="H587" s="76" t="s">
        <v>1319</v>
      </c>
      <c r="I587" s="96" t="s">
        <v>570</v>
      </c>
      <c r="J587" s="96"/>
      <c r="K587" s="76"/>
      <c r="L587" s="76"/>
      <c r="M587" s="76"/>
      <c r="N587" s="76"/>
      <c r="O587" s="76"/>
      <c r="P587" s="76"/>
      <c r="Q587" s="76"/>
      <c r="R587" s="76"/>
      <c r="S587" s="76"/>
      <c r="T587" s="76"/>
      <c r="U587" s="97">
        <v>0</v>
      </c>
      <c r="V587" s="262">
        <f t="shared" ref="V587:V588" si="117">U587</f>
        <v>0</v>
      </c>
      <c r="W587" s="262">
        <f t="shared" ref="W587:W588" si="118">V587</f>
        <v>0</v>
      </c>
      <c r="X587" s="262">
        <f t="shared" ref="X587:X589" si="119">Y587</f>
        <v>0</v>
      </c>
      <c r="Y587" s="97">
        <v>0</v>
      </c>
      <c r="Z587" s="262">
        <f t="shared" ref="Z587:AB587" si="120">Y587</f>
        <v>0</v>
      </c>
      <c r="AA587" s="262">
        <f t="shared" si="120"/>
        <v>0</v>
      </c>
      <c r="AB587" s="262">
        <f t="shared" si="120"/>
        <v>0</v>
      </c>
      <c r="AC587" s="76"/>
      <c r="AD587" s="76" t="s">
        <v>1315</v>
      </c>
      <c r="AE587" s="76"/>
      <c r="AF587" s="97">
        <v>1</v>
      </c>
      <c r="AG587" s="97">
        <v>1</v>
      </c>
      <c r="AH587" s="73"/>
      <c r="AI587" s="57"/>
      <c r="AJ587" s="45"/>
      <c r="AK587" s="45"/>
      <c r="AL587" s="45"/>
    </row>
    <row r="588" spans="1:38" outlineLevel="2" x14ac:dyDescent="0.25">
      <c r="A588" s="45"/>
      <c r="B588" s="54"/>
      <c r="C588" s="47">
        <f t="shared" si="110"/>
        <v>3</v>
      </c>
      <c r="D588" s="73"/>
      <c r="E588" s="70"/>
      <c r="F588" s="70" t="s">
        <v>1320</v>
      </c>
      <c r="G588" s="73"/>
      <c r="H588" s="76" t="s">
        <v>2747</v>
      </c>
      <c r="I588" s="96" t="s">
        <v>570</v>
      </c>
      <c r="J588" s="96"/>
      <c r="K588" s="76"/>
      <c r="L588" s="76"/>
      <c r="M588" s="76"/>
      <c r="N588" s="76"/>
      <c r="O588" s="76"/>
      <c r="P588" s="76"/>
      <c r="Q588" s="76"/>
      <c r="R588" s="76"/>
      <c r="S588" s="76"/>
      <c r="T588" s="76"/>
      <c r="U588" s="97">
        <v>2.673E-3</v>
      </c>
      <c r="V588" s="262">
        <f t="shared" si="117"/>
        <v>2.673E-3</v>
      </c>
      <c r="W588" s="262">
        <f t="shared" si="118"/>
        <v>2.673E-3</v>
      </c>
      <c r="X588" s="262">
        <f t="shared" si="119"/>
        <v>0</v>
      </c>
      <c r="Y588" s="97">
        <v>0</v>
      </c>
      <c r="Z588" s="262">
        <f t="shared" ref="Z588:AB588" si="121">Y588</f>
        <v>0</v>
      </c>
      <c r="AA588" s="262">
        <f t="shared" si="121"/>
        <v>0</v>
      </c>
      <c r="AB588" s="262">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1321</v>
      </c>
      <c r="G589" s="73"/>
      <c r="H589" s="76" t="s">
        <v>2748</v>
      </c>
      <c r="I589" s="96" t="s">
        <v>570</v>
      </c>
      <c r="J589" s="96"/>
      <c r="K589" s="76"/>
      <c r="L589" s="76"/>
      <c r="M589" s="76"/>
      <c r="N589" s="76"/>
      <c r="O589" s="76"/>
      <c r="P589" s="76"/>
      <c r="Q589" s="76"/>
      <c r="R589" s="76"/>
      <c r="S589" s="76"/>
      <c r="T589" s="76"/>
      <c r="U589" s="76">
        <v>0</v>
      </c>
      <c r="V589" s="76">
        <v>0</v>
      </c>
      <c r="W589" s="76">
        <v>0</v>
      </c>
      <c r="X589" s="262">
        <f t="shared" si="119"/>
        <v>0</v>
      </c>
      <c r="Y589" s="97">
        <v>0</v>
      </c>
      <c r="Z589" s="262">
        <f t="shared" ref="Z589:AB589" si="122">Y589</f>
        <v>0</v>
      </c>
      <c r="AA589" s="262">
        <f t="shared" si="122"/>
        <v>0</v>
      </c>
      <c r="AB589" s="262">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1322</v>
      </c>
      <c r="G590" s="73"/>
      <c r="H590" s="76" t="s">
        <v>1323</v>
      </c>
      <c r="I590" s="96"/>
      <c r="J590" s="96" t="s">
        <v>1252</v>
      </c>
      <c r="K590" s="97">
        <v>1.1499999999999999</v>
      </c>
      <c r="L590" s="97">
        <v>1.1499999999999999</v>
      </c>
      <c r="M590" s="97">
        <v>1.1499999999999999</v>
      </c>
      <c r="N590" s="97">
        <v>1.1499999999999999</v>
      </c>
      <c r="O590" s="97">
        <v>1.1499999999999999</v>
      </c>
      <c r="P590" s="97">
        <v>1.1499999999999999</v>
      </c>
      <c r="Q590" s="76"/>
      <c r="R590" s="76" t="s">
        <v>580</v>
      </c>
      <c r="S590" s="76" t="s">
        <v>580</v>
      </c>
      <c r="T590" s="76"/>
      <c r="U590" s="260">
        <f t="shared" ref="U590:AB595" si="123">INDEX($K590:$Q590,1,U$43)</f>
        <v>1.1499999999999999</v>
      </c>
      <c r="V590" s="260">
        <f t="shared" si="123"/>
        <v>1.1499999999999999</v>
      </c>
      <c r="W590" s="260">
        <f t="shared" si="123"/>
        <v>1.1499999999999999</v>
      </c>
      <c r="X590" s="260">
        <f t="shared" si="123"/>
        <v>1.1499999999999999</v>
      </c>
      <c r="Y590" s="260">
        <f t="shared" si="123"/>
        <v>1.1499999999999999</v>
      </c>
      <c r="Z590" s="260">
        <f t="shared" si="123"/>
        <v>1.1499999999999999</v>
      </c>
      <c r="AA590" s="260">
        <f t="shared" si="123"/>
        <v>1.1499999999999999</v>
      </c>
      <c r="AB590" s="260">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1324</v>
      </c>
      <c r="G591" s="73"/>
      <c r="H591" s="76" t="s">
        <v>2749</v>
      </c>
      <c r="I591" s="96"/>
      <c r="J591" s="96" t="s">
        <v>1252</v>
      </c>
      <c r="K591" s="97">
        <v>1</v>
      </c>
      <c r="L591" s="97">
        <v>1</v>
      </c>
      <c r="M591" s="97">
        <v>1</v>
      </c>
      <c r="N591" s="97">
        <v>1</v>
      </c>
      <c r="O591" s="97">
        <v>1</v>
      </c>
      <c r="P591" s="97">
        <v>1</v>
      </c>
      <c r="Q591" s="76"/>
      <c r="R591" s="76" t="s">
        <v>580</v>
      </c>
      <c r="S591" s="76" t="s">
        <v>580</v>
      </c>
      <c r="T591" s="76"/>
      <c r="U591" s="260">
        <f t="shared" si="123"/>
        <v>1</v>
      </c>
      <c r="V591" s="260">
        <f t="shared" si="123"/>
        <v>1</v>
      </c>
      <c r="W591" s="260">
        <f t="shared" si="123"/>
        <v>1</v>
      </c>
      <c r="X591" s="260">
        <f t="shared" si="123"/>
        <v>1</v>
      </c>
      <c r="Y591" s="260">
        <f t="shared" si="123"/>
        <v>1</v>
      </c>
      <c r="Z591" s="260">
        <f t="shared" si="123"/>
        <v>1</v>
      </c>
      <c r="AA591" s="260">
        <f t="shared" si="123"/>
        <v>1</v>
      </c>
      <c r="AB591" s="260">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1325</v>
      </c>
      <c r="G592" s="73"/>
      <c r="H592" s="76" t="s">
        <v>2750</v>
      </c>
      <c r="I592" s="96"/>
      <c r="J592" s="96" t="s">
        <v>1252</v>
      </c>
      <c r="K592" s="97">
        <v>1</v>
      </c>
      <c r="L592" s="97">
        <v>1</v>
      </c>
      <c r="M592" s="97">
        <v>1</v>
      </c>
      <c r="N592" s="97">
        <v>1</v>
      </c>
      <c r="O592" s="97">
        <v>1</v>
      </c>
      <c r="P592" s="97">
        <v>1</v>
      </c>
      <c r="Q592" s="76"/>
      <c r="R592" s="76" t="s">
        <v>580</v>
      </c>
      <c r="S592" s="76" t="s">
        <v>580</v>
      </c>
      <c r="T592" s="76"/>
      <c r="U592" s="260">
        <f t="shared" si="123"/>
        <v>1</v>
      </c>
      <c r="V592" s="260">
        <f t="shared" si="123"/>
        <v>1</v>
      </c>
      <c r="W592" s="260">
        <f t="shared" si="123"/>
        <v>1</v>
      </c>
      <c r="X592" s="260">
        <f t="shared" si="123"/>
        <v>1</v>
      </c>
      <c r="Y592" s="260">
        <f t="shared" si="123"/>
        <v>1</v>
      </c>
      <c r="Z592" s="260">
        <f t="shared" si="123"/>
        <v>1</v>
      </c>
      <c r="AA592" s="260">
        <f t="shared" si="123"/>
        <v>1</v>
      </c>
      <c r="AB592" s="260">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1326</v>
      </c>
      <c r="G593" s="73"/>
      <c r="H593" s="76" t="s">
        <v>1327</v>
      </c>
      <c r="I593" s="96"/>
      <c r="J593" s="96" t="s">
        <v>1252</v>
      </c>
      <c r="K593" s="97">
        <v>1.4</v>
      </c>
      <c r="L593" s="97">
        <v>1.4</v>
      </c>
      <c r="M593" s="97">
        <v>1.4</v>
      </c>
      <c r="N593" s="97">
        <v>1.4</v>
      </c>
      <c r="O593" s="97">
        <v>1.4</v>
      </c>
      <c r="P593" s="97">
        <v>1.4</v>
      </c>
      <c r="Q593" s="76"/>
      <c r="R593" s="76" t="s">
        <v>580</v>
      </c>
      <c r="S593" s="76" t="s">
        <v>580</v>
      </c>
      <c r="T593" s="76"/>
      <c r="U593" s="260">
        <f t="shared" si="123"/>
        <v>1.4</v>
      </c>
      <c r="V593" s="260">
        <f t="shared" si="123"/>
        <v>1.4</v>
      </c>
      <c r="W593" s="260">
        <f t="shared" si="123"/>
        <v>1.4</v>
      </c>
      <c r="X593" s="260">
        <f t="shared" si="123"/>
        <v>1.4</v>
      </c>
      <c r="Y593" s="260">
        <f t="shared" si="123"/>
        <v>1.4</v>
      </c>
      <c r="Z593" s="260">
        <f t="shared" si="123"/>
        <v>1.4</v>
      </c>
      <c r="AA593" s="260">
        <f t="shared" si="123"/>
        <v>1.4</v>
      </c>
      <c r="AB593" s="260">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1328</v>
      </c>
      <c r="G594" s="73"/>
      <c r="H594" s="76" t="s">
        <v>1329</v>
      </c>
      <c r="I594" s="96"/>
      <c r="J594" s="96" t="s">
        <v>1252</v>
      </c>
      <c r="K594" s="97">
        <v>1</v>
      </c>
      <c r="L594" s="97">
        <v>1</v>
      </c>
      <c r="M594" s="97">
        <v>1</v>
      </c>
      <c r="N594" s="97">
        <v>1</v>
      </c>
      <c r="O594" s="97">
        <v>1</v>
      </c>
      <c r="P594" s="97">
        <v>1</v>
      </c>
      <c r="Q594" s="76"/>
      <c r="R594" s="76" t="s">
        <v>580</v>
      </c>
      <c r="S594" s="76" t="s">
        <v>580</v>
      </c>
      <c r="T594" s="76"/>
      <c r="U594" s="260">
        <f t="shared" si="123"/>
        <v>1</v>
      </c>
      <c r="V594" s="260">
        <f t="shared" si="123"/>
        <v>1</v>
      </c>
      <c r="W594" s="260">
        <f t="shared" si="123"/>
        <v>1</v>
      </c>
      <c r="X594" s="260">
        <f t="shared" si="123"/>
        <v>1</v>
      </c>
      <c r="Y594" s="260">
        <f t="shared" si="123"/>
        <v>1</v>
      </c>
      <c r="Z594" s="260">
        <f t="shared" si="123"/>
        <v>1</v>
      </c>
      <c r="AA594" s="260">
        <f t="shared" si="123"/>
        <v>1</v>
      </c>
      <c r="AB594" s="260">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1330</v>
      </c>
      <c r="G595" s="73"/>
      <c r="H595" s="76" t="s">
        <v>1331</v>
      </c>
      <c r="I595" s="96"/>
      <c r="J595" s="96" t="s">
        <v>1252</v>
      </c>
      <c r="K595" s="97">
        <v>1.2</v>
      </c>
      <c r="L595" s="97">
        <v>1.2</v>
      </c>
      <c r="M595" s="97">
        <v>1.2</v>
      </c>
      <c r="N595" s="97">
        <v>1.2</v>
      </c>
      <c r="O595" s="97">
        <v>1.2</v>
      </c>
      <c r="P595" s="97">
        <v>1.2</v>
      </c>
      <c r="Q595" s="76"/>
      <c r="R595" s="76" t="s">
        <v>580</v>
      </c>
      <c r="S595" s="76" t="s">
        <v>580</v>
      </c>
      <c r="T595" s="76"/>
      <c r="U595" s="260">
        <f t="shared" si="123"/>
        <v>1.2</v>
      </c>
      <c r="V595" s="260">
        <f t="shared" si="123"/>
        <v>1.2</v>
      </c>
      <c r="W595" s="260">
        <f t="shared" si="123"/>
        <v>1.2</v>
      </c>
      <c r="X595" s="260">
        <f t="shared" si="123"/>
        <v>1.2</v>
      </c>
      <c r="Y595" s="260">
        <f t="shared" si="123"/>
        <v>1.2</v>
      </c>
      <c r="Z595" s="260">
        <f t="shared" si="123"/>
        <v>1.2</v>
      </c>
      <c r="AA595" s="260">
        <f t="shared" si="123"/>
        <v>1.2</v>
      </c>
      <c r="AB595" s="260">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1332</v>
      </c>
      <c r="G596" s="73"/>
      <c r="H596" s="76" t="s">
        <v>1333</v>
      </c>
      <c r="I596" s="96" t="s">
        <v>570</v>
      </c>
      <c r="J596" s="96" t="s">
        <v>1224</v>
      </c>
      <c r="K596" s="76"/>
      <c r="L596" s="76"/>
      <c r="M596" s="76"/>
      <c r="N596" s="76"/>
      <c r="O596" s="76"/>
      <c r="P596" s="76"/>
      <c r="Q596" s="76"/>
      <c r="R596" s="76"/>
      <c r="S596" s="76"/>
      <c r="T596" s="76"/>
      <c r="U596" s="97">
        <v>0</v>
      </c>
      <c r="V596" s="97">
        <v>0</v>
      </c>
      <c r="W596" s="97">
        <v>0</v>
      </c>
      <c r="X596" s="262">
        <f t="shared" ref="X596:AB601" si="124">W596</f>
        <v>0</v>
      </c>
      <c r="Y596" s="262">
        <f t="shared" si="124"/>
        <v>0</v>
      </c>
      <c r="Z596" s="262">
        <f t="shared" si="124"/>
        <v>0</v>
      </c>
      <c r="AA596" s="262">
        <f t="shared" si="124"/>
        <v>0</v>
      </c>
      <c r="AB596" s="262">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1334</v>
      </c>
      <c r="G597" s="73"/>
      <c r="H597" s="76" t="s">
        <v>1335</v>
      </c>
      <c r="I597" s="96" t="s">
        <v>570</v>
      </c>
      <c r="J597" s="96" t="s">
        <v>1224</v>
      </c>
      <c r="K597" s="76"/>
      <c r="L597" s="76"/>
      <c r="M597" s="76"/>
      <c r="N597" s="76"/>
      <c r="O597" s="76"/>
      <c r="P597" s="76"/>
      <c r="Q597" s="76"/>
      <c r="R597" s="76"/>
      <c r="S597" s="76"/>
      <c r="T597" s="76"/>
      <c r="U597" s="97">
        <v>0</v>
      </c>
      <c r="V597" s="97">
        <v>0</v>
      </c>
      <c r="W597" s="97">
        <v>0</v>
      </c>
      <c r="X597" s="262">
        <f t="shared" si="124"/>
        <v>0</v>
      </c>
      <c r="Y597" s="262">
        <f t="shared" si="124"/>
        <v>0</v>
      </c>
      <c r="Z597" s="262">
        <f t="shared" si="124"/>
        <v>0</v>
      </c>
      <c r="AA597" s="262">
        <f t="shared" si="124"/>
        <v>0</v>
      </c>
      <c r="AB597" s="262">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1336</v>
      </c>
      <c r="G598" s="73"/>
      <c r="H598" s="76" t="s">
        <v>1337</v>
      </c>
      <c r="I598" s="96" t="s">
        <v>570</v>
      </c>
      <c r="J598" s="96" t="s">
        <v>1224</v>
      </c>
      <c r="K598" s="76"/>
      <c r="L598" s="76"/>
      <c r="M598" s="76"/>
      <c r="N598" s="76"/>
      <c r="O598" s="76"/>
      <c r="P598" s="76"/>
      <c r="Q598" s="76"/>
      <c r="R598" s="76"/>
      <c r="S598" s="76"/>
      <c r="T598" s="76"/>
      <c r="U598" s="97">
        <v>0</v>
      </c>
      <c r="V598" s="97">
        <v>0</v>
      </c>
      <c r="W598" s="97">
        <v>0</v>
      </c>
      <c r="X598" s="262">
        <f t="shared" si="124"/>
        <v>0</v>
      </c>
      <c r="Y598" s="262">
        <f t="shared" si="124"/>
        <v>0</v>
      </c>
      <c r="Z598" s="262">
        <f t="shared" si="124"/>
        <v>0</v>
      </c>
      <c r="AA598" s="262">
        <f t="shared" si="124"/>
        <v>0</v>
      </c>
      <c r="AB598" s="262">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1338</v>
      </c>
      <c r="G599" s="73"/>
      <c r="H599" s="76" t="s">
        <v>1339</v>
      </c>
      <c r="I599" s="96" t="s">
        <v>570</v>
      </c>
      <c r="J599" s="96" t="s">
        <v>1224</v>
      </c>
      <c r="K599" s="76"/>
      <c r="L599" s="76"/>
      <c r="M599" s="76"/>
      <c r="N599" s="76"/>
      <c r="O599" s="76"/>
      <c r="P599" s="76"/>
      <c r="Q599" s="76"/>
      <c r="R599" s="76"/>
      <c r="S599" s="76"/>
      <c r="T599" s="76"/>
      <c r="U599" s="97">
        <v>0</v>
      </c>
      <c r="V599" s="97">
        <v>0</v>
      </c>
      <c r="W599" s="97">
        <v>0</v>
      </c>
      <c r="X599" s="262">
        <f t="shared" si="124"/>
        <v>0</v>
      </c>
      <c r="Y599" s="262">
        <f t="shared" si="124"/>
        <v>0</v>
      </c>
      <c r="Z599" s="262">
        <f t="shared" si="124"/>
        <v>0</v>
      </c>
      <c r="AA599" s="262">
        <f t="shared" si="124"/>
        <v>0</v>
      </c>
      <c r="AB599" s="262">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1340</v>
      </c>
      <c r="G600" s="73"/>
      <c r="H600" s="76" t="s">
        <v>1341</v>
      </c>
      <c r="I600" s="96" t="s">
        <v>570</v>
      </c>
      <c r="J600" s="96" t="s">
        <v>1224</v>
      </c>
      <c r="K600" s="76"/>
      <c r="L600" s="76"/>
      <c r="M600" s="76"/>
      <c r="N600" s="76"/>
      <c r="O600" s="76"/>
      <c r="P600" s="76"/>
      <c r="Q600" s="76"/>
      <c r="R600" s="76"/>
      <c r="S600" s="76"/>
      <c r="T600" s="76"/>
      <c r="U600" s="97">
        <v>0.26</v>
      </c>
      <c r="V600" s="97">
        <v>0.26</v>
      </c>
      <c r="W600" s="97">
        <v>0.26</v>
      </c>
      <c r="X600" s="262">
        <f t="shared" si="124"/>
        <v>0.26</v>
      </c>
      <c r="Y600" s="262">
        <f t="shared" si="124"/>
        <v>0.26</v>
      </c>
      <c r="Z600" s="262">
        <f t="shared" si="124"/>
        <v>0.26</v>
      </c>
      <c r="AA600" s="262">
        <f t="shared" si="124"/>
        <v>0.26</v>
      </c>
      <c r="AB600" s="262">
        <f t="shared" si="124"/>
        <v>0.26</v>
      </c>
      <c r="AC600" s="76"/>
      <c r="AD600" s="97" t="s">
        <v>1342</v>
      </c>
      <c r="AE600" s="76"/>
      <c r="AF600" s="97">
        <v>1</v>
      </c>
      <c r="AG600" s="97">
        <v>1</v>
      </c>
      <c r="AH600" s="73"/>
      <c r="AI600" s="57"/>
      <c r="AJ600" s="45"/>
      <c r="AK600" s="45"/>
      <c r="AL600" s="45"/>
    </row>
    <row r="601" spans="1:38" outlineLevel="2" x14ac:dyDescent="0.25">
      <c r="A601" s="45"/>
      <c r="B601" s="54"/>
      <c r="C601" s="47">
        <f t="shared" si="110"/>
        <v>3</v>
      </c>
      <c r="D601" s="73"/>
      <c r="E601" s="70"/>
      <c r="F601" s="70" t="s">
        <v>1343</v>
      </c>
      <c r="G601" s="73"/>
      <c r="H601" s="76" t="s">
        <v>1344</v>
      </c>
      <c r="I601" s="96" t="s">
        <v>570</v>
      </c>
      <c r="J601" s="96" t="s">
        <v>1224</v>
      </c>
      <c r="K601" s="76"/>
      <c r="L601" s="76"/>
      <c r="M601" s="76"/>
      <c r="N601" s="76"/>
      <c r="O601" s="76"/>
      <c r="P601" s="76"/>
      <c r="Q601" s="76"/>
      <c r="R601" s="76"/>
      <c r="S601" s="76"/>
      <c r="T601" s="76"/>
      <c r="U601" s="97">
        <v>0</v>
      </c>
      <c r="V601" s="97">
        <v>0</v>
      </c>
      <c r="W601" s="97">
        <v>0</v>
      </c>
      <c r="X601" s="262">
        <f t="shared" si="124"/>
        <v>0</v>
      </c>
      <c r="Y601" s="262">
        <f t="shared" si="124"/>
        <v>0</v>
      </c>
      <c r="Z601" s="262">
        <f t="shared" si="124"/>
        <v>0</v>
      </c>
      <c r="AA601" s="262">
        <f t="shared" si="124"/>
        <v>0</v>
      </c>
      <c r="AB601" s="262">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1345</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1346</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1347</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1348</v>
      </c>
      <c r="G605" s="73"/>
      <c r="H605" s="76" t="s">
        <v>1349</v>
      </c>
      <c r="I605" s="96"/>
      <c r="J605" s="96" t="s">
        <v>1252</v>
      </c>
      <c r="K605" s="97">
        <f>5.1/5</f>
        <v>1.02</v>
      </c>
      <c r="L605" s="97">
        <f>5.1/5</f>
        <v>1.02</v>
      </c>
      <c r="M605" s="97">
        <v>1</v>
      </c>
      <c r="N605" s="97">
        <v>1</v>
      </c>
      <c r="O605" s="97">
        <v>1</v>
      </c>
      <c r="P605" s="97">
        <v>1</v>
      </c>
      <c r="Q605" s="76"/>
      <c r="R605" s="76" t="s">
        <v>1350</v>
      </c>
      <c r="S605" s="76"/>
      <c r="T605" s="76"/>
      <c r="U605" s="260">
        <f t="shared" ref="U605:AB607" si="125">INDEX($K605:$Q605,1,U$43)</f>
        <v>1.02</v>
      </c>
      <c r="V605" s="260">
        <f t="shared" si="125"/>
        <v>1.02</v>
      </c>
      <c r="W605" s="260">
        <f t="shared" si="125"/>
        <v>1.02</v>
      </c>
      <c r="X605" s="260">
        <f t="shared" si="125"/>
        <v>1.02</v>
      </c>
      <c r="Y605" s="260">
        <f t="shared" si="125"/>
        <v>1.02</v>
      </c>
      <c r="Z605" s="260">
        <f t="shared" si="125"/>
        <v>1.02</v>
      </c>
      <c r="AA605" s="260">
        <f t="shared" si="125"/>
        <v>1.02</v>
      </c>
      <c r="AB605" s="260">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1351</v>
      </c>
      <c r="G606" s="73"/>
      <c r="H606" s="76" t="s">
        <v>1352</v>
      </c>
      <c r="I606" s="96"/>
      <c r="J606" s="96" t="s">
        <v>1252</v>
      </c>
      <c r="K606" s="97">
        <f>4.9/5</f>
        <v>0.98000000000000009</v>
      </c>
      <c r="L606" s="97">
        <f>4.9/5</f>
        <v>0.98000000000000009</v>
      </c>
      <c r="M606" s="97">
        <v>1</v>
      </c>
      <c r="N606" s="97">
        <v>1</v>
      </c>
      <c r="O606" s="97">
        <v>1</v>
      </c>
      <c r="P606" s="97">
        <v>1</v>
      </c>
      <c r="Q606" s="76"/>
      <c r="R606" s="76" t="s">
        <v>1353</v>
      </c>
      <c r="S606" s="76"/>
      <c r="T606" s="76"/>
      <c r="U606" s="260">
        <f t="shared" si="125"/>
        <v>0.98000000000000009</v>
      </c>
      <c r="V606" s="260">
        <f t="shared" si="125"/>
        <v>0.98000000000000009</v>
      </c>
      <c r="W606" s="260">
        <f t="shared" si="125"/>
        <v>0.98000000000000009</v>
      </c>
      <c r="X606" s="260">
        <f t="shared" si="125"/>
        <v>0.98000000000000009</v>
      </c>
      <c r="Y606" s="260">
        <f t="shared" si="125"/>
        <v>0.98000000000000009</v>
      </c>
      <c r="Z606" s="260">
        <f t="shared" si="125"/>
        <v>0.98000000000000009</v>
      </c>
      <c r="AA606" s="260">
        <f t="shared" si="125"/>
        <v>0.98000000000000009</v>
      </c>
      <c r="AB606" s="260">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1354</v>
      </c>
      <c r="G607" s="73"/>
      <c r="H607" s="76" t="s">
        <v>2439</v>
      </c>
      <c r="I607" s="96"/>
      <c r="J607" s="96" t="s">
        <v>1252</v>
      </c>
      <c r="K607" s="260">
        <f t="shared" ref="K607:P607" si="126">K605</f>
        <v>1.02</v>
      </c>
      <c r="L607" s="260">
        <f t="shared" si="126"/>
        <v>1.02</v>
      </c>
      <c r="M607" s="260">
        <f t="shared" si="126"/>
        <v>1</v>
      </c>
      <c r="N607" s="260">
        <f t="shared" si="126"/>
        <v>1</v>
      </c>
      <c r="O607" s="260">
        <f t="shared" si="126"/>
        <v>1</v>
      </c>
      <c r="P607" s="260">
        <f t="shared" si="126"/>
        <v>1</v>
      </c>
      <c r="Q607" s="76"/>
      <c r="R607" s="76"/>
      <c r="S607" s="76"/>
      <c r="T607" s="76"/>
      <c r="U607" s="260">
        <f t="shared" si="125"/>
        <v>1.02</v>
      </c>
      <c r="V607" s="260">
        <f t="shared" si="125"/>
        <v>1.02</v>
      </c>
      <c r="W607" s="260">
        <f t="shared" si="125"/>
        <v>1.02</v>
      </c>
      <c r="X607" s="260">
        <f t="shared" si="125"/>
        <v>1.02</v>
      </c>
      <c r="Y607" s="260">
        <f t="shared" si="125"/>
        <v>1.02</v>
      </c>
      <c r="Z607" s="260">
        <f t="shared" si="125"/>
        <v>1.02</v>
      </c>
      <c r="AA607" s="260">
        <f t="shared" si="125"/>
        <v>1.02</v>
      </c>
      <c r="AB607" s="260">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1355</v>
      </c>
      <c r="G608" s="73"/>
      <c r="H608" s="76" t="s">
        <v>1356</v>
      </c>
      <c r="I608" s="96" t="s">
        <v>570</v>
      </c>
      <c r="J608" s="96" t="s">
        <v>1224</v>
      </c>
      <c r="K608" s="76"/>
      <c r="L608" s="76"/>
      <c r="M608" s="76"/>
      <c r="N608" s="76"/>
      <c r="O608" s="76"/>
      <c r="P608" s="76"/>
      <c r="Q608" s="76"/>
      <c r="R608" s="76"/>
      <c r="S608" s="76"/>
      <c r="T608" s="76"/>
      <c r="U608" s="97">
        <v>0</v>
      </c>
      <c r="V608" s="97">
        <v>0</v>
      </c>
      <c r="W608" s="97">
        <v>0</v>
      </c>
      <c r="X608" s="262">
        <f t="shared" ref="X608:Y610" si="127">Y608</f>
        <v>0.35589999999999999</v>
      </c>
      <c r="Y608" s="262">
        <f t="shared" si="127"/>
        <v>0.35589999999999999</v>
      </c>
      <c r="Z608" s="97">
        <v>0.35589999999999999</v>
      </c>
      <c r="AA608" s="262">
        <f t="shared" ref="X608:AB616" si="128">Z608</f>
        <v>0.35589999999999999</v>
      </c>
      <c r="AB608" s="262">
        <f t="shared" si="128"/>
        <v>0.35589999999999999</v>
      </c>
      <c r="AC608" s="76"/>
      <c r="AD608" s="97" t="s">
        <v>2266</v>
      </c>
      <c r="AE608" s="76"/>
      <c r="AF608" s="97">
        <v>1</v>
      </c>
      <c r="AG608" s="97">
        <v>1</v>
      </c>
      <c r="AH608" s="73"/>
      <c r="AI608" s="57"/>
      <c r="AJ608" s="45"/>
      <c r="AK608" s="45"/>
      <c r="AL608" s="45"/>
    </row>
    <row r="609" spans="1:38" outlineLevel="2" x14ac:dyDescent="0.25">
      <c r="A609" s="45"/>
      <c r="B609" s="54"/>
      <c r="C609" s="47">
        <f t="shared" si="110"/>
        <v>3</v>
      </c>
      <c r="D609" s="73"/>
      <c r="E609" s="70"/>
      <c r="F609" s="70" t="s">
        <v>1357</v>
      </c>
      <c r="G609" s="73"/>
      <c r="H609" s="76" t="s">
        <v>1358</v>
      </c>
      <c r="I609" s="96" t="s">
        <v>570</v>
      </c>
      <c r="J609" s="96" t="s">
        <v>1224</v>
      </c>
      <c r="K609" s="76"/>
      <c r="L609" s="76"/>
      <c r="M609" s="76"/>
      <c r="N609" s="76"/>
      <c r="O609" s="76"/>
      <c r="P609" s="76"/>
      <c r="Q609" s="76"/>
      <c r="R609" s="76"/>
      <c r="S609" s="76"/>
      <c r="T609" s="76"/>
      <c r="U609" s="97">
        <v>-0.19574</v>
      </c>
      <c r="V609" s="262">
        <f t="shared" ref="V609" si="129">U609</f>
        <v>-0.19574</v>
      </c>
      <c r="W609" s="262">
        <f t="shared" ref="W609" si="130">V609</f>
        <v>-0.19574</v>
      </c>
      <c r="X609" s="262">
        <f t="shared" si="127"/>
        <v>0</v>
      </c>
      <c r="Y609" s="262">
        <f t="shared" si="127"/>
        <v>0</v>
      </c>
      <c r="Z609" s="97">
        <v>0</v>
      </c>
      <c r="AA609" s="262">
        <f t="shared" si="128"/>
        <v>0</v>
      </c>
      <c r="AB609" s="262">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1359</v>
      </c>
      <c r="G610" s="73"/>
      <c r="H610" s="76" t="s">
        <v>1360</v>
      </c>
      <c r="I610" s="96" t="s">
        <v>570</v>
      </c>
      <c r="J610" s="96" t="s">
        <v>1224</v>
      </c>
      <c r="K610" s="76"/>
      <c r="L610" s="76"/>
      <c r="M610" s="76"/>
      <c r="N610" s="76"/>
      <c r="O610" s="76"/>
      <c r="P610" s="76"/>
      <c r="Q610" s="76"/>
      <c r="R610" s="76"/>
      <c r="S610" s="76"/>
      <c r="T610" s="76"/>
      <c r="U610" s="97">
        <v>0</v>
      </c>
      <c r="V610" s="97">
        <v>0</v>
      </c>
      <c r="W610" s="97">
        <v>0</v>
      </c>
      <c r="X610" s="262">
        <f t="shared" si="127"/>
        <v>0.35589999999999999</v>
      </c>
      <c r="Y610" s="262">
        <f t="shared" si="127"/>
        <v>0.35589999999999999</v>
      </c>
      <c r="Z610" s="260">
        <f>Z608</f>
        <v>0.35589999999999999</v>
      </c>
      <c r="AA610" s="262">
        <f t="shared" si="128"/>
        <v>0.35589999999999999</v>
      </c>
      <c r="AB610" s="262">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1361</v>
      </c>
      <c r="G611" s="73"/>
      <c r="H611" s="76" t="s">
        <v>1362</v>
      </c>
      <c r="I611" s="96" t="s">
        <v>570</v>
      </c>
      <c r="J611" s="96" t="s">
        <v>1224</v>
      </c>
      <c r="K611" s="76"/>
      <c r="L611" s="76"/>
      <c r="M611" s="76"/>
      <c r="N611" s="76"/>
      <c r="O611" s="76"/>
      <c r="P611" s="76"/>
      <c r="Q611" s="76"/>
      <c r="R611" s="76"/>
      <c r="S611" s="76"/>
      <c r="T611" s="76"/>
      <c r="U611" s="97">
        <v>0</v>
      </c>
      <c r="V611" s="97">
        <v>0</v>
      </c>
      <c r="W611" s="97">
        <v>0</v>
      </c>
      <c r="X611" s="262">
        <f t="shared" si="128"/>
        <v>0</v>
      </c>
      <c r="Y611" s="97">
        <v>1.42</v>
      </c>
      <c r="Z611" s="262">
        <f t="shared" si="128"/>
        <v>1.42</v>
      </c>
      <c r="AA611" s="262">
        <f t="shared" si="128"/>
        <v>1.42</v>
      </c>
      <c r="AB611" s="262">
        <f t="shared" si="128"/>
        <v>1.42</v>
      </c>
      <c r="AC611" s="76"/>
      <c r="AD611" s="97" t="s">
        <v>2266</v>
      </c>
      <c r="AE611" s="76"/>
      <c r="AF611" s="97">
        <v>1</v>
      </c>
      <c r="AG611" s="97">
        <v>1</v>
      </c>
      <c r="AH611" s="73"/>
      <c r="AI611" s="57"/>
      <c r="AJ611" s="45"/>
      <c r="AK611" s="45"/>
      <c r="AL611" s="45"/>
    </row>
    <row r="612" spans="1:38" outlineLevel="2" x14ac:dyDescent="0.25">
      <c r="A612" s="45"/>
      <c r="B612" s="54"/>
      <c r="C612" s="47">
        <f t="shared" si="110"/>
        <v>3</v>
      </c>
      <c r="D612" s="73"/>
      <c r="E612" s="70"/>
      <c r="F612" s="70" t="s">
        <v>1363</v>
      </c>
      <c r="G612" s="73"/>
      <c r="H612" s="76" t="s">
        <v>1364</v>
      </c>
      <c r="I612" s="96" t="s">
        <v>570</v>
      </c>
      <c r="J612" s="96" t="s">
        <v>1224</v>
      </c>
      <c r="K612" s="76"/>
      <c r="L612" s="76"/>
      <c r="M612" s="76"/>
      <c r="N612" s="76"/>
      <c r="O612" s="76"/>
      <c r="P612" s="76"/>
      <c r="Q612" s="76"/>
      <c r="R612" s="76"/>
      <c r="S612" s="76"/>
      <c r="T612" s="76"/>
      <c r="U612" s="97">
        <v>-0.72</v>
      </c>
      <c r="V612" s="97">
        <v>-0.72</v>
      </c>
      <c r="W612" s="97">
        <v>-0.72</v>
      </c>
      <c r="X612" s="262">
        <f t="shared" si="128"/>
        <v>-0.72</v>
      </c>
      <c r="Y612" s="97">
        <v>0</v>
      </c>
      <c r="Z612" s="262">
        <f t="shared" si="128"/>
        <v>0</v>
      </c>
      <c r="AA612" s="262">
        <f t="shared" si="128"/>
        <v>0</v>
      </c>
      <c r="AB612" s="262">
        <f t="shared" si="128"/>
        <v>0</v>
      </c>
      <c r="AC612" s="76"/>
      <c r="AD612" s="97" t="s">
        <v>1365</v>
      </c>
      <c r="AE612" s="76"/>
      <c r="AF612" s="97">
        <v>1</v>
      </c>
      <c r="AG612" s="97">
        <v>1</v>
      </c>
      <c r="AH612" s="73"/>
      <c r="AI612" s="57"/>
      <c r="AJ612" s="45"/>
      <c r="AK612" s="45"/>
      <c r="AL612" s="45"/>
    </row>
    <row r="613" spans="1:38" outlineLevel="2" x14ac:dyDescent="0.25">
      <c r="A613" s="45"/>
      <c r="B613" s="54"/>
      <c r="C613" s="47">
        <f t="shared" si="110"/>
        <v>3</v>
      </c>
      <c r="D613" s="73"/>
      <c r="E613" s="70"/>
      <c r="F613" s="70" t="s">
        <v>1366</v>
      </c>
      <c r="G613" s="73"/>
      <c r="H613" s="76" t="s">
        <v>1367</v>
      </c>
      <c r="I613" s="96" t="s">
        <v>570</v>
      </c>
      <c r="J613" s="96" t="s">
        <v>1224</v>
      </c>
      <c r="K613" s="76"/>
      <c r="L613" s="76"/>
      <c r="M613" s="76"/>
      <c r="N613" s="76"/>
      <c r="O613" s="76"/>
      <c r="P613" s="76"/>
      <c r="Q613" s="76"/>
      <c r="R613" s="76"/>
      <c r="S613" s="76"/>
      <c r="T613" s="76"/>
      <c r="U613" s="97">
        <v>0</v>
      </c>
      <c r="V613" s="97">
        <v>0</v>
      </c>
      <c r="W613" s="97">
        <v>0</v>
      </c>
      <c r="X613" s="262">
        <f t="shared" si="128"/>
        <v>0</v>
      </c>
      <c r="Y613" s="260">
        <f>Y611</f>
        <v>1.42</v>
      </c>
      <c r="Z613" s="262">
        <f t="shared" si="128"/>
        <v>1.42</v>
      </c>
      <c r="AA613" s="262">
        <f t="shared" si="128"/>
        <v>1.42</v>
      </c>
      <c r="AB613" s="262">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1368</v>
      </c>
      <c r="G614" s="73"/>
      <c r="H614" s="76" t="s">
        <v>1369</v>
      </c>
      <c r="I614" s="96" t="s">
        <v>570</v>
      </c>
      <c r="J614" s="96" t="s">
        <v>1224</v>
      </c>
      <c r="K614" s="76"/>
      <c r="L614" s="76"/>
      <c r="M614" s="76"/>
      <c r="N614" s="76"/>
      <c r="O614" s="76"/>
      <c r="P614" s="76"/>
      <c r="Q614" s="76"/>
      <c r="R614" s="76"/>
      <c r="S614" s="76"/>
      <c r="T614" s="76"/>
      <c r="U614" s="97">
        <v>0</v>
      </c>
      <c r="V614" s="97">
        <v>0</v>
      </c>
      <c r="W614" s="97">
        <v>0</v>
      </c>
      <c r="X614" s="262">
        <f t="shared" si="128"/>
        <v>0</v>
      </c>
      <c r="Y614" s="262">
        <f t="shared" si="128"/>
        <v>0</v>
      </c>
      <c r="Z614" s="262">
        <f t="shared" si="128"/>
        <v>0</v>
      </c>
      <c r="AA614" s="262">
        <f t="shared" si="128"/>
        <v>0</v>
      </c>
      <c r="AB614" s="262">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1370</v>
      </c>
      <c r="G615" s="73"/>
      <c r="H615" s="76" t="s">
        <v>1371</v>
      </c>
      <c r="I615" s="96" t="s">
        <v>570</v>
      </c>
      <c r="J615" s="96" t="s">
        <v>1224</v>
      </c>
      <c r="K615" s="76"/>
      <c r="L615" s="76"/>
      <c r="M615" s="76"/>
      <c r="N615" s="76"/>
      <c r="O615" s="76"/>
      <c r="P615" s="76"/>
      <c r="Q615" s="76"/>
      <c r="R615" s="76"/>
      <c r="S615" s="76"/>
      <c r="T615" s="76"/>
      <c r="U615" s="97">
        <f>-7/1000</f>
        <v>-7.0000000000000001E-3</v>
      </c>
      <c r="V615" s="97">
        <f>-7/1000</f>
        <v>-7.0000000000000001E-3</v>
      </c>
      <c r="W615" s="97">
        <f>-7/1000</f>
        <v>-7.0000000000000001E-3</v>
      </c>
      <c r="X615" s="262">
        <f t="shared" si="128"/>
        <v>-7.0000000000000001E-3</v>
      </c>
      <c r="Y615" s="262">
        <f t="shared" si="128"/>
        <v>-7.0000000000000001E-3</v>
      </c>
      <c r="Z615" s="262">
        <f t="shared" si="128"/>
        <v>-7.0000000000000001E-3</v>
      </c>
      <c r="AA615" s="262">
        <f t="shared" si="128"/>
        <v>-7.0000000000000001E-3</v>
      </c>
      <c r="AB615" s="262">
        <f t="shared" si="128"/>
        <v>-7.0000000000000001E-3</v>
      </c>
      <c r="AC615" s="76"/>
      <c r="AD615" s="97" t="s">
        <v>1372</v>
      </c>
      <c r="AE615" s="76"/>
      <c r="AF615" s="97">
        <v>1</v>
      </c>
      <c r="AG615" s="97">
        <v>1</v>
      </c>
      <c r="AH615" s="73"/>
      <c r="AI615" s="57"/>
      <c r="AJ615" s="45"/>
      <c r="AK615" s="45"/>
      <c r="AL615" s="45"/>
    </row>
    <row r="616" spans="1:38" outlineLevel="2" x14ac:dyDescent="0.25">
      <c r="A616" s="45"/>
      <c r="B616" s="54"/>
      <c r="C616" s="47">
        <f t="shared" si="110"/>
        <v>3</v>
      </c>
      <c r="D616" s="73"/>
      <c r="E616" s="70"/>
      <c r="F616" s="70" t="s">
        <v>1373</v>
      </c>
      <c r="G616" s="73"/>
      <c r="H616" s="76" t="s">
        <v>1374</v>
      </c>
      <c r="I616" s="96" t="s">
        <v>570</v>
      </c>
      <c r="J616" s="96" t="s">
        <v>1224</v>
      </c>
      <c r="K616" s="76"/>
      <c r="L616" s="76"/>
      <c r="M616" s="76"/>
      <c r="N616" s="76"/>
      <c r="O616" s="76"/>
      <c r="P616" s="76"/>
      <c r="Q616" s="76"/>
      <c r="R616" s="76"/>
      <c r="S616" s="76"/>
      <c r="T616" s="76"/>
      <c r="U616" s="97">
        <v>0</v>
      </c>
      <c r="V616" s="97">
        <v>0</v>
      </c>
      <c r="W616" s="97">
        <v>0</v>
      </c>
      <c r="X616" s="262">
        <f t="shared" si="128"/>
        <v>0</v>
      </c>
      <c r="Y616" s="262">
        <f t="shared" si="128"/>
        <v>0</v>
      </c>
      <c r="Z616" s="262">
        <f t="shared" si="128"/>
        <v>0</v>
      </c>
      <c r="AA616" s="262">
        <f t="shared" si="128"/>
        <v>0</v>
      </c>
      <c r="AB616" s="262">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1377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1378</v>
      </c>
      <c r="G620" s="73"/>
      <c r="H620" s="76" t="s">
        <v>1379</v>
      </c>
      <c r="I620" s="96" t="s">
        <v>570</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1380</v>
      </c>
      <c r="AE620" s="76"/>
      <c r="AF620" s="97">
        <v>1</v>
      </c>
      <c r="AG620" s="97">
        <v>1</v>
      </c>
      <c r="AH620" s="73"/>
      <c r="AI620" s="57"/>
      <c r="AJ620" s="45"/>
      <c r="AK620" s="45"/>
      <c r="AL620" s="45"/>
    </row>
    <row r="621" spans="1:38" outlineLevel="2" x14ac:dyDescent="0.25">
      <c r="A621" s="45"/>
      <c r="B621" s="54"/>
      <c r="C621" s="47">
        <f t="shared" si="110"/>
        <v>3</v>
      </c>
      <c r="D621" s="73"/>
      <c r="E621" s="70"/>
      <c r="F621" s="70" t="s">
        <v>1381</v>
      </c>
      <c r="G621" s="73"/>
      <c r="H621" s="76" t="s">
        <v>1382</v>
      </c>
      <c r="I621" s="96" t="s">
        <v>570</v>
      </c>
      <c r="J621" s="96"/>
      <c r="K621" s="76"/>
      <c r="L621" s="76"/>
      <c r="M621" s="76"/>
      <c r="N621" s="76"/>
      <c r="O621" s="76"/>
      <c r="P621" s="76"/>
      <c r="Q621" s="76"/>
      <c r="R621" s="76"/>
      <c r="S621" s="76"/>
      <c r="T621" s="76"/>
      <c r="U621" s="97">
        <v>0.34200000000000003</v>
      </c>
      <c r="V621" s="97">
        <v>0.34200000000000003</v>
      </c>
      <c r="W621" s="97">
        <v>0.34200000000000003</v>
      </c>
      <c r="X621" s="262">
        <f>W621</f>
        <v>0.34200000000000003</v>
      </c>
      <c r="Y621" s="262">
        <f>X621</f>
        <v>0.34200000000000003</v>
      </c>
      <c r="Z621" s="262">
        <f>Y621</f>
        <v>0.34200000000000003</v>
      </c>
      <c r="AA621" s="262">
        <f>Z621</f>
        <v>0.34200000000000003</v>
      </c>
      <c r="AB621" s="262">
        <f>AA621</f>
        <v>0.34200000000000003</v>
      </c>
      <c r="AC621" s="76"/>
      <c r="AD621" s="97" t="s">
        <v>1383</v>
      </c>
      <c r="AE621" s="76"/>
      <c r="AF621" s="97">
        <v>1</v>
      </c>
      <c r="AG621" s="97">
        <v>1</v>
      </c>
      <c r="AH621" s="73"/>
      <c r="AI621" s="57"/>
      <c r="AJ621" s="45"/>
      <c r="AK621" s="45"/>
      <c r="AL621" s="45"/>
    </row>
    <row r="622" spans="1:38" outlineLevel="2" x14ac:dyDescent="0.25">
      <c r="A622" s="45"/>
      <c r="B622" s="54"/>
      <c r="C622" s="47">
        <f t="shared" si="110"/>
        <v>3</v>
      </c>
      <c r="D622" s="73"/>
      <c r="E622" s="70"/>
      <c r="F622" s="70" t="s">
        <v>1384</v>
      </c>
      <c r="G622" s="73"/>
      <c r="H622" s="76" t="s">
        <v>1385</v>
      </c>
      <c r="I622" s="96" t="s">
        <v>570</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1386</v>
      </c>
      <c r="G623" s="73"/>
      <c r="H623" s="76" t="s">
        <v>1387</v>
      </c>
      <c r="I623" s="96" t="s">
        <v>570</v>
      </c>
      <c r="J623" s="96"/>
      <c r="K623" s="76"/>
      <c r="L623" s="76"/>
      <c r="M623" s="76"/>
      <c r="N623" s="76"/>
      <c r="O623" s="76"/>
      <c r="P623" s="76"/>
      <c r="Q623" s="76"/>
      <c r="R623" s="76"/>
      <c r="S623" s="76"/>
      <c r="T623" s="76"/>
      <c r="U623" s="97">
        <v>0</v>
      </c>
      <c r="V623" s="97">
        <v>0</v>
      </c>
      <c r="W623" s="97">
        <v>0</v>
      </c>
      <c r="X623" s="262">
        <f t="shared" ref="X623:AB625" si="131">W623</f>
        <v>0</v>
      </c>
      <c r="Y623" s="262">
        <f t="shared" si="131"/>
        <v>0</v>
      </c>
      <c r="Z623" s="262">
        <f t="shared" si="131"/>
        <v>0</v>
      </c>
      <c r="AA623" s="262">
        <f t="shared" si="131"/>
        <v>0</v>
      </c>
      <c r="AB623" s="262">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1388</v>
      </c>
      <c r="G624" s="73"/>
      <c r="H624" s="76" t="s">
        <v>1389</v>
      </c>
      <c r="I624" s="96" t="s">
        <v>570</v>
      </c>
      <c r="J624" s="96"/>
      <c r="K624" s="76"/>
      <c r="L624" s="76"/>
      <c r="M624" s="76"/>
      <c r="N624" s="76"/>
      <c r="O624" s="76"/>
      <c r="P624" s="76"/>
      <c r="Q624" s="76"/>
      <c r="R624" s="76"/>
      <c r="S624" s="76"/>
      <c r="T624" s="76"/>
      <c r="U624" s="97">
        <v>0</v>
      </c>
      <c r="V624" s="97">
        <v>0</v>
      </c>
      <c r="W624" s="97">
        <v>0</v>
      </c>
      <c r="X624" s="262">
        <f t="shared" si="131"/>
        <v>0</v>
      </c>
      <c r="Y624" s="262">
        <f t="shared" si="131"/>
        <v>0</v>
      </c>
      <c r="Z624" s="262">
        <f t="shared" si="131"/>
        <v>0</v>
      </c>
      <c r="AA624" s="262">
        <f t="shared" si="131"/>
        <v>0</v>
      </c>
      <c r="AB624" s="262">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1390</v>
      </c>
      <c r="G625" s="73"/>
      <c r="H625" s="76" t="s">
        <v>1391</v>
      </c>
      <c r="I625" s="96" t="s">
        <v>570</v>
      </c>
      <c r="J625" s="96"/>
      <c r="K625" s="76"/>
      <c r="L625" s="76"/>
      <c r="M625" s="76"/>
      <c r="N625" s="76"/>
      <c r="O625" s="76"/>
      <c r="P625" s="76"/>
      <c r="Q625" s="76"/>
      <c r="R625" s="76"/>
      <c r="S625" s="76"/>
      <c r="T625" s="76"/>
      <c r="U625" s="97">
        <v>0</v>
      </c>
      <c r="V625" s="97">
        <v>0</v>
      </c>
      <c r="W625" s="97">
        <v>0</v>
      </c>
      <c r="X625" s="262">
        <f t="shared" si="131"/>
        <v>0</v>
      </c>
      <c r="Y625" s="262">
        <f t="shared" si="131"/>
        <v>0</v>
      </c>
      <c r="Z625" s="262">
        <f t="shared" si="131"/>
        <v>0</v>
      </c>
      <c r="AA625" s="262">
        <f t="shared" si="131"/>
        <v>0</v>
      </c>
      <c r="AB625" s="262">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1392</v>
      </c>
      <c r="G626" s="73"/>
      <c r="H626" s="76" t="s">
        <v>672</v>
      </c>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1393</v>
      </c>
      <c r="G627" s="73"/>
      <c r="H627" s="76"/>
      <c r="I627" s="96" t="s">
        <v>570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1394</v>
      </c>
      <c r="G628" s="73"/>
      <c r="H628" s="76"/>
      <c r="I628" s="96" t="s">
        <v>570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1395</v>
      </c>
      <c r="G629" s="73"/>
      <c r="H629" s="76"/>
      <c r="I629" s="96" t="s">
        <v>570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1397</v>
      </c>
      <c r="G630" s="73"/>
      <c r="H630" s="76"/>
      <c r="I630" s="96" t="s">
        <v>570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1400</v>
      </c>
      <c r="G631" s="73"/>
      <c r="H631" s="76"/>
      <c r="I631" s="96" t="s">
        <v>570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3" t="s">
        <v>1402</v>
      </c>
      <c r="G632" s="73"/>
      <c r="H632" s="253" t="s">
        <v>1403</v>
      </c>
      <c r="I632" s="136"/>
      <c r="J632" s="136" t="s">
        <v>1124</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1404</v>
      </c>
      <c r="G633" s="73"/>
      <c r="H633" s="76" t="s">
        <v>672</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1405</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1406</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1407</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1408</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1409</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1410</v>
      </c>
      <c r="G639" s="73"/>
      <c r="H639" s="76" t="s">
        <v>672</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1411</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1412</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1413</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1414</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1415</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1416</v>
      </c>
      <c r="G645" s="73"/>
      <c r="H645" s="76" t="s">
        <v>672</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1417</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1418</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1419</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1420</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1421</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1422</v>
      </c>
      <c r="G651" s="73"/>
      <c r="H651" s="76" t="s">
        <v>672</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1423</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1424</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1425</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1426</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1427</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1428</v>
      </c>
      <c r="G657" s="73"/>
      <c r="H657" s="76" t="s">
        <v>672</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1429</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1430</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1431</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1432</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1433</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1434</v>
      </c>
      <c r="G663" s="73"/>
      <c r="H663" s="76" t="s">
        <v>672</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1435</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1436</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1437</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1438</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1439</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1440</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1441</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1442</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1443</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1444</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1445</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1446</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1447</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1448</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1449</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1450</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1452</v>
      </c>
      <c r="G681" s="73"/>
      <c r="H681" s="76" t="s">
        <v>1453</v>
      </c>
      <c r="I681" s="96"/>
      <c r="J681" s="96"/>
      <c r="K681" s="76"/>
      <c r="L681" s="76"/>
      <c r="M681" s="76"/>
      <c r="N681" s="76"/>
      <c r="O681" s="76"/>
      <c r="P681" s="76"/>
      <c r="Q681" s="76"/>
      <c r="R681" s="76"/>
      <c r="S681" s="76"/>
      <c r="T681" s="76"/>
      <c r="U681" s="268">
        <f>U$781</f>
        <v>0</v>
      </c>
      <c r="V681" s="268">
        <f t="shared" ref="V681:AB681" si="134">V$781</f>
        <v>0</v>
      </c>
      <c r="W681" s="268">
        <f t="shared" si="134"/>
        <v>0</v>
      </c>
      <c r="X681" s="268">
        <f t="shared" si="134"/>
        <v>0</v>
      </c>
      <c r="Y681" s="268">
        <f t="shared" si="134"/>
        <v>0</v>
      </c>
      <c r="Z681" s="268">
        <f t="shared" si="134"/>
        <v>0</v>
      </c>
      <c r="AA681" s="268">
        <f t="shared" si="134"/>
        <v>0</v>
      </c>
      <c r="AB681" s="268">
        <f t="shared" si="134"/>
        <v>0</v>
      </c>
      <c r="AC681" s="76"/>
      <c r="AD681" s="97" t="s">
        <v>1454</v>
      </c>
      <c r="AE681" s="76"/>
      <c r="AF681" s="268">
        <f>AF$781</f>
        <v>1</v>
      </c>
      <c r="AG681" s="268">
        <f>AG$781</f>
        <v>1</v>
      </c>
      <c r="AH681" s="73"/>
      <c r="AI681" s="57"/>
      <c r="AJ681" s="45"/>
      <c r="AK681" s="45"/>
      <c r="AL681" s="45"/>
    </row>
    <row r="682" spans="1:38" outlineLevel="2" x14ac:dyDescent="0.25">
      <c r="A682" s="45"/>
      <c r="B682" s="54"/>
      <c r="C682" s="47">
        <f t="shared" si="133"/>
        <v>3</v>
      </c>
      <c r="D682" s="73"/>
      <c r="E682" s="70"/>
      <c r="F682" s="70" t="s">
        <v>1455</v>
      </c>
      <c r="G682" s="73"/>
      <c r="H682" s="76" t="s">
        <v>1456</v>
      </c>
      <c r="I682" s="96"/>
      <c r="J682" s="96"/>
      <c r="K682" s="76"/>
      <c r="L682" s="76"/>
      <c r="M682" s="76"/>
      <c r="N682" s="76"/>
      <c r="O682" s="76"/>
      <c r="P682" s="76"/>
      <c r="Q682" s="76"/>
      <c r="R682" s="76"/>
      <c r="S682" s="76"/>
      <c r="T682" s="76"/>
      <c r="U682" s="268">
        <f>U$782</f>
        <v>-0.71226</v>
      </c>
      <c r="V682" s="268">
        <f t="shared" ref="V682:AB682" si="135">V$782</f>
        <v>-0.71226</v>
      </c>
      <c r="W682" s="268">
        <f t="shared" si="135"/>
        <v>-0.71226</v>
      </c>
      <c r="X682" s="268">
        <f t="shared" si="135"/>
        <v>-0.21895000000000001</v>
      </c>
      <c r="Y682" s="268">
        <f t="shared" si="135"/>
        <v>-0.21895000000000001</v>
      </c>
      <c r="Z682" s="268">
        <f t="shared" si="135"/>
        <v>-0.21895000000000001</v>
      </c>
      <c r="AA682" s="268">
        <f t="shared" si="135"/>
        <v>-0.21895000000000001</v>
      </c>
      <c r="AB682" s="268">
        <f t="shared" si="135"/>
        <v>-0.21895000000000001</v>
      </c>
      <c r="AC682" s="76"/>
      <c r="AD682" s="76"/>
      <c r="AE682" s="76"/>
      <c r="AF682" s="268">
        <f>AF$782</f>
        <v>1</v>
      </c>
      <c r="AG682" s="268">
        <f>AG$782</f>
        <v>1</v>
      </c>
      <c r="AH682" s="73"/>
      <c r="AI682" s="57"/>
      <c r="AJ682" s="45"/>
      <c r="AK682" s="45"/>
      <c r="AL682" s="45"/>
    </row>
    <row r="683" spans="1:38" outlineLevel="2" x14ac:dyDescent="0.25">
      <c r="A683" s="45"/>
      <c r="B683" s="54"/>
      <c r="C683" s="47">
        <f t="shared" si="133"/>
        <v>3</v>
      </c>
      <c r="D683" s="73"/>
      <c r="E683" s="70"/>
      <c r="F683" s="70" t="s">
        <v>1457</v>
      </c>
      <c r="G683" s="73"/>
      <c r="H683" s="76" t="s">
        <v>1458</v>
      </c>
      <c r="I683" s="96"/>
      <c r="J683" s="96"/>
      <c r="K683" s="76"/>
      <c r="L683" s="76"/>
      <c r="M683" s="76"/>
      <c r="N683" s="76"/>
      <c r="O683" s="76"/>
      <c r="P683" s="76"/>
      <c r="Q683" s="76"/>
      <c r="R683" s="76"/>
      <c r="S683" s="76"/>
      <c r="T683" s="76"/>
      <c r="U683" s="268">
        <f>U$783</f>
        <v>-0.90173999999999999</v>
      </c>
      <c r="V683" s="268">
        <f t="shared" ref="V683:AB683" si="136">V$783</f>
        <v>-0.90173999999999999</v>
      </c>
      <c r="W683" s="268">
        <f t="shared" si="136"/>
        <v>-0.90173999999999999</v>
      </c>
      <c r="X683" s="268">
        <f t="shared" si="136"/>
        <v>-0.37940000000000002</v>
      </c>
      <c r="Y683" s="268">
        <f t="shared" si="136"/>
        <v>-0.37940000000000002</v>
      </c>
      <c r="Z683" s="268">
        <f t="shared" si="136"/>
        <v>-0.37940000000000002</v>
      </c>
      <c r="AA683" s="268">
        <f t="shared" si="136"/>
        <v>-0.37940000000000002</v>
      </c>
      <c r="AB683" s="268">
        <f t="shared" si="136"/>
        <v>-0.37940000000000002</v>
      </c>
      <c r="AC683" s="76"/>
      <c r="AD683" s="76"/>
      <c r="AE683" s="76"/>
      <c r="AF683" s="268">
        <f>AF$783</f>
        <v>1</v>
      </c>
      <c r="AG683" s="268">
        <f>AG$783</f>
        <v>1</v>
      </c>
      <c r="AH683" s="73"/>
      <c r="AI683" s="57"/>
      <c r="AJ683" s="45"/>
      <c r="AK683" s="45"/>
      <c r="AL683" s="45"/>
    </row>
    <row r="684" spans="1:38" outlineLevel="2" x14ac:dyDescent="0.25">
      <c r="A684" s="45"/>
      <c r="B684" s="54"/>
      <c r="C684" s="47">
        <f t="shared" si="133"/>
        <v>3</v>
      </c>
      <c r="D684" s="73"/>
      <c r="E684" s="70"/>
      <c r="F684" s="70" t="s">
        <v>1459</v>
      </c>
      <c r="G684" s="73"/>
      <c r="H684" s="76" t="s">
        <v>1460</v>
      </c>
      <c r="I684" s="96"/>
      <c r="J684" s="96"/>
      <c r="K684" s="76"/>
      <c r="L684" s="76"/>
      <c r="M684" s="76"/>
      <c r="N684" s="76"/>
      <c r="O684" s="76"/>
      <c r="P684" s="76"/>
      <c r="Q684" s="76"/>
      <c r="R684" s="76"/>
      <c r="S684" s="76"/>
      <c r="T684" s="76"/>
      <c r="U684" s="268">
        <f>$782:$782</f>
        <v>-0.71226</v>
      </c>
      <c r="V684" s="268">
        <f t="shared" ref="V684:AB684" si="137">$782:$782</f>
        <v>-0.71226</v>
      </c>
      <c r="W684" s="268">
        <f t="shared" si="137"/>
        <v>-0.71226</v>
      </c>
      <c r="X684" s="268">
        <f t="shared" si="137"/>
        <v>-0.21895000000000001</v>
      </c>
      <c r="Y684" s="268">
        <f t="shared" si="137"/>
        <v>-0.21895000000000001</v>
      </c>
      <c r="Z684" s="268">
        <f t="shared" si="137"/>
        <v>-0.21895000000000001</v>
      </c>
      <c r="AA684" s="268">
        <f t="shared" si="137"/>
        <v>-0.21895000000000001</v>
      </c>
      <c r="AB684" s="268">
        <f t="shared" si="137"/>
        <v>-0.21895000000000001</v>
      </c>
      <c r="AC684" s="76"/>
      <c r="AD684" s="76"/>
      <c r="AE684" s="76"/>
      <c r="AF684" s="268">
        <f>$782:$782</f>
        <v>1</v>
      </c>
      <c r="AG684" s="268">
        <f>$782:$782</f>
        <v>1</v>
      </c>
      <c r="AH684" s="73"/>
      <c r="AI684" s="57"/>
      <c r="AJ684" s="45"/>
      <c r="AK684" s="45"/>
      <c r="AL684" s="45"/>
    </row>
    <row r="685" spans="1:38" outlineLevel="2" x14ac:dyDescent="0.25">
      <c r="A685" s="45">
        <v>4</v>
      </c>
      <c r="B685" s="54"/>
      <c r="C685" s="47">
        <f t="shared" si="133"/>
        <v>3</v>
      </c>
      <c r="D685" s="73"/>
      <c r="E685" s="70"/>
      <c r="F685" s="70" t="s">
        <v>1461</v>
      </c>
      <c r="G685" s="73"/>
      <c r="H685" s="76" t="s">
        <v>1462</v>
      </c>
      <c r="I685" s="96"/>
      <c r="J685" s="96"/>
      <c r="K685" s="76"/>
      <c r="L685" s="76"/>
      <c r="M685" s="76"/>
      <c r="N685" s="76"/>
      <c r="O685" s="76"/>
      <c r="P685" s="76"/>
      <c r="Q685" s="76"/>
      <c r="R685" s="76"/>
      <c r="S685" s="76"/>
      <c r="T685" s="76"/>
      <c r="U685" s="268">
        <f>$783:$783</f>
        <v>-0.90173999999999999</v>
      </c>
      <c r="V685" s="268">
        <f t="shared" ref="V685:AB686" si="138">$783:$783</f>
        <v>-0.90173999999999999</v>
      </c>
      <c r="W685" s="268">
        <f t="shared" si="138"/>
        <v>-0.90173999999999999</v>
      </c>
      <c r="X685" s="268">
        <f t="shared" si="138"/>
        <v>-0.37940000000000002</v>
      </c>
      <c r="Y685" s="268">
        <f t="shared" si="138"/>
        <v>-0.37940000000000002</v>
      </c>
      <c r="Z685" s="268">
        <f t="shared" si="138"/>
        <v>-0.37940000000000002</v>
      </c>
      <c r="AA685" s="268">
        <f t="shared" si="138"/>
        <v>-0.37940000000000002</v>
      </c>
      <c r="AB685" s="268">
        <f t="shared" si="138"/>
        <v>-0.37940000000000002</v>
      </c>
      <c r="AC685" s="76"/>
      <c r="AD685" s="76"/>
      <c r="AE685" s="76"/>
      <c r="AF685" s="268">
        <f>$783:$783</f>
        <v>1</v>
      </c>
      <c r="AG685" s="268">
        <f>$783:$783</f>
        <v>1</v>
      </c>
      <c r="AH685" s="73"/>
      <c r="AI685" s="57"/>
      <c r="AJ685" s="45"/>
      <c r="AK685" s="45"/>
      <c r="AL685" s="45"/>
    </row>
    <row r="686" spans="1:38" outlineLevel="2" x14ac:dyDescent="0.25">
      <c r="A686" s="45">
        <f>A685</f>
        <v>4</v>
      </c>
      <c r="B686" s="54"/>
      <c r="C686" s="47">
        <f t="shared" si="133"/>
        <v>3</v>
      </c>
      <c r="D686" s="73"/>
      <c r="E686" s="70"/>
      <c r="F686" s="70" t="s">
        <v>1463</v>
      </c>
      <c r="G686" s="73"/>
      <c r="H686" s="76" t="s">
        <v>1464</v>
      </c>
      <c r="I686" s="96"/>
      <c r="J686" s="96"/>
      <c r="K686" s="76"/>
      <c r="L686" s="76"/>
      <c r="M686" s="76"/>
      <c r="N686" s="76"/>
      <c r="O686" s="76"/>
      <c r="P686" s="76"/>
      <c r="Q686" s="76"/>
      <c r="R686" s="76"/>
      <c r="S686" s="76"/>
      <c r="T686" s="76"/>
      <c r="U686" s="268">
        <f>$783:$783</f>
        <v>-0.90173999999999999</v>
      </c>
      <c r="V686" s="268">
        <f t="shared" si="138"/>
        <v>-0.90173999999999999</v>
      </c>
      <c r="W686" s="268">
        <f t="shared" si="138"/>
        <v>-0.90173999999999999</v>
      </c>
      <c r="X686" s="268">
        <f t="shared" si="138"/>
        <v>-0.37940000000000002</v>
      </c>
      <c r="Y686" s="268">
        <f t="shared" si="138"/>
        <v>-0.37940000000000002</v>
      </c>
      <c r="Z686" s="268">
        <f t="shared" si="138"/>
        <v>-0.37940000000000002</v>
      </c>
      <c r="AA686" s="268">
        <f t="shared" si="138"/>
        <v>-0.37940000000000002</v>
      </c>
      <c r="AB686" s="268">
        <f t="shared" si="138"/>
        <v>-0.37940000000000002</v>
      </c>
      <c r="AC686" s="76"/>
      <c r="AD686" s="76"/>
      <c r="AE686" s="76"/>
      <c r="AF686" s="268">
        <f>$783:$783</f>
        <v>1</v>
      </c>
      <c r="AG686" s="268">
        <f>$783:$783</f>
        <v>1</v>
      </c>
      <c r="AH686" s="73"/>
      <c r="AI686" s="57"/>
      <c r="AJ686" s="45"/>
      <c r="AK686" s="45"/>
      <c r="AL686" s="45"/>
    </row>
    <row r="687" spans="1:38" outlineLevel="3" x14ac:dyDescent="0.25">
      <c r="A687" s="45"/>
      <c r="B687" s="54"/>
      <c r="C687" s="47">
        <f t="shared" si="132"/>
        <v>4</v>
      </c>
      <c r="D687" s="73"/>
      <c r="E687" s="70"/>
      <c r="F687" s="70" t="s">
        <v>1465</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1467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1468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1469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1471</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1477</v>
      </c>
      <c r="G699" s="73"/>
      <c r="H699" s="76" t="s">
        <v>2834</v>
      </c>
      <c r="I699" s="96"/>
      <c r="J699" s="96"/>
      <c r="K699" s="76"/>
      <c r="L699" s="76"/>
      <c r="M699" s="76"/>
      <c r="N699" s="76"/>
      <c r="O699" s="76"/>
      <c r="P699" s="76"/>
      <c r="Q699" s="76"/>
      <c r="R699" s="76"/>
      <c r="S699" s="76"/>
      <c r="T699" s="76"/>
      <c r="U699" s="288">
        <v>1</v>
      </c>
      <c r="V699" s="348">
        <f t="shared" ref="V699:W699" si="140">U699</f>
        <v>1</v>
      </c>
      <c r="W699" s="348">
        <f t="shared" si="140"/>
        <v>1</v>
      </c>
      <c r="X699" s="348">
        <f t="shared" ref="X699" si="141">W699</f>
        <v>1</v>
      </c>
      <c r="Y699" s="348">
        <f t="shared" ref="Y699" si="142">X699</f>
        <v>1</v>
      </c>
      <c r="Z699" s="348">
        <f t="shared" ref="Z699" si="143">Y699</f>
        <v>1</v>
      </c>
      <c r="AA699" s="348">
        <f t="shared" ref="AA699" si="144">Z699</f>
        <v>1</v>
      </c>
      <c r="AB699" s="348">
        <f t="shared" ref="AB699" si="145">AA699</f>
        <v>1</v>
      </c>
      <c r="AC699" s="76"/>
      <c r="AD699" s="97" t="s">
        <v>2840</v>
      </c>
      <c r="AE699" s="76"/>
      <c r="AF699" s="97">
        <v>1</v>
      </c>
      <c r="AG699" s="97">
        <v>1</v>
      </c>
      <c r="AH699" s="73"/>
      <c r="AI699" s="57"/>
      <c r="AJ699" s="45"/>
      <c r="AK699" s="45"/>
      <c r="AL699" s="45"/>
    </row>
    <row r="700" spans="1:38" outlineLevel="3" x14ac:dyDescent="0.25">
      <c r="A700" s="45"/>
      <c r="B700" s="54"/>
      <c r="C700" s="47">
        <f t="shared" si="139"/>
        <v>4</v>
      </c>
      <c r="D700" s="73"/>
      <c r="E700" s="70"/>
      <c r="F700" s="70" t="s">
        <v>1478</v>
      </c>
      <c r="G700" s="73"/>
      <c r="H700" s="76" t="s">
        <v>2835</v>
      </c>
      <c r="I700" s="96"/>
      <c r="J700" s="96"/>
      <c r="K700" s="76"/>
      <c r="L700" s="76"/>
      <c r="M700" s="76"/>
      <c r="N700" s="76"/>
      <c r="O700" s="76"/>
      <c r="P700" s="76"/>
      <c r="Q700" s="76"/>
      <c r="R700" s="76"/>
      <c r="S700" s="76"/>
      <c r="T700" s="76"/>
      <c r="U700" s="288">
        <v>0.95399999999999996</v>
      </c>
      <c r="V700" s="348">
        <f t="shared" ref="V700:W704" si="146">U700</f>
        <v>0.95399999999999996</v>
      </c>
      <c r="W700" s="348">
        <f t="shared" si="146"/>
        <v>0.95399999999999996</v>
      </c>
      <c r="X700" s="348">
        <f t="shared" ref="X700:X704" si="147">W700</f>
        <v>0.95399999999999996</v>
      </c>
      <c r="Y700" s="348">
        <f t="shared" ref="Y700:Y704" si="148">X700</f>
        <v>0.95399999999999996</v>
      </c>
      <c r="Z700" s="348">
        <f t="shared" ref="Z700:Z704" si="149">Y700</f>
        <v>0.95399999999999996</v>
      </c>
      <c r="AA700" s="348">
        <f t="shared" ref="AA700:AA704" si="150">Z700</f>
        <v>0.95399999999999996</v>
      </c>
      <c r="AB700" s="348">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1479</v>
      </c>
      <c r="G701" s="73"/>
      <c r="H701" s="76" t="s">
        <v>2836</v>
      </c>
      <c r="I701" s="96"/>
      <c r="J701" s="96"/>
      <c r="K701" s="76"/>
      <c r="L701" s="76"/>
      <c r="M701" s="76"/>
      <c r="N701" s="76"/>
      <c r="O701" s="76"/>
      <c r="P701" s="76"/>
      <c r="Q701" s="76"/>
      <c r="R701" s="76"/>
      <c r="S701" s="76"/>
      <c r="T701" s="76"/>
      <c r="U701" s="288">
        <v>0.90800000000000003</v>
      </c>
      <c r="V701" s="348">
        <f t="shared" si="146"/>
        <v>0.90800000000000003</v>
      </c>
      <c r="W701" s="348">
        <f t="shared" si="146"/>
        <v>0.90800000000000003</v>
      </c>
      <c r="X701" s="348">
        <f t="shared" si="147"/>
        <v>0.90800000000000003</v>
      </c>
      <c r="Y701" s="348">
        <f t="shared" si="148"/>
        <v>0.90800000000000003</v>
      </c>
      <c r="Z701" s="348">
        <f t="shared" si="149"/>
        <v>0.90800000000000003</v>
      </c>
      <c r="AA701" s="348">
        <f t="shared" si="150"/>
        <v>0.90800000000000003</v>
      </c>
      <c r="AB701" s="348">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1480</v>
      </c>
      <c r="G702" s="73"/>
      <c r="H702" s="76" t="s">
        <v>2837</v>
      </c>
      <c r="I702" s="96"/>
      <c r="J702" s="96"/>
      <c r="K702" s="76"/>
      <c r="L702" s="76"/>
      <c r="M702" s="76"/>
      <c r="N702" s="76"/>
      <c r="O702" s="76"/>
      <c r="P702" s="76"/>
      <c r="Q702" s="76"/>
      <c r="R702" s="76"/>
      <c r="S702" s="76"/>
      <c r="T702" s="76"/>
      <c r="U702" s="288">
        <v>0.97</v>
      </c>
      <c r="V702" s="348">
        <f t="shared" si="146"/>
        <v>0.97</v>
      </c>
      <c r="W702" s="348">
        <f t="shared" si="146"/>
        <v>0.97</v>
      </c>
      <c r="X702" s="348">
        <f t="shared" si="147"/>
        <v>0.97</v>
      </c>
      <c r="Y702" s="348">
        <f t="shared" si="148"/>
        <v>0.97</v>
      </c>
      <c r="Z702" s="348">
        <f t="shared" si="149"/>
        <v>0.97</v>
      </c>
      <c r="AA702" s="348">
        <f t="shared" si="150"/>
        <v>0.97</v>
      </c>
      <c r="AB702" s="348">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1481</v>
      </c>
      <c r="G703" s="73"/>
      <c r="H703" s="76" t="s">
        <v>2838</v>
      </c>
      <c r="I703" s="96"/>
      <c r="J703" s="96"/>
      <c r="K703" s="76"/>
      <c r="L703" s="76"/>
      <c r="M703" s="76"/>
      <c r="N703" s="76"/>
      <c r="O703" s="76"/>
      <c r="P703" s="76"/>
      <c r="Q703" s="76"/>
      <c r="R703" s="76"/>
      <c r="S703" s="76"/>
      <c r="T703" s="76"/>
      <c r="U703" s="288">
        <v>0.92400000000000004</v>
      </c>
      <c r="V703" s="348">
        <f t="shared" si="146"/>
        <v>0.92400000000000004</v>
      </c>
      <c r="W703" s="348">
        <f t="shared" si="146"/>
        <v>0.92400000000000004</v>
      </c>
      <c r="X703" s="348">
        <f t="shared" si="147"/>
        <v>0.92400000000000004</v>
      </c>
      <c r="Y703" s="348">
        <f t="shared" si="148"/>
        <v>0.92400000000000004</v>
      </c>
      <c r="Z703" s="348">
        <f t="shared" si="149"/>
        <v>0.92400000000000004</v>
      </c>
      <c r="AA703" s="348">
        <f t="shared" si="150"/>
        <v>0.92400000000000004</v>
      </c>
      <c r="AB703" s="348">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1482</v>
      </c>
      <c r="G704" s="73"/>
      <c r="H704" s="76" t="s">
        <v>2839</v>
      </c>
      <c r="I704" s="96"/>
      <c r="J704" s="96"/>
      <c r="K704" s="76"/>
      <c r="L704" s="76"/>
      <c r="M704" s="76"/>
      <c r="N704" s="76"/>
      <c r="O704" s="76"/>
      <c r="P704" s="76"/>
      <c r="Q704" s="76"/>
      <c r="R704" s="76"/>
      <c r="S704" s="76"/>
      <c r="T704" s="76"/>
      <c r="U704" s="288">
        <v>0.94</v>
      </c>
      <c r="V704" s="348">
        <f t="shared" si="146"/>
        <v>0.94</v>
      </c>
      <c r="W704" s="348">
        <f t="shared" si="146"/>
        <v>0.94</v>
      </c>
      <c r="X704" s="348">
        <f t="shared" si="147"/>
        <v>0.94</v>
      </c>
      <c r="Y704" s="348">
        <f t="shared" si="148"/>
        <v>0.94</v>
      </c>
      <c r="Z704" s="348">
        <f t="shared" si="149"/>
        <v>0.94</v>
      </c>
      <c r="AA704" s="348">
        <f t="shared" si="150"/>
        <v>0.94</v>
      </c>
      <c r="AB704" s="348">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1483</v>
      </c>
      <c r="G705" s="73"/>
      <c r="H705" s="76" t="s">
        <v>1484</v>
      </c>
      <c r="I705" s="96" t="s">
        <v>764</v>
      </c>
      <c r="J705" s="96" t="s">
        <v>1224</v>
      </c>
      <c r="K705" s="76"/>
      <c r="L705" s="76"/>
      <c r="M705" s="76"/>
      <c r="N705" s="76"/>
      <c r="O705" s="76"/>
      <c r="P705" s="76"/>
      <c r="Q705" s="76"/>
      <c r="R705" s="76"/>
      <c r="S705" s="76"/>
      <c r="T705" s="76"/>
      <c r="U705" s="97">
        <v>0</v>
      </c>
      <c r="V705" s="97">
        <v>0</v>
      </c>
      <c r="W705" s="97">
        <v>0</v>
      </c>
      <c r="X705" s="262">
        <f t="shared" ref="X705:AB716" si="153">W705</f>
        <v>0</v>
      </c>
      <c r="Y705" s="262">
        <f t="shared" si="153"/>
        <v>0</v>
      </c>
      <c r="Z705" s="262">
        <f t="shared" si="153"/>
        <v>0</v>
      </c>
      <c r="AA705" s="262">
        <f t="shared" si="153"/>
        <v>0</v>
      </c>
      <c r="AB705" s="262">
        <f t="shared" si="153"/>
        <v>0</v>
      </c>
      <c r="AC705" s="76"/>
      <c r="AD705" s="97" t="s">
        <v>1485</v>
      </c>
      <c r="AE705" s="76"/>
      <c r="AF705" s="97">
        <v>1</v>
      </c>
      <c r="AG705" s="97">
        <v>1</v>
      </c>
      <c r="AH705" s="73"/>
      <c r="AI705" s="57"/>
      <c r="AJ705" s="45"/>
      <c r="AK705" s="45"/>
      <c r="AL705" s="45"/>
    </row>
    <row r="706" spans="1:38" outlineLevel="2" x14ac:dyDescent="0.25">
      <c r="A706" s="45"/>
      <c r="B706" s="54"/>
      <c r="C706" s="47">
        <f t="shared" si="152"/>
        <v>3</v>
      </c>
      <c r="D706" s="73"/>
      <c r="E706" s="70"/>
      <c r="F706" s="70" t="s">
        <v>1486</v>
      </c>
      <c r="G706" s="73"/>
      <c r="H706" s="76" t="s">
        <v>1487</v>
      </c>
      <c r="I706" s="96" t="s">
        <v>764</v>
      </c>
      <c r="J706" s="96" t="s">
        <v>1224</v>
      </c>
      <c r="K706" s="76"/>
      <c r="L706" s="76"/>
      <c r="M706" s="76"/>
      <c r="N706" s="76"/>
      <c r="O706" s="76"/>
      <c r="P706" s="76"/>
      <c r="Q706" s="76"/>
      <c r="R706" s="76"/>
      <c r="S706" s="76"/>
      <c r="T706" s="76"/>
      <c r="U706" s="97">
        <v>-0.26400000000000001</v>
      </c>
      <c r="V706" s="97">
        <v>-0.26400000000000001</v>
      </c>
      <c r="W706" s="97">
        <v>-0.26400000000000001</v>
      </c>
      <c r="X706" s="262">
        <f t="shared" si="153"/>
        <v>-0.26400000000000001</v>
      </c>
      <c r="Y706" s="262">
        <f t="shared" si="153"/>
        <v>-0.26400000000000001</v>
      </c>
      <c r="Z706" s="262">
        <f t="shared" si="153"/>
        <v>-0.26400000000000001</v>
      </c>
      <c r="AA706" s="262">
        <f t="shared" si="153"/>
        <v>-0.26400000000000001</v>
      </c>
      <c r="AB706" s="262">
        <f t="shared" si="153"/>
        <v>-0.26400000000000001</v>
      </c>
      <c r="AC706" s="76"/>
      <c r="AD706" s="97" t="s">
        <v>1488</v>
      </c>
      <c r="AE706" s="76"/>
      <c r="AF706" s="97">
        <v>1</v>
      </c>
      <c r="AG706" s="97">
        <v>1</v>
      </c>
      <c r="AH706" s="73"/>
      <c r="AI706" s="57"/>
      <c r="AJ706" s="45"/>
      <c r="AK706" s="45"/>
      <c r="AL706" s="45"/>
    </row>
    <row r="707" spans="1:38" outlineLevel="2" x14ac:dyDescent="0.25">
      <c r="A707" s="45"/>
      <c r="B707" s="54"/>
      <c r="C707" s="47">
        <f t="shared" si="152"/>
        <v>3</v>
      </c>
      <c r="D707" s="73"/>
      <c r="E707" s="70"/>
      <c r="F707" s="70" t="s">
        <v>1489</v>
      </c>
      <c r="G707" s="73"/>
      <c r="H707" s="76" t="s">
        <v>1490</v>
      </c>
      <c r="I707" s="96" t="s">
        <v>764</v>
      </c>
      <c r="J707" s="96" t="s">
        <v>1224</v>
      </c>
      <c r="K707" s="76"/>
      <c r="L707" s="76"/>
      <c r="M707" s="76"/>
      <c r="N707" s="76"/>
      <c r="O707" s="76"/>
      <c r="P707" s="76"/>
      <c r="Q707" s="76"/>
      <c r="R707" s="76"/>
      <c r="S707" s="76"/>
      <c r="T707" s="76"/>
      <c r="U707" s="97">
        <v>-0.4</v>
      </c>
      <c r="V707" s="97">
        <v>-0.4</v>
      </c>
      <c r="W707" s="97">
        <v>-0.4</v>
      </c>
      <c r="X707" s="262">
        <f t="shared" si="153"/>
        <v>-0.4</v>
      </c>
      <c r="Y707" s="262">
        <f t="shared" si="153"/>
        <v>-0.4</v>
      </c>
      <c r="Z707" s="262">
        <f t="shared" si="153"/>
        <v>-0.4</v>
      </c>
      <c r="AA707" s="262">
        <f t="shared" si="153"/>
        <v>-0.4</v>
      </c>
      <c r="AB707" s="262">
        <f t="shared" si="153"/>
        <v>-0.4</v>
      </c>
      <c r="AC707" s="76"/>
      <c r="AD707" s="270" t="s">
        <v>1491</v>
      </c>
      <c r="AE707" s="76"/>
      <c r="AF707" s="97">
        <v>1</v>
      </c>
      <c r="AG707" s="97">
        <v>1</v>
      </c>
      <c r="AH707" s="73"/>
      <c r="AI707" s="57"/>
      <c r="AJ707" s="45"/>
      <c r="AK707" s="45"/>
      <c r="AL707" s="45"/>
    </row>
    <row r="708" spans="1:38" outlineLevel="2" x14ac:dyDescent="0.25">
      <c r="A708" s="45"/>
      <c r="B708" s="54"/>
      <c r="C708" s="47">
        <f t="shared" si="152"/>
        <v>3</v>
      </c>
      <c r="D708" s="73"/>
      <c r="E708" s="70"/>
      <c r="F708" s="70" t="s">
        <v>1492</v>
      </c>
      <c r="G708" s="73"/>
      <c r="H708" s="76" t="s">
        <v>1493</v>
      </c>
      <c r="I708" s="96" t="s">
        <v>764</v>
      </c>
      <c r="J708" s="96" t="s">
        <v>1224</v>
      </c>
      <c r="K708" s="76"/>
      <c r="L708" s="76"/>
      <c r="M708" s="76"/>
      <c r="N708" s="76"/>
      <c r="O708" s="76"/>
      <c r="P708" s="76"/>
      <c r="Q708" s="76"/>
      <c r="R708" s="76"/>
      <c r="S708" s="76"/>
      <c r="T708" s="76"/>
      <c r="U708" s="97">
        <v>-0.17799999999999999</v>
      </c>
      <c r="V708" s="97">
        <v>-0.17799999999999999</v>
      </c>
      <c r="W708" s="97">
        <v>-0.17799999999999999</v>
      </c>
      <c r="X708" s="262">
        <f t="shared" si="153"/>
        <v>-0.17799999999999999</v>
      </c>
      <c r="Y708" s="262">
        <f t="shared" si="153"/>
        <v>-0.17799999999999999</v>
      </c>
      <c r="Z708" s="262">
        <f t="shared" si="153"/>
        <v>-0.17799999999999999</v>
      </c>
      <c r="AA708" s="262">
        <f t="shared" si="153"/>
        <v>-0.17799999999999999</v>
      </c>
      <c r="AB708" s="262">
        <f t="shared" si="153"/>
        <v>-0.17799999999999999</v>
      </c>
      <c r="AC708" s="76"/>
      <c r="AD708" s="97" t="s">
        <v>1494</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1495</v>
      </c>
      <c r="G709" s="73"/>
      <c r="H709" s="76" t="s">
        <v>1496</v>
      </c>
      <c r="I709" s="96" t="s">
        <v>764</v>
      </c>
      <c r="J709" s="96" t="s">
        <v>1224</v>
      </c>
      <c r="K709" s="76"/>
      <c r="L709" s="76"/>
      <c r="M709" s="76"/>
      <c r="N709" s="76"/>
      <c r="O709" s="76"/>
      <c r="P709" s="76"/>
      <c r="Q709" s="76"/>
      <c r="R709" s="76"/>
      <c r="S709" s="76"/>
      <c r="T709" s="76"/>
      <c r="U709" s="97">
        <v>-0.26400000000000001</v>
      </c>
      <c r="V709" s="97">
        <v>-0.26400000000000001</v>
      </c>
      <c r="W709" s="97">
        <v>-0.26400000000000001</v>
      </c>
      <c r="X709" s="262">
        <f t="shared" si="153"/>
        <v>-0.26400000000000001</v>
      </c>
      <c r="Y709" s="262">
        <f t="shared" si="153"/>
        <v>-0.26400000000000001</v>
      </c>
      <c r="Z709" s="262">
        <f t="shared" si="153"/>
        <v>-0.26400000000000001</v>
      </c>
      <c r="AA709" s="262">
        <f t="shared" si="153"/>
        <v>-0.26400000000000001</v>
      </c>
      <c r="AB709" s="262">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1497</v>
      </c>
      <c r="G710" s="73"/>
      <c r="H710" s="76" t="s">
        <v>1498</v>
      </c>
      <c r="I710" s="96" t="s">
        <v>764</v>
      </c>
      <c r="J710" s="96" t="s">
        <v>1224</v>
      </c>
      <c r="K710" s="76"/>
      <c r="L710" s="76"/>
      <c r="M710" s="76"/>
      <c r="N710" s="76"/>
      <c r="O710" s="76"/>
      <c r="P710" s="76"/>
      <c r="Q710" s="76"/>
      <c r="R710" s="76"/>
      <c r="S710" s="76"/>
      <c r="T710" s="76"/>
      <c r="U710" s="97">
        <v>-0.17799999999999999</v>
      </c>
      <c r="V710" s="97">
        <v>-0.17799999999999999</v>
      </c>
      <c r="W710" s="97">
        <v>-0.17799999999999999</v>
      </c>
      <c r="X710" s="262">
        <f t="shared" si="153"/>
        <v>-0.17799999999999999</v>
      </c>
      <c r="Y710" s="262">
        <f t="shared" si="153"/>
        <v>-0.17799999999999999</v>
      </c>
      <c r="Z710" s="262">
        <f t="shared" si="153"/>
        <v>-0.17799999999999999</v>
      </c>
      <c r="AA710" s="262">
        <f t="shared" si="153"/>
        <v>-0.17799999999999999</v>
      </c>
      <c r="AB710" s="262">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1499</v>
      </c>
      <c r="G711" s="73"/>
      <c r="H711" s="76" t="s">
        <v>1500</v>
      </c>
      <c r="I711" s="96" t="s">
        <v>1501</v>
      </c>
      <c r="J711" s="96" t="s">
        <v>1224</v>
      </c>
      <c r="K711" s="76"/>
      <c r="L711" s="76"/>
      <c r="M711" s="76"/>
      <c r="N711" s="76"/>
      <c r="O711" s="76"/>
      <c r="P711" s="76"/>
      <c r="Q711" s="76"/>
      <c r="R711" s="76"/>
      <c r="S711" s="76"/>
      <c r="T711" s="76"/>
      <c r="U711" s="97">
        <v>0</v>
      </c>
      <c r="V711" s="97">
        <v>0</v>
      </c>
      <c r="W711" s="97">
        <v>0</v>
      </c>
      <c r="X711" s="262">
        <f t="shared" si="153"/>
        <v>0</v>
      </c>
      <c r="Y711" s="262">
        <f t="shared" si="153"/>
        <v>0</v>
      </c>
      <c r="Z711" s="262">
        <f t="shared" si="153"/>
        <v>0</v>
      </c>
      <c r="AA711" s="262">
        <f t="shared" si="153"/>
        <v>0</v>
      </c>
      <c r="AB711" s="262">
        <f t="shared" si="153"/>
        <v>0</v>
      </c>
      <c r="AC711" s="76"/>
      <c r="AD711" s="97" t="s">
        <v>1485</v>
      </c>
      <c r="AE711" s="76"/>
      <c r="AF711" s="97">
        <v>1</v>
      </c>
      <c r="AG711" s="97">
        <v>1</v>
      </c>
      <c r="AH711" s="73"/>
      <c r="AI711" s="57"/>
      <c r="AJ711" s="45"/>
      <c r="AK711" s="45"/>
      <c r="AL711" s="45"/>
    </row>
    <row r="712" spans="1:38" outlineLevel="2" x14ac:dyDescent="0.25">
      <c r="A712" s="45"/>
      <c r="B712" s="54"/>
      <c r="C712" s="47">
        <f t="shared" si="152"/>
        <v>3</v>
      </c>
      <c r="D712" s="73"/>
      <c r="E712" s="70"/>
      <c r="F712" s="70" t="s">
        <v>1502</v>
      </c>
      <c r="G712" s="73"/>
      <c r="H712" s="76" t="s">
        <v>1503</v>
      </c>
      <c r="I712" s="96" t="s">
        <v>1501</v>
      </c>
      <c r="J712" s="96" t="s">
        <v>1224</v>
      </c>
      <c r="K712" s="76"/>
      <c r="L712" s="76"/>
      <c r="M712" s="76"/>
      <c r="N712" s="76"/>
      <c r="O712" s="76"/>
      <c r="P712" s="76"/>
      <c r="Q712" s="76"/>
      <c r="R712" s="76"/>
      <c r="S712" s="76"/>
      <c r="T712" s="76"/>
      <c r="U712" s="97">
        <v>0.43</v>
      </c>
      <c r="V712" s="97">
        <v>0.43</v>
      </c>
      <c r="W712" s="97">
        <v>0.43</v>
      </c>
      <c r="X712" s="262">
        <f t="shared" si="153"/>
        <v>0.43</v>
      </c>
      <c r="Y712" s="262">
        <f t="shared" si="153"/>
        <v>0.43</v>
      </c>
      <c r="Z712" s="262">
        <f t="shared" si="153"/>
        <v>0.43</v>
      </c>
      <c r="AA712" s="262">
        <f t="shared" si="153"/>
        <v>0.43</v>
      </c>
      <c r="AB712" s="262">
        <f t="shared" si="153"/>
        <v>0.43</v>
      </c>
      <c r="AC712" s="76"/>
      <c r="AD712" s="97" t="s">
        <v>1488</v>
      </c>
      <c r="AE712" s="76"/>
      <c r="AF712" s="97">
        <v>1</v>
      </c>
      <c r="AG712" s="97">
        <v>1</v>
      </c>
      <c r="AH712" s="73"/>
      <c r="AI712" s="57"/>
      <c r="AJ712" s="45"/>
      <c r="AK712" s="45"/>
      <c r="AL712" s="45"/>
    </row>
    <row r="713" spans="1:38" outlineLevel="2" x14ac:dyDescent="0.25">
      <c r="A713" s="45"/>
      <c r="B713" s="54"/>
      <c r="C713" s="47">
        <f t="shared" si="152"/>
        <v>3</v>
      </c>
      <c r="D713" s="73"/>
      <c r="E713" s="70"/>
      <c r="F713" s="70" t="s">
        <v>1504</v>
      </c>
      <c r="G713" s="73"/>
      <c r="H713" s="76" t="s">
        <v>1505</v>
      </c>
      <c r="I713" s="96" t="s">
        <v>1501</v>
      </c>
      <c r="J713" s="96" t="s">
        <v>1224</v>
      </c>
      <c r="K713" s="76"/>
      <c r="L713" s="76"/>
      <c r="M713" s="76"/>
      <c r="N713" s="76"/>
      <c r="O713" s="76"/>
      <c r="P713" s="76"/>
      <c r="Q713" s="76"/>
      <c r="R713" s="76"/>
      <c r="S713" s="76"/>
      <c r="T713" s="76"/>
      <c r="U713" s="97">
        <v>0.8</v>
      </c>
      <c r="V713" s="97">
        <v>0.8</v>
      </c>
      <c r="W713" s="97">
        <v>0.8</v>
      </c>
      <c r="X713" s="262">
        <f t="shared" si="153"/>
        <v>0.8</v>
      </c>
      <c r="Y713" s="262">
        <f t="shared" si="153"/>
        <v>0.8</v>
      </c>
      <c r="Z713" s="262">
        <f t="shared" si="153"/>
        <v>0.8</v>
      </c>
      <c r="AA713" s="262">
        <f t="shared" si="153"/>
        <v>0.8</v>
      </c>
      <c r="AB713" s="262">
        <f t="shared" si="153"/>
        <v>0.8</v>
      </c>
      <c r="AC713" s="76"/>
      <c r="AD713" s="270" t="s">
        <v>1491</v>
      </c>
      <c r="AE713" s="76"/>
      <c r="AF713" s="97">
        <v>1</v>
      </c>
      <c r="AG713" s="97">
        <v>1</v>
      </c>
      <c r="AH713" s="73"/>
      <c r="AI713" s="57"/>
      <c r="AJ713" s="45"/>
      <c r="AK713" s="45"/>
      <c r="AL713" s="45"/>
    </row>
    <row r="714" spans="1:38" outlineLevel="2" x14ac:dyDescent="0.25">
      <c r="A714" s="45"/>
      <c r="B714" s="54"/>
      <c r="C714" s="47">
        <f t="shared" si="152"/>
        <v>3</v>
      </c>
      <c r="D714" s="73"/>
      <c r="E714" s="70"/>
      <c r="F714" s="70" t="s">
        <v>1506</v>
      </c>
      <c r="G714" s="73"/>
      <c r="H714" s="76" t="s">
        <v>1507</v>
      </c>
      <c r="I714" s="96" t="s">
        <v>1501</v>
      </c>
      <c r="J714" s="96" t="s">
        <v>1224</v>
      </c>
      <c r="K714" s="76"/>
      <c r="L714" s="76"/>
      <c r="M714" s="76"/>
      <c r="N714" s="76"/>
      <c r="O714" s="76"/>
      <c r="P714" s="76"/>
      <c r="Q714" s="76"/>
      <c r="R714" s="76"/>
      <c r="S714" s="76"/>
      <c r="T714" s="76"/>
      <c r="U714" s="97">
        <v>8.9999999999999993E-3</v>
      </c>
      <c r="V714" s="97">
        <v>8.9999999999999993E-3</v>
      </c>
      <c r="W714" s="97">
        <v>8.9999999999999993E-3</v>
      </c>
      <c r="X714" s="262">
        <f t="shared" si="153"/>
        <v>8.9999999999999993E-3</v>
      </c>
      <c r="Y714" s="262">
        <f t="shared" si="153"/>
        <v>8.9999999999999993E-3</v>
      </c>
      <c r="Z714" s="262">
        <f t="shared" si="153"/>
        <v>8.9999999999999993E-3</v>
      </c>
      <c r="AA714" s="262">
        <f t="shared" si="153"/>
        <v>8.9999999999999993E-3</v>
      </c>
      <c r="AB714" s="262">
        <f t="shared" si="153"/>
        <v>8.9999999999999993E-3</v>
      </c>
      <c r="AC714" s="76"/>
      <c r="AD714" s="97" t="s">
        <v>1508</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1509</v>
      </c>
      <c r="G715" s="73"/>
      <c r="H715" s="76" t="s">
        <v>1510</v>
      </c>
      <c r="I715" s="96" t="s">
        <v>1501</v>
      </c>
      <c r="J715" s="96" t="s">
        <v>1224</v>
      </c>
      <c r="K715" s="76"/>
      <c r="L715" s="76"/>
      <c r="M715" s="76"/>
      <c r="N715" s="76"/>
      <c r="O715" s="76"/>
      <c r="P715" s="76"/>
      <c r="Q715" s="76"/>
      <c r="R715" s="76"/>
      <c r="S715" s="76"/>
      <c r="T715" s="76"/>
      <c r="U715" s="97">
        <v>0.48199999999999998</v>
      </c>
      <c r="V715" s="97">
        <v>0.48199999999999998</v>
      </c>
      <c r="W715" s="97">
        <v>0.48199999999999998</v>
      </c>
      <c r="X715" s="262">
        <f t="shared" si="153"/>
        <v>0.48199999999999998</v>
      </c>
      <c r="Y715" s="262">
        <f t="shared" si="153"/>
        <v>0.48199999999999998</v>
      </c>
      <c r="Z715" s="262">
        <f t="shared" si="153"/>
        <v>0.48199999999999998</v>
      </c>
      <c r="AA715" s="262">
        <f t="shared" si="153"/>
        <v>0.48199999999999998</v>
      </c>
      <c r="AB715" s="262">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1511</v>
      </c>
      <c r="G716" s="73"/>
      <c r="H716" s="76" t="s">
        <v>1512</v>
      </c>
      <c r="I716" s="96" t="s">
        <v>1501</v>
      </c>
      <c r="J716" s="96" t="s">
        <v>1224</v>
      </c>
      <c r="K716" s="76"/>
      <c r="L716" s="76"/>
      <c r="M716" s="76"/>
      <c r="N716" s="76"/>
      <c r="O716" s="76"/>
      <c r="P716" s="76"/>
      <c r="Q716" s="76"/>
      <c r="R716" s="76"/>
      <c r="S716" s="76"/>
      <c r="T716" s="76"/>
      <c r="U716" s="97">
        <v>0.128</v>
      </c>
      <c r="V716" s="97">
        <v>0.128</v>
      </c>
      <c r="W716" s="97">
        <v>0.128</v>
      </c>
      <c r="X716" s="262">
        <f t="shared" si="153"/>
        <v>0.128</v>
      </c>
      <c r="Y716" s="262">
        <f t="shared" si="153"/>
        <v>0.128</v>
      </c>
      <c r="Z716" s="262">
        <f t="shared" si="153"/>
        <v>0.128</v>
      </c>
      <c r="AA716" s="262">
        <f t="shared" si="153"/>
        <v>0.128</v>
      </c>
      <c r="AB716" s="262">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1513</v>
      </c>
      <c r="G717" s="73"/>
      <c r="H717" s="76" t="s">
        <v>672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1514</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1517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1518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1519</v>
      </c>
      <c r="G723" s="73"/>
      <c r="H723" s="76" t="s">
        <v>1520</v>
      </c>
      <c r="I723" s="96"/>
      <c r="J723" s="96" t="s">
        <v>1252</v>
      </c>
      <c r="K723" s="76"/>
      <c r="L723" s="76"/>
      <c r="M723" s="76"/>
      <c r="N723" s="76"/>
      <c r="O723" s="76"/>
      <c r="P723" s="76"/>
      <c r="Q723" s="76"/>
      <c r="R723" s="76"/>
      <c r="S723" s="76"/>
      <c r="T723" s="76"/>
      <c r="U723" s="268">
        <f>U$809</f>
        <v>0.1</v>
      </c>
      <c r="V723" s="268">
        <f t="shared" ref="V723:AB723" si="155">V$809</f>
        <v>0.1</v>
      </c>
      <c r="W723" s="268">
        <f t="shared" si="155"/>
        <v>0.1</v>
      </c>
      <c r="X723" s="268">
        <f t="shared" si="155"/>
        <v>0.1</v>
      </c>
      <c r="Y723" s="268">
        <f t="shared" si="155"/>
        <v>0.1</v>
      </c>
      <c r="Z723" s="268">
        <f t="shared" si="155"/>
        <v>0.1</v>
      </c>
      <c r="AA723" s="268">
        <f t="shared" si="155"/>
        <v>0.1</v>
      </c>
      <c r="AB723" s="268">
        <f t="shared" si="155"/>
        <v>0.1</v>
      </c>
      <c r="AC723" s="76"/>
      <c r="AD723" s="76" t="s">
        <v>1454</v>
      </c>
      <c r="AE723" s="76"/>
      <c r="AF723" s="268">
        <f>AF$809</f>
        <v>1</v>
      </c>
      <c r="AG723" s="268">
        <f>AG$809</f>
        <v>1</v>
      </c>
      <c r="AH723" s="73"/>
      <c r="AI723" s="57"/>
      <c r="AJ723" s="45"/>
      <c r="AK723" s="45"/>
      <c r="AL723" s="45"/>
    </row>
    <row r="724" spans="1:38" outlineLevel="2" x14ac:dyDescent="0.25">
      <c r="A724" s="45"/>
      <c r="B724" s="54"/>
      <c r="C724" s="47">
        <f t="shared" si="154"/>
        <v>3</v>
      </c>
      <c r="D724" s="73"/>
      <c r="E724" s="70"/>
      <c r="F724" s="70" t="s">
        <v>1521</v>
      </c>
      <c r="G724" s="73"/>
      <c r="H724" s="76" t="s">
        <v>1522</v>
      </c>
      <c r="I724" s="96"/>
      <c r="J724" s="96" t="s">
        <v>1252</v>
      </c>
      <c r="K724" s="76"/>
      <c r="L724" s="76"/>
      <c r="M724" s="76"/>
      <c r="N724" s="76"/>
      <c r="O724" s="76"/>
      <c r="P724" s="76"/>
      <c r="Q724" s="76"/>
      <c r="R724" s="76"/>
      <c r="S724" s="76"/>
      <c r="T724" s="76"/>
      <c r="U724" s="268">
        <f>U$810</f>
        <v>8.5000000000000006E-2</v>
      </c>
      <c r="V724" s="268">
        <f t="shared" ref="V724:AB724" si="156">V$810</f>
        <v>8.5000000000000006E-2</v>
      </c>
      <c r="W724" s="268">
        <f t="shared" si="156"/>
        <v>8.5000000000000006E-2</v>
      </c>
      <c r="X724" s="268">
        <f t="shared" si="156"/>
        <v>8.5000000000000006E-2</v>
      </c>
      <c r="Y724" s="268">
        <f t="shared" si="156"/>
        <v>8.5000000000000006E-2</v>
      </c>
      <c r="Z724" s="268">
        <f t="shared" si="156"/>
        <v>8.5000000000000006E-2</v>
      </c>
      <c r="AA724" s="268">
        <f t="shared" si="156"/>
        <v>8.5000000000000006E-2</v>
      </c>
      <c r="AB724" s="268">
        <f t="shared" si="156"/>
        <v>8.5000000000000006E-2</v>
      </c>
      <c r="AC724" s="76"/>
      <c r="AD724" s="76"/>
      <c r="AE724" s="76"/>
      <c r="AF724" s="268">
        <f>AF$810</f>
        <v>1</v>
      </c>
      <c r="AG724" s="268">
        <f>AG$810</f>
        <v>1</v>
      </c>
      <c r="AH724" s="73"/>
      <c r="AI724" s="57"/>
      <c r="AJ724" s="45"/>
      <c r="AK724" s="45"/>
      <c r="AL724" s="45"/>
    </row>
    <row r="725" spans="1:38" outlineLevel="2" x14ac:dyDescent="0.25">
      <c r="A725" s="45"/>
      <c r="B725" s="54"/>
      <c r="C725" s="47">
        <f t="shared" si="154"/>
        <v>3</v>
      </c>
      <c r="D725" s="73"/>
      <c r="E725" s="70"/>
      <c r="F725" s="70" t="s">
        <v>1523</v>
      </c>
      <c r="G725" s="73"/>
      <c r="H725" s="76" t="s">
        <v>1524</v>
      </c>
      <c r="I725" s="96"/>
      <c r="J725" s="96" t="s">
        <v>1252</v>
      </c>
      <c r="K725" s="76"/>
      <c r="L725" s="76"/>
      <c r="M725" s="76"/>
      <c r="N725" s="76"/>
      <c r="O725" s="76"/>
      <c r="P725" s="76"/>
      <c r="Q725" s="76"/>
      <c r="R725" s="76"/>
      <c r="S725" s="76"/>
      <c r="T725" s="76"/>
      <c r="U725" s="268">
        <f>U$811</f>
        <v>7.0000000000000007E-2</v>
      </c>
      <c r="V725" s="268">
        <f t="shared" ref="V725:AB725" si="157">V$811</f>
        <v>7.0000000000000007E-2</v>
      </c>
      <c r="W725" s="268">
        <f t="shared" si="157"/>
        <v>7.0000000000000007E-2</v>
      </c>
      <c r="X725" s="268">
        <f t="shared" si="157"/>
        <v>7.0000000000000007E-2</v>
      </c>
      <c r="Y725" s="268">
        <f t="shared" si="157"/>
        <v>7.0000000000000007E-2</v>
      </c>
      <c r="Z725" s="268">
        <f t="shared" si="157"/>
        <v>7.0000000000000007E-2</v>
      </c>
      <c r="AA725" s="268">
        <f t="shared" si="157"/>
        <v>7.0000000000000007E-2</v>
      </c>
      <c r="AB725" s="268">
        <f t="shared" si="157"/>
        <v>7.0000000000000007E-2</v>
      </c>
      <c r="AC725" s="76"/>
      <c r="AD725" s="76"/>
      <c r="AE725" s="76"/>
      <c r="AF725" s="268">
        <f>AF$811</f>
        <v>1</v>
      </c>
      <c r="AG725" s="268">
        <f>AG$811</f>
        <v>1</v>
      </c>
      <c r="AH725" s="73"/>
      <c r="AI725" s="57"/>
      <c r="AJ725" s="45"/>
      <c r="AK725" s="45"/>
      <c r="AL725" s="45"/>
    </row>
    <row r="726" spans="1:38" outlineLevel="2" x14ac:dyDescent="0.25">
      <c r="A726" s="45"/>
      <c r="B726" s="54"/>
      <c r="C726" s="47">
        <f t="shared" si="154"/>
        <v>3</v>
      </c>
      <c r="D726" s="73"/>
      <c r="E726" s="70"/>
      <c r="F726" s="70" t="s">
        <v>1525</v>
      </c>
      <c r="G726" s="73"/>
      <c r="H726" s="76" t="s">
        <v>1526</v>
      </c>
      <c r="I726" s="96"/>
      <c r="J726" s="96" t="s">
        <v>1252</v>
      </c>
      <c r="K726" s="76"/>
      <c r="L726" s="76"/>
      <c r="M726" s="76"/>
      <c r="N726" s="76"/>
      <c r="O726" s="76"/>
      <c r="P726" s="76"/>
      <c r="Q726" s="76"/>
      <c r="R726" s="76"/>
      <c r="S726" s="76"/>
      <c r="T726" s="76"/>
      <c r="U726" s="268">
        <f>U$810</f>
        <v>8.5000000000000006E-2</v>
      </c>
      <c r="V726" s="268">
        <f t="shared" ref="V726:AB726" si="158">V$810</f>
        <v>8.5000000000000006E-2</v>
      </c>
      <c r="W726" s="268">
        <f t="shared" si="158"/>
        <v>8.5000000000000006E-2</v>
      </c>
      <c r="X726" s="268">
        <f t="shared" si="158"/>
        <v>8.5000000000000006E-2</v>
      </c>
      <c r="Y726" s="268">
        <f t="shared" si="158"/>
        <v>8.5000000000000006E-2</v>
      </c>
      <c r="Z726" s="268">
        <f t="shared" si="158"/>
        <v>8.5000000000000006E-2</v>
      </c>
      <c r="AA726" s="268">
        <f t="shared" si="158"/>
        <v>8.5000000000000006E-2</v>
      </c>
      <c r="AB726" s="268">
        <f t="shared" si="158"/>
        <v>8.5000000000000006E-2</v>
      </c>
      <c r="AC726" s="76"/>
      <c r="AD726" s="76"/>
      <c r="AE726" s="76"/>
      <c r="AF726" s="268">
        <f>AF$810</f>
        <v>1</v>
      </c>
      <c r="AG726" s="268">
        <f>AG$810</f>
        <v>1</v>
      </c>
      <c r="AH726" s="73"/>
      <c r="AI726" s="57"/>
      <c r="AJ726" s="45"/>
      <c r="AK726" s="45"/>
      <c r="AL726" s="45"/>
    </row>
    <row r="727" spans="1:38" outlineLevel="2" x14ac:dyDescent="0.25">
      <c r="A727" s="45">
        <v>4</v>
      </c>
      <c r="B727" s="54"/>
      <c r="C727" s="47">
        <f t="shared" si="154"/>
        <v>3</v>
      </c>
      <c r="D727" s="73"/>
      <c r="E727" s="70"/>
      <c r="F727" s="70" t="s">
        <v>1527</v>
      </c>
      <c r="G727" s="73"/>
      <c r="H727" s="76" t="s">
        <v>1528</v>
      </c>
      <c r="I727" s="96"/>
      <c r="J727" s="96" t="s">
        <v>1252</v>
      </c>
      <c r="K727" s="76"/>
      <c r="L727" s="76"/>
      <c r="M727" s="76"/>
      <c r="N727" s="76"/>
      <c r="O727" s="76"/>
      <c r="P727" s="76"/>
      <c r="Q727" s="76"/>
      <c r="R727" s="76"/>
      <c r="S727" s="76"/>
      <c r="T727" s="76"/>
      <c r="U727" s="268">
        <f>U$811</f>
        <v>7.0000000000000007E-2</v>
      </c>
      <c r="V727" s="268">
        <f t="shared" ref="V727:AB728" si="159">V$811</f>
        <v>7.0000000000000007E-2</v>
      </c>
      <c r="W727" s="268">
        <f t="shared" si="159"/>
        <v>7.0000000000000007E-2</v>
      </c>
      <c r="X727" s="268">
        <f t="shared" si="159"/>
        <v>7.0000000000000007E-2</v>
      </c>
      <c r="Y727" s="268">
        <f t="shared" si="159"/>
        <v>7.0000000000000007E-2</v>
      </c>
      <c r="Z727" s="268">
        <f t="shared" si="159"/>
        <v>7.0000000000000007E-2</v>
      </c>
      <c r="AA727" s="268">
        <f t="shared" si="159"/>
        <v>7.0000000000000007E-2</v>
      </c>
      <c r="AB727" s="268">
        <f t="shared" si="159"/>
        <v>7.0000000000000007E-2</v>
      </c>
      <c r="AC727" s="76"/>
      <c r="AD727" s="76"/>
      <c r="AE727" s="76"/>
      <c r="AF727" s="268">
        <f>AF$811</f>
        <v>1</v>
      </c>
      <c r="AG727" s="268">
        <f>AG$811</f>
        <v>1</v>
      </c>
      <c r="AH727" s="73"/>
      <c r="AI727" s="57"/>
      <c r="AJ727" s="45"/>
      <c r="AK727" s="45"/>
      <c r="AL727" s="45"/>
    </row>
    <row r="728" spans="1:38" outlineLevel="2" x14ac:dyDescent="0.25">
      <c r="A728" s="45">
        <f>A727</f>
        <v>4</v>
      </c>
      <c r="B728" s="54"/>
      <c r="C728" s="47">
        <f t="shared" si="154"/>
        <v>3</v>
      </c>
      <c r="D728" s="73"/>
      <c r="E728" s="70"/>
      <c r="F728" s="70" t="s">
        <v>1529</v>
      </c>
      <c r="G728" s="73"/>
      <c r="H728" s="76" t="s">
        <v>1530</v>
      </c>
      <c r="I728" s="96"/>
      <c r="J728" s="96" t="s">
        <v>1252</v>
      </c>
      <c r="K728" s="76"/>
      <c r="L728" s="76"/>
      <c r="M728" s="76"/>
      <c r="N728" s="76"/>
      <c r="O728" s="76"/>
      <c r="P728" s="76"/>
      <c r="Q728" s="76"/>
      <c r="R728" s="76"/>
      <c r="S728" s="76"/>
      <c r="T728" s="76"/>
      <c r="U728" s="268">
        <f>U$811</f>
        <v>7.0000000000000007E-2</v>
      </c>
      <c r="V728" s="268">
        <f t="shared" si="159"/>
        <v>7.0000000000000007E-2</v>
      </c>
      <c r="W728" s="268">
        <f t="shared" si="159"/>
        <v>7.0000000000000007E-2</v>
      </c>
      <c r="X728" s="268">
        <f t="shared" si="159"/>
        <v>7.0000000000000007E-2</v>
      </c>
      <c r="Y728" s="268">
        <f t="shared" si="159"/>
        <v>7.0000000000000007E-2</v>
      </c>
      <c r="Z728" s="268">
        <f t="shared" si="159"/>
        <v>7.0000000000000007E-2</v>
      </c>
      <c r="AA728" s="268">
        <f t="shared" si="159"/>
        <v>7.0000000000000007E-2</v>
      </c>
      <c r="AB728" s="268">
        <f t="shared" si="159"/>
        <v>7.0000000000000007E-2</v>
      </c>
      <c r="AC728" s="76"/>
      <c r="AD728" s="76"/>
      <c r="AE728" s="76"/>
      <c r="AF728" s="268">
        <f>AF$811</f>
        <v>1</v>
      </c>
      <c r="AG728" s="268">
        <f>AG$811</f>
        <v>1</v>
      </c>
      <c r="AH728" s="73"/>
      <c r="AI728" s="57"/>
      <c r="AJ728" s="45"/>
      <c r="AK728" s="45"/>
      <c r="AL728" s="45"/>
    </row>
    <row r="729" spans="1:38" outlineLevel="2" x14ac:dyDescent="0.25">
      <c r="A729" s="45"/>
      <c r="B729" s="54"/>
      <c r="C729" s="47">
        <f t="shared" si="154"/>
        <v>3</v>
      </c>
      <c r="D729" s="73"/>
      <c r="E729" s="70"/>
      <c r="F729" s="70" t="s">
        <v>1531</v>
      </c>
      <c r="G729" s="73"/>
      <c r="H729" s="76" t="s">
        <v>1532</v>
      </c>
      <c r="I729" s="96" t="s">
        <v>764</v>
      </c>
      <c r="J729" s="96" t="s">
        <v>1224</v>
      </c>
      <c r="K729" s="76"/>
      <c r="L729" s="76"/>
      <c r="M729" s="76"/>
      <c r="N729" s="76"/>
      <c r="O729" s="76"/>
      <c r="P729" s="76"/>
      <c r="Q729" s="76"/>
      <c r="R729" s="76"/>
      <c r="S729" s="76"/>
      <c r="T729" s="76"/>
      <c r="U729" s="268">
        <f>U$813</f>
        <v>0</v>
      </c>
      <c r="V729" s="268">
        <f t="shared" ref="V729:AB729" si="160">V$813</f>
        <v>0</v>
      </c>
      <c r="W729" s="268">
        <f t="shared" si="160"/>
        <v>0</v>
      </c>
      <c r="X729" s="268">
        <f t="shared" si="160"/>
        <v>0</v>
      </c>
      <c r="Y729" s="268">
        <f t="shared" si="160"/>
        <v>0</v>
      </c>
      <c r="Z729" s="268">
        <f t="shared" si="160"/>
        <v>0</v>
      </c>
      <c r="AA729" s="268">
        <f t="shared" si="160"/>
        <v>0</v>
      </c>
      <c r="AB729" s="268">
        <f t="shared" si="160"/>
        <v>0</v>
      </c>
      <c r="AC729" s="76"/>
      <c r="AD729" s="76" t="s">
        <v>1454</v>
      </c>
      <c r="AE729" s="76"/>
      <c r="AF729" s="268">
        <f>AF$813</f>
        <v>1</v>
      </c>
      <c r="AG729" s="268">
        <f>AG$813</f>
        <v>1</v>
      </c>
      <c r="AH729" s="73"/>
      <c r="AI729" s="57"/>
      <c r="AJ729" s="45"/>
      <c r="AK729" s="45"/>
      <c r="AL729" s="45"/>
    </row>
    <row r="730" spans="1:38" outlineLevel="2" x14ac:dyDescent="0.25">
      <c r="A730" s="45"/>
      <c r="B730" s="54"/>
      <c r="C730" s="47">
        <f t="shared" si="154"/>
        <v>3</v>
      </c>
      <c r="D730" s="73"/>
      <c r="E730" s="70"/>
      <c r="F730" s="70" t="s">
        <v>1533</v>
      </c>
      <c r="G730" s="73"/>
      <c r="H730" s="76" t="s">
        <v>1534</v>
      </c>
      <c r="I730" s="96" t="s">
        <v>764</v>
      </c>
      <c r="J730" s="96" t="s">
        <v>1224</v>
      </c>
      <c r="K730" s="76"/>
      <c r="L730" s="76"/>
      <c r="M730" s="76"/>
      <c r="N730" s="76"/>
      <c r="O730" s="76"/>
      <c r="P730" s="76"/>
      <c r="Q730" s="76"/>
      <c r="R730" s="76"/>
      <c r="S730" s="76"/>
      <c r="T730" s="76"/>
      <c r="U730" s="268">
        <f>U$814</f>
        <v>-0.95650000000000002</v>
      </c>
      <c r="V730" s="268">
        <f t="shared" ref="V730:AB730" si="161">V$814</f>
        <v>-0.95650000000000002</v>
      </c>
      <c r="W730" s="268">
        <f t="shared" si="161"/>
        <v>-0.95650000000000002</v>
      </c>
      <c r="X730" s="268">
        <f t="shared" si="161"/>
        <v>-0.95650000000000002</v>
      </c>
      <c r="Y730" s="268">
        <f t="shared" si="161"/>
        <v>-1.0820000000000001</v>
      </c>
      <c r="Z730" s="268">
        <f t="shared" si="161"/>
        <v>-1.0820000000000001</v>
      </c>
      <c r="AA730" s="268">
        <f t="shared" si="161"/>
        <v>-1.0820000000000001</v>
      </c>
      <c r="AB730" s="268">
        <f t="shared" si="161"/>
        <v>-1.0820000000000001</v>
      </c>
      <c r="AC730" s="76"/>
      <c r="AD730" s="76"/>
      <c r="AE730" s="76"/>
      <c r="AF730" s="268">
        <f>AF$814</f>
        <v>1</v>
      </c>
      <c r="AG730" s="268">
        <f>AG$814</f>
        <v>1</v>
      </c>
      <c r="AH730" s="73"/>
      <c r="AI730" s="57"/>
      <c r="AJ730" s="45"/>
      <c r="AK730" s="45"/>
      <c r="AL730" s="45"/>
    </row>
    <row r="731" spans="1:38" outlineLevel="2" x14ac:dyDescent="0.25">
      <c r="A731" s="45"/>
      <c r="B731" s="54"/>
      <c r="C731" s="47">
        <f t="shared" si="154"/>
        <v>3</v>
      </c>
      <c r="D731" s="73"/>
      <c r="E731" s="70"/>
      <c r="F731" s="70" t="s">
        <v>1535</v>
      </c>
      <c r="G731" s="73"/>
      <c r="H731" s="76" t="s">
        <v>1536</v>
      </c>
      <c r="I731" s="96" t="s">
        <v>764</v>
      </c>
      <c r="J731" s="96" t="s">
        <v>1224</v>
      </c>
      <c r="K731" s="76"/>
      <c r="L731" s="76"/>
      <c r="M731" s="76"/>
      <c r="N731" s="76"/>
      <c r="O731" s="76"/>
      <c r="P731" s="76"/>
      <c r="Q731" s="76"/>
      <c r="R731" s="76"/>
      <c r="S731" s="76"/>
      <c r="T731" s="76"/>
      <c r="U731" s="268">
        <f>U$815</f>
        <v>-1.7614000000000001</v>
      </c>
      <c r="V731" s="268">
        <f t="shared" ref="V731:AB731" si="162">V$815</f>
        <v>-1.7614000000000001</v>
      </c>
      <c r="W731" s="268">
        <f t="shared" si="162"/>
        <v>-1.7614000000000001</v>
      </c>
      <c r="X731" s="268">
        <f t="shared" si="162"/>
        <v>-1.7614000000000001</v>
      </c>
      <c r="Y731" s="268">
        <f t="shared" si="162"/>
        <v>-2.0059999999999998</v>
      </c>
      <c r="Z731" s="268">
        <f t="shared" si="162"/>
        <v>-2.0059999999999998</v>
      </c>
      <c r="AA731" s="268">
        <f t="shared" si="162"/>
        <v>-2.0059999999999998</v>
      </c>
      <c r="AB731" s="268">
        <f t="shared" si="162"/>
        <v>-2.0059999999999998</v>
      </c>
      <c r="AC731" s="76"/>
      <c r="AD731" s="76"/>
      <c r="AE731" s="76"/>
      <c r="AF731" s="268">
        <f>AF$815</f>
        <v>1</v>
      </c>
      <c r="AG731" s="268">
        <f>AG$815</f>
        <v>1</v>
      </c>
      <c r="AH731" s="73"/>
      <c r="AI731" s="57"/>
      <c r="AJ731" s="45"/>
      <c r="AK731" s="45"/>
      <c r="AL731" s="45"/>
    </row>
    <row r="732" spans="1:38" outlineLevel="2" x14ac:dyDescent="0.25">
      <c r="A732" s="45"/>
      <c r="B732" s="54"/>
      <c r="C732" s="47">
        <f t="shared" si="154"/>
        <v>3</v>
      </c>
      <c r="D732" s="73"/>
      <c r="E732" s="70"/>
      <c r="F732" s="70" t="s">
        <v>1537</v>
      </c>
      <c r="G732" s="73"/>
      <c r="H732" s="76" t="s">
        <v>1538</v>
      </c>
      <c r="I732" s="96" t="s">
        <v>764</v>
      </c>
      <c r="J732" s="96" t="s">
        <v>1224</v>
      </c>
      <c r="K732" s="76"/>
      <c r="L732" s="76"/>
      <c r="M732" s="76"/>
      <c r="N732" s="76"/>
      <c r="O732" s="76"/>
      <c r="P732" s="76"/>
      <c r="Q732" s="76"/>
      <c r="R732" s="76"/>
      <c r="S732" s="76"/>
      <c r="T732" s="76"/>
      <c r="U732" s="268">
        <f>U$814</f>
        <v>-0.95650000000000002</v>
      </c>
      <c r="V732" s="268">
        <f t="shared" ref="V732:AB732" si="163">V$814</f>
        <v>-0.95650000000000002</v>
      </c>
      <c r="W732" s="268">
        <f t="shared" si="163"/>
        <v>-0.95650000000000002</v>
      </c>
      <c r="X732" s="268">
        <f t="shared" si="163"/>
        <v>-0.95650000000000002</v>
      </c>
      <c r="Y732" s="268">
        <f t="shared" si="163"/>
        <v>-1.0820000000000001</v>
      </c>
      <c r="Z732" s="268">
        <f t="shared" si="163"/>
        <v>-1.0820000000000001</v>
      </c>
      <c r="AA732" s="268">
        <f t="shared" si="163"/>
        <v>-1.0820000000000001</v>
      </c>
      <c r="AB732" s="268">
        <f t="shared" si="163"/>
        <v>-1.0820000000000001</v>
      </c>
      <c r="AC732" s="76"/>
      <c r="AD732" s="76"/>
      <c r="AE732" s="76"/>
      <c r="AF732" s="268">
        <f>AF$814</f>
        <v>1</v>
      </c>
      <c r="AG732" s="268">
        <f>AG$814</f>
        <v>1</v>
      </c>
      <c r="AH732" s="73"/>
      <c r="AI732" s="57"/>
      <c r="AJ732" s="45"/>
      <c r="AK732" s="45"/>
      <c r="AL732" s="45"/>
    </row>
    <row r="733" spans="1:38" outlineLevel="2" x14ac:dyDescent="0.25">
      <c r="A733" s="45">
        <v>4</v>
      </c>
      <c r="B733" s="54"/>
      <c r="C733" s="47">
        <f t="shared" si="154"/>
        <v>3</v>
      </c>
      <c r="D733" s="73"/>
      <c r="E733" s="70"/>
      <c r="F733" s="70" t="s">
        <v>1539</v>
      </c>
      <c r="G733" s="73"/>
      <c r="H733" s="76" t="s">
        <v>1540</v>
      </c>
      <c r="I733" s="96" t="s">
        <v>764</v>
      </c>
      <c r="J733" s="96" t="s">
        <v>1224</v>
      </c>
      <c r="K733" s="76"/>
      <c r="L733" s="76"/>
      <c r="M733" s="76"/>
      <c r="N733" s="76"/>
      <c r="O733" s="76"/>
      <c r="P733" s="76"/>
      <c r="Q733" s="76"/>
      <c r="R733" s="76"/>
      <c r="S733" s="76"/>
      <c r="T733" s="76"/>
      <c r="U733" s="268">
        <f>U$815</f>
        <v>-1.7614000000000001</v>
      </c>
      <c r="V733" s="268">
        <f t="shared" ref="V733:AB734" si="164">V$815</f>
        <v>-1.7614000000000001</v>
      </c>
      <c r="W733" s="268">
        <f t="shared" si="164"/>
        <v>-1.7614000000000001</v>
      </c>
      <c r="X733" s="268">
        <f t="shared" si="164"/>
        <v>-1.7614000000000001</v>
      </c>
      <c r="Y733" s="268">
        <f t="shared" si="164"/>
        <v>-2.0059999999999998</v>
      </c>
      <c r="Z733" s="268">
        <f t="shared" si="164"/>
        <v>-2.0059999999999998</v>
      </c>
      <c r="AA733" s="268">
        <f t="shared" si="164"/>
        <v>-2.0059999999999998</v>
      </c>
      <c r="AB733" s="268">
        <f t="shared" si="164"/>
        <v>-2.0059999999999998</v>
      </c>
      <c r="AC733" s="76"/>
      <c r="AD733" s="76"/>
      <c r="AE733" s="76"/>
      <c r="AF733" s="268">
        <f>AF$815</f>
        <v>1</v>
      </c>
      <c r="AG733" s="268">
        <f>AG$815</f>
        <v>1</v>
      </c>
      <c r="AH733" s="73"/>
      <c r="AI733" s="57"/>
      <c r="AJ733" s="45"/>
      <c r="AK733" s="45"/>
      <c r="AL733" s="45"/>
    </row>
    <row r="734" spans="1:38" outlineLevel="2" x14ac:dyDescent="0.25">
      <c r="A734" s="45">
        <f>A733</f>
        <v>4</v>
      </c>
      <c r="B734" s="54"/>
      <c r="C734" s="47">
        <f t="shared" si="154"/>
        <v>3</v>
      </c>
      <c r="D734" s="73"/>
      <c r="E734" s="70"/>
      <c r="F734" s="70" t="s">
        <v>1541</v>
      </c>
      <c r="G734" s="73"/>
      <c r="H734" s="76" t="s">
        <v>1542</v>
      </c>
      <c r="I734" s="96" t="s">
        <v>764</v>
      </c>
      <c r="J734" s="96" t="s">
        <v>1224</v>
      </c>
      <c r="K734" s="76"/>
      <c r="L734" s="76"/>
      <c r="M734" s="76"/>
      <c r="N734" s="76"/>
      <c r="O734" s="76"/>
      <c r="P734" s="76"/>
      <c r="Q734" s="76"/>
      <c r="R734" s="76"/>
      <c r="S734" s="76"/>
      <c r="T734" s="76"/>
      <c r="U734" s="268">
        <f>U$815</f>
        <v>-1.7614000000000001</v>
      </c>
      <c r="V734" s="268">
        <f t="shared" si="164"/>
        <v>-1.7614000000000001</v>
      </c>
      <c r="W734" s="268">
        <f t="shared" si="164"/>
        <v>-1.7614000000000001</v>
      </c>
      <c r="X734" s="268">
        <f t="shared" si="164"/>
        <v>-1.7614000000000001</v>
      </c>
      <c r="Y734" s="268">
        <f t="shared" si="164"/>
        <v>-2.0059999999999998</v>
      </c>
      <c r="Z734" s="268">
        <f t="shared" si="164"/>
        <v>-2.0059999999999998</v>
      </c>
      <c r="AA734" s="268">
        <f t="shared" si="164"/>
        <v>-2.0059999999999998</v>
      </c>
      <c r="AB734" s="268">
        <f t="shared" si="164"/>
        <v>-2.0059999999999998</v>
      </c>
      <c r="AC734" s="76"/>
      <c r="AD734" s="76"/>
      <c r="AE734" s="76"/>
      <c r="AF734" s="268">
        <f>AF$815</f>
        <v>1</v>
      </c>
      <c r="AG734" s="268">
        <f>AG$815</f>
        <v>1</v>
      </c>
      <c r="AH734" s="73"/>
      <c r="AI734" s="57"/>
      <c r="AJ734" s="45"/>
      <c r="AK734" s="45"/>
      <c r="AL734" s="45"/>
    </row>
    <row r="735" spans="1:38" outlineLevel="2" x14ac:dyDescent="0.25">
      <c r="A735" s="45"/>
      <c r="B735" s="54"/>
      <c r="C735" s="47">
        <f t="shared" si="154"/>
        <v>3</v>
      </c>
      <c r="D735" s="73"/>
      <c r="E735" s="70"/>
      <c r="F735" s="70" t="s">
        <v>1543</v>
      </c>
      <c r="G735" s="73"/>
      <c r="H735" s="76" t="s">
        <v>1544</v>
      </c>
      <c r="I735" s="96" t="s">
        <v>764</v>
      </c>
      <c r="J735" s="96" t="s">
        <v>1224</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1365</v>
      </c>
      <c r="AE735" s="76"/>
      <c r="AF735" s="97">
        <v>1</v>
      </c>
      <c r="AG735" s="97">
        <v>1</v>
      </c>
      <c r="AH735" s="73"/>
      <c r="AI735" s="57"/>
      <c r="AJ735" s="45"/>
      <c r="AK735" s="45"/>
      <c r="AL735" s="45"/>
    </row>
    <row r="736" spans="1:38" outlineLevel="2" x14ac:dyDescent="0.25">
      <c r="A736" s="45"/>
      <c r="B736" s="54"/>
      <c r="C736" s="47">
        <f t="shared" si="154"/>
        <v>3</v>
      </c>
      <c r="D736" s="73"/>
      <c r="E736" s="70"/>
      <c r="F736" s="70" t="s">
        <v>1545</v>
      </c>
      <c r="G736" s="73"/>
      <c r="H736" s="76" t="s">
        <v>1546</v>
      </c>
      <c r="I736" s="96" t="s">
        <v>764</v>
      </c>
      <c r="J736" s="96" t="s">
        <v>1224</v>
      </c>
      <c r="K736" s="76"/>
      <c r="L736" s="76"/>
      <c r="M736" s="76"/>
      <c r="N736" s="76"/>
      <c r="O736" s="76"/>
      <c r="P736" s="76"/>
      <c r="Q736" s="76"/>
      <c r="R736" s="76"/>
      <c r="S736" s="76"/>
      <c r="T736" s="76"/>
      <c r="U736" s="346">
        <v>-4.9400000000000004</v>
      </c>
      <c r="V736" s="348">
        <f t="shared" ref="V736:AB737" si="165">U736</f>
        <v>-4.9400000000000004</v>
      </c>
      <c r="W736" s="348">
        <f t="shared" si="165"/>
        <v>-4.9400000000000004</v>
      </c>
      <c r="X736" s="348">
        <f>Y736</f>
        <v>-6.68</v>
      </c>
      <c r="Y736" s="97">
        <v>-6.68</v>
      </c>
      <c r="Z736" s="262">
        <f t="shared" si="165"/>
        <v>-6.68</v>
      </c>
      <c r="AA736" s="262">
        <f t="shared" si="165"/>
        <v>-6.68</v>
      </c>
      <c r="AB736" s="262">
        <f t="shared" si="165"/>
        <v>-6.68</v>
      </c>
      <c r="AC736" s="76"/>
      <c r="AD736" s="97" t="s">
        <v>2388</v>
      </c>
      <c r="AE736" s="76"/>
      <c r="AF736" s="97">
        <v>1</v>
      </c>
      <c r="AG736" s="97">
        <v>1</v>
      </c>
      <c r="AH736" s="73"/>
      <c r="AI736" s="57"/>
      <c r="AJ736" s="45"/>
      <c r="AK736" s="45"/>
      <c r="AL736" s="45"/>
    </row>
    <row r="737" spans="1:38" outlineLevel="2" x14ac:dyDescent="0.25">
      <c r="A737" s="45"/>
      <c r="B737" s="54"/>
      <c r="C737" s="47">
        <f t="shared" si="154"/>
        <v>3</v>
      </c>
      <c r="D737" s="73"/>
      <c r="E737" s="70"/>
      <c r="F737" s="70" t="s">
        <v>1547</v>
      </c>
      <c r="G737" s="73"/>
      <c r="H737" s="76" t="s">
        <v>1548</v>
      </c>
      <c r="I737" s="96" t="s">
        <v>764</v>
      </c>
      <c r="J737" s="96" t="s">
        <v>1224</v>
      </c>
      <c r="K737" s="76"/>
      <c r="L737" s="76"/>
      <c r="M737" s="76"/>
      <c r="N737" s="76"/>
      <c r="O737" s="76"/>
      <c r="P737" s="76"/>
      <c r="Q737" s="76"/>
      <c r="R737" s="76"/>
      <c r="S737" s="76"/>
      <c r="T737" s="76"/>
      <c r="U737" s="349">
        <f>U736*1.38</f>
        <v>-6.8171999999999997</v>
      </c>
      <c r="V737" s="348">
        <f t="shared" si="165"/>
        <v>-6.8171999999999997</v>
      </c>
      <c r="W737" s="348">
        <f t="shared" si="165"/>
        <v>-6.8171999999999997</v>
      </c>
      <c r="X737" s="348">
        <f t="shared" ref="X737:X740" si="166">Y737</f>
        <v>-9.2200000000000006</v>
      </c>
      <c r="Y737" s="97">
        <v>-9.2200000000000006</v>
      </c>
      <c r="Z737" s="262">
        <f t="shared" si="165"/>
        <v>-9.2200000000000006</v>
      </c>
      <c r="AA737" s="262">
        <f t="shared" si="165"/>
        <v>-9.2200000000000006</v>
      </c>
      <c r="AB737" s="262">
        <f t="shared" si="165"/>
        <v>-9.2200000000000006</v>
      </c>
      <c r="AC737" s="76"/>
      <c r="AD737" s="97" t="s">
        <v>2389</v>
      </c>
      <c r="AE737" s="76"/>
      <c r="AF737" s="97">
        <v>1</v>
      </c>
      <c r="AG737" s="97">
        <v>1</v>
      </c>
      <c r="AH737" s="73"/>
      <c r="AI737" s="57"/>
      <c r="AJ737" s="45"/>
      <c r="AK737" s="45"/>
      <c r="AL737" s="45"/>
    </row>
    <row r="738" spans="1:38" outlineLevel="2" x14ac:dyDescent="0.25">
      <c r="A738" s="45"/>
      <c r="B738" s="54"/>
      <c r="C738" s="47">
        <f t="shared" si="154"/>
        <v>3</v>
      </c>
      <c r="D738" s="73"/>
      <c r="E738" s="70"/>
      <c r="F738" s="70" t="s">
        <v>1550</v>
      </c>
      <c r="G738" s="73"/>
      <c r="H738" s="76" t="s">
        <v>1551</v>
      </c>
      <c r="I738" s="96" t="s">
        <v>764</v>
      </c>
      <c r="J738" s="96" t="s">
        <v>1224</v>
      </c>
      <c r="K738" s="76"/>
      <c r="L738" s="76"/>
      <c r="M738" s="76"/>
      <c r="N738" s="76"/>
      <c r="O738" s="76"/>
      <c r="P738" s="76"/>
      <c r="Q738" s="76"/>
      <c r="R738" s="76"/>
      <c r="S738" s="76"/>
      <c r="T738" s="76"/>
      <c r="U738" s="346">
        <v>-1.85</v>
      </c>
      <c r="V738" s="348">
        <f t="shared" ref="V738:AB738" si="167">U738</f>
        <v>-1.85</v>
      </c>
      <c r="W738" s="348">
        <f t="shared" si="167"/>
        <v>-1.85</v>
      </c>
      <c r="X738" s="348">
        <f t="shared" si="166"/>
        <v>-3.36</v>
      </c>
      <c r="Y738" s="97">
        <v>-3.36</v>
      </c>
      <c r="Z738" s="262">
        <f t="shared" si="167"/>
        <v>-3.36</v>
      </c>
      <c r="AA738" s="262">
        <f t="shared" si="167"/>
        <v>-3.36</v>
      </c>
      <c r="AB738" s="262">
        <f t="shared" si="167"/>
        <v>-3.36</v>
      </c>
      <c r="AC738" s="76"/>
      <c r="AD738" s="97" t="s">
        <v>2390</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1552</v>
      </c>
      <c r="G739" s="73"/>
      <c r="H739" s="76" t="s">
        <v>1553</v>
      </c>
      <c r="I739" s="96" t="s">
        <v>764</v>
      </c>
      <c r="J739" s="96" t="s">
        <v>1224</v>
      </c>
      <c r="K739" s="76"/>
      <c r="L739" s="76"/>
      <c r="M739" s="76"/>
      <c r="N739" s="76"/>
      <c r="O739" s="76"/>
      <c r="P739" s="76"/>
      <c r="Q739" s="76"/>
      <c r="R739" s="76"/>
      <c r="S739" s="76"/>
      <c r="T739" s="76"/>
      <c r="U739" s="349">
        <f>U737*0.904</f>
        <v>-6.1627488000000001</v>
      </c>
      <c r="V739" s="348">
        <f t="shared" ref="V739:V740" si="168">U739</f>
        <v>-6.1627488000000001</v>
      </c>
      <c r="W739" s="348">
        <f t="shared" ref="W739:W740" si="169">V739</f>
        <v>-6.1627488000000001</v>
      </c>
      <c r="X739" s="348">
        <f t="shared" si="166"/>
        <v>-8.33</v>
      </c>
      <c r="Y739" s="97">
        <v>-8.33</v>
      </c>
      <c r="Z739" s="262">
        <f t="shared" ref="Z739:Z740" si="170">Y739</f>
        <v>-8.33</v>
      </c>
      <c r="AA739" s="262">
        <f t="shared" ref="AA739:AA740" si="171">Z739</f>
        <v>-8.33</v>
      </c>
      <c r="AB739" s="262">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1554</v>
      </c>
      <c r="G740" s="73"/>
      <c r="H740" s="76" t="s">
        <v>1555</v>
      </c>
      <c r="I740" s="96" t="s">
        <v>764</v>
      </c>
      <c r="J740" s="96" t="s">
        <v>1224</v>
      </c>
      <c r="K740" s="76"/>
      <c r="L740" s="76"/>
      <c r="M740" s="76"/>
      <c r="N740" s="76"/>
      <c r="O740" s="76"/>
      <c r="P740" s="76"/>
      <c r="Q740" s="76"/>
      <c r="R740" s="76"/>
      <c r="S740" s="76"/>
      <c r="T740" s="76"/>
      <c r="U740" s="349">
        <f>U737*0.555</f>
        <v>-3.7835460000000003</v>
      </c>
      <c r="V740" s="348">
        <f t="shared" si="168"/>
        <v>-3.7835460000000003</v>
      </c>
      <c r="W740" s="348">
        <f t="shared" si="169"/>
        <v>-3.7835460000000003</v>
      </c>
      <c r="X740" s="348">
        <f t="shared" si="166"/>
        <v>-5.1100000000000003</v>
      </c>
      <c r="Y740" s="97">
        <v>-5.1100000000000003</v>
      </c>
      <c r="Z740" s="262">
        <f t="shared" si="170"/>
        <v>-5.1100000000000003</v>
      </c>
      <c r="AA740" s="262">
        <f t="shared" si="171"/>
        <v>-5.1100000000000003</v>
      </c>
      <c r="AB740" s="262">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1556</v>
      </c>
      <c r="G741" s="73"/>
      <c r="H741" s="76" t="s">
        <v>1557</v>
      </c>
      <c r="I741" s="96" t="s">
        <v>764</v>
      </c>
      <c r="J741" s="96" t="s">
        <v>1224</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1372</v>
      </c>
      <c r="AE741" s="76"/>
      <c r="AF741" s="97">
        <v>1</v>
      </c>
      <c r="AG741" s="97">
        <v>1</v>
      </c>
      <c r="AH741" s="73"/>
      <c r="AI741" s="57"/>
      <c r="AJ741" s="45"/>
      <c r="AK741" s="45"/>
      <c r="AL741" s="45"/>
    </row>
    <row r="742" spans="1:38" outlineLevel="2" x14ac:dyDescent="0.25">
      <c r="A742" s="45"/>
      <c r="B742" s="54"/>
      <c r="C742" s="47">
        <f t="shared" si="154"/>
        <v>3</v>
      </c>
      <c r="D742" s="73"/>
      <c r="E742" s="70"/>
      <c r="F742" s="70" t="s">
        <v>1558</v>
      </c>
      <c r="G742" s="73"/>
      <c r="H742" s="76" t="s">
        <v>1559</v>
      </c>
      <c r="I742" s="96" t="s">
        <v>764</v>
      </c>
      <c r="J742" s="96" t="s">
        <v>1224</v>
      </c>
      <c r="K742" s="76"/>
      <c r="L742" s="76"/>
      <c r="M742" s="76"/>
      <c r="N742" s="76"/>
      <c r="O742" s="76"/>
      <c r="P742" s="76"/>
      <c r="Q742" s="76"/>
      <c r="R742" s="76"/>
      <c r="S742" s="76"/>
      <c r="T742" s="76"/>
      <c r="U742" s="97">
        <f>-52.3/1000</f>
        <v>-5.2299999999999999E-2</v>
      </c>
      <c r="V742" s="262">
        <f t="shared" ref="V742:AB742" si="173">U742</f>
        <v>-5.2299999999999999E-2</v>
      </c>
      <c r="W742" s="262">
        <f t="shared" si="173"/>
        <v>-5.2299999999999999E-2</v>
      </c>
      <c r="X742" s="262">
        <f t="shared" si="173"/>
        <v>-5.2299999999999999E-2</v>
      </c>
      <c r="Y742" s="262">
        <f t="shared" si="173"/>
        <v>-5.2299999999999999E-2</v>
      </c>
      <c r="Z742" s="262">
        <f t="shared" si="173"/>
        <v>-5.2299999999999999E-2</v>
      </c>
      <c r="AA742" s="262">
        <f t="shared" si="173"/>
        <v>-5.2299999999999999E-2</v>
      </c>
      <c r="AB742" s="262">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1560</v>
      </c>
      <c r="G743" s="73"/>
      <c r="H743" s="76" t="s">
        <v>1561</v>
      </c>
      <c r="I743" s="96" t="s">
        <v>764</v>
      </c>
      <c r="J743" s="96" t="s">
        <v>1224</v>
      </c>
      <c r="K743" s="76"/>
      <c r="L743" s="76"/>
      <c r="M743" s="76"/>
      <c r="N743" s="76"/>
      <c r="O743" s="76"/>
      <c r="P743" s="76"/>
      <c r="Q743" s="76"/>
      <c r="R743" s="76"/>
      <c r="S743" s="76"/>
      <c r="T743" s="76"/>
      <c r="U743" s="268">
        <f t="shared" ref="U743:AB743" si="174">U742</f>
        <v>-5.2299999999999999E-2</v>
      </c>
      <c r="V743" s="268">
        <f t="shared" si="174"/>
        <v>-5.2299999999999999E-2</v>
      </c>
      <c r="W743" s="268">
        <f t="shared" si="174"/>
        <v>-5.2299999999999999E-2</v>
      </c>
      <c r="X743" s="268">
        <f t="shared" si="174"/>
        <v>-5.2299999999999999E-2</v>
      </c>
      <c r="Y743" s="268">
        <f t="shared" si="174"/>
        <v>-5.2299999999999999E-2</v>
      </c>
      <c r="Z743" s="268">
        <f t="shared" si="174"/>
        <v>-5.2299999999999999E-2</v>
      </c>
      <c r="AA743" s="268">
        <f t="shared" si="174"/>
        <v>-5.2299999999999999E-2</v>
      </c>
      <c r="AB743" s="268">
        <f t="shared" si="174"/>
        <v>-5.2299999999999999E-2</v>
      </c>
      <c r="AC743" s="76"/>
      <c r="AD743" s="97" t="s">
        <v>1549</v>
      </c>
      <c r="AE743" s="76"/>
      <c r="AF743" s="97">
        <v>1</v>
      </c>
      <c r="AG743" s="97">
        <v>1</v>
      </c>
      <c r="AH743" s="73"/>
      <c r="AI743" s="57"/>
      <c r="AJ743" s="45"/>
      <c r="AK743" s="45"/>
      <c r="AL743" s="45"/>
    </row>
    <row r="744" spans="1:38" outlineLevel="2" x14ac:dyDescent="0.25">
      <c r="A744" s="45"/>
      <c r="B744" s="54"/>
      <c r="C744" s="47">
        <f t="shared" si="154"/>
        <v>3</v>
      </c>
      <c r="D744" s="73"/>
      <c r="E744" s="70"/>
      <c r="F744" s="70" t="s">
        <v>1562</v>
      </c>
      <c r="G744" s="73"/>
      <c r="H744" s="76" t="s">
        <v>1563</v>
      </c>
      <c r="I744" s="96" t="s">
        <v>764</v>
      </c>
      <c r="J744" s="96" t="s">
        <v>1224</v>
      </c>
      <c r="K744" s="76"/>
      <c r="L744" s="76"/>
      <c r="M744" s="76"/>
      <c r="N744" s="76"/>
      <c r="O744" s="76"/>
      <c r="P744" s="76"/>
      <c r="Q744" s="76"/>
      <c r="R744" s="76"/>
      <c r="S744" s="76"/>
      <c r="T744" s="76"/>
      <c r="U744" s="97">
        <f>-10.7/1000</f>
        <v>-1.0699999999999999E-2</v>
      </c>
      <c r="V744" s="262">
        <f t="shared" ref="V744:AB744" si="175">U744</f>
        <v>-1.0699999999999999E-2</v>
      </c>
      <c r="W744" s="262">
        <f t="shared" si="175"/>
        <v>-1.0699999999999999E-2</v>
      </c>
      <c r="X744" s="262">
        <f t="shared" si="175"/>
        <v>-1.0699999999999999E-2</v>
      </c>
      <c r="Y744" s="262">
        <f t="shared" si="175"/>
        <v>-1.0699999999999999E-2</v>
      </c>
      <c r="Z744" s="262">
        <f t="shared" si="175"/>
        <v>-1.0699999999999999E-2</v>
      </c>
      <c r="AA744" s="262">
        <f t="shared" si="175"/>
        <v>-1.0699999999999999E-2</v>
      </c>
      <c r="AB744" s="262">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1564</v>
      </c>
      <c r="G745" s="73"/>
      <c r="H745" s="76" t="s">
        <v>1565</v>
      </c>
      <c r="I745" s="96" t="s">
        <v>764</v>
      </c>
      <c r="J745" s="96" t="s">
        <v>1224</v>
      </c>
      <c r="K745" s="76"/>
      <c r="L745" s="76"/>
      <c r="M745" s="76"/>
      <c r="N745" s="76"/>
      <c r="O745" s="76"/>
      <c r="P745" s="76"/>
      <c r="Q745" s="76"/>
      <c r="R745" s="76"/>
      <c r="S745" s="76"/>
      <c r="T745" s="76"/>
      <c r="U745" s="268">
        <f t="shared" ref="U745:AB746" si="176">U744</f>
        <v>-1.0699999999999999E-2</v>
      </c>
      <c r="V745" s="268">
        <f t="shared" si="176"/>
        <v>-1.0699999999999999E-2</v>
      </c>
      <c r="W745" s="268">
        <f t="shared" si="176"/>
        <v>-1.0699999999999999E-2</v>
      </c>
      <c r="X745" s="268">
        <f t="shared" si="176"/>
        <v>-1.0699999999999999E-2</v>
      </c>
      <c r="Y745" s="268">
        <f t="shared" si="176"/>
        <v>-1.0699999999999999E-2</v>
      </c>
      <c r="Z745" s="268">
        <f t="shared" si="176"/>
        <v>-1.0699999999999999E-2</v>
      </c>
      <c r="AA745" s="268">
        <f t="shared" si="176"/>
        <v>-1.0699999999999999E-2</v>
      </c>
      <c r="AB745" s="268">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1566</v>
      </c>
      <c r="G746" s="73"/>
      <c r="H746" s="76" t="s">
        <v>1567</v>
      </c>
      <c r="I746" s="96" t="s">
        <v>764</v>
      </c>
      <c r="J746" s="96" t="s">
        <v>1224</v>
      </c>
      <c r="K746" s="76"/>
      <c r="L746" s="76"/>
      <c r="M746" s="76"/>
      <c r="N746" s="76"/>
      <c r="O746" s="76"/>
      <c r="P746" s="76"/>
      <c r="Q746" s="76"/>
      <c r="R746" s="76"/>
      <c r="S746" s="76"/>
      <c r="T746" s="76"/>
      <c r="U746" s="268">
        <f>U745</f>
        <v>-1.0699999999999999E-2</v>
      </c>
      <c r="V746" s="268">
        <f t="shared" si="176"/>
        <v>-1.0699999999999999E-2</v>
      </c>
      <c r="W746" s="268">
        <f t="shared" si="176"/>
        <v>-1.0699999999999999E-2</v>
      </c>
      <c r="X746" s="268">
        <f t="shared" si="176"/>
        <v>-1.0699999999999999E-2</v>
      </c>
      <c r="Y746" s="268">
        <f t="shared" si="176"/>
        <v>-1.0699999999999999E-2</v>
      </c>
      <c r="Z746" s="268">
        <f t="shared" si="176"/>
        <v>-1.0699999999999999E-2</v>
      </c>
      <c r="AA746" s="268">
        <f t="shared" si="176"/>
        <v>-1.0699999999999999E-2</v>
      </c>
      <c r="AB746" s="268">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3" t="s">
        <v>1568</v>
      </c>
      <c r="G747" s="73"/>
      <c r="H747" s="253" t="s">
        <v>1569</v>
      </c>
      <c r="I747" s="136"/>
      <c r="J747" s="136" t="s">
        <v>1124</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1570</v>
      </c>
      <c r="G748" s="73"/>
      <c r="H748" s="76" t="s">
        <v>1571</v>
      </c>
      <c r="I748" s="96" t="s">
        <v>570</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1572</v>
      </c>
      <c r="G749" s="73"/>
      <c r="H749" s="76" t="s">
        <v>1573</v>
      </c>
      <c r="I749" s="96" t="s">
        <v>570</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1574</v>
      </c>
      <c r="G750" s="73"/>
      <c r="H750" s="76" t="s">
        <v>1575</v>
      </c>
      <c r="I750" s="96" t="s">
        <v>570</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1576</v>
      </c>
      <c r="G751" s="73"/>
      <c r="H751" s="76" t="s">
        <v>1577</v>
      </c>
      <c r="I751" s="96" t="s">
        <v>570</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1064</v>
      </c>
      <c r="F752" s="70" t="s">
        <v>1578</v>
      </c>
      <c r="G752" s="73"/>
      <c r="H752" s="76" t="s">
        <v>1579</v>
      </c>
      <c r="I752" s="96" t="s">
        <v>570</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1" t="s">
        <v>1580</v>
      </c>
      <c r="AE752" s="76"/>
      <c r="AF752" s="76">
        <v>1</v>
      </c>
      <c r="AG752" s="76">
        <v>1</v>
      </c>
      <c r="AH752" s="73"/>
      <c r="AI752" s="57"/>
      <c r="AJ752" s="45"/>
      <c r="AK752" s="45"/>
      <c r="AL752" s="45"/>
    </row>
    <row r="753" spans="1:38" outlineLevel="2" x14ac:dyDescent="0.25">
      <c r="A753" s="45"/>
      <c r="B753" s="54"/>
      <c r="C753" s="47">
        <f t="shared" si="177"/>
        <v>3</v>
      </c>
      <c r="D753" s="73"/>
      <c r="E753" s="70"/>
      <c r="F753" s="70" t="s">
        <v>1581</v>
      </c>
      <c r="G753" s="73"/>
      <c r="H753" s="76" t="s">
        <v>1582</v>
      </c>
      <c r="I753" s="96" t="s">
        <v>570</v>
      </c>
      <c r="J753" s="96"/>
      <c r="K753" s="76"/>
      <c r="L753" s="76"/>
      <c r="M753" s="97">
        <v>0</v>
      </c>
      <c r="N753" s="97">
        <v>0</v>
      </c>
      <c r="O753" s="97">
        <v>0</v>
      </c>
      <c r="P753" s="97">
        <v>0</v>
      </c>
      <c r="Q753" s="76"/>
      <c r="R753" s="76"/>
      <c r="S753" s="97" t="s">
        <v>1583</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2688</v>
      </c>
      <c r="AE753" s="76"/>
      <c r="AF753" s="97">
        <v>1</v>
      </c>
      <c r="AG753" s="97">
        <v>1</v>
      </c>
      <c r="AH753" s="73"/>
      <c r="AI753" s="57"/>
      <c r="AJ753" s="45"/>
      <c r="AK753" s="45"/>
      <c r="AL753" s="45"/>
    </row>
    <row r="754" spans="1:38" outlineLevel="2" x14ac:dyDescent="0.25">
      <c r="A754" s="45"/>
      <c r="B754" s="54"/>
      <c r="C754" s="47">
        <f t="shared" si="177"/>
        <v>3</v>
      </c>
      <c r="D754" s="73"/>
      <c r="E754" s="70"/>
      <c r="F754" s="70" t="s">
        <v>1585</v>
      </c>
      <c r="G754" s="73"/>
      <c r="H754" s="76" t="s">
        <v>1586</v>
      </c>
      <c r="I754" s="96" t="s">
        <v>570</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1584</v>
      </c>
      <c r="AE754" s="76"/>
      <c r="AF754" s="97">
        <v>1</v>
      </c>
      <c r="AG754" s="97">
        <v>1</v>
      </c>
      <c r="AH754" s="73"/>
      <c r="AI754" s="57"/>
      <c r="AJ754" s="45"/>
      <c r="AK754" s="45"/>
      <c r="AL754" s="45"/>
    </row>
    <row r="755" spans="1:38" outlineLevel="2" x14ac:dyDescent="0.25">
      <c r="A755" s="45"/>
      <c r="B755" s="54"/>
      <c r="C755" s="47">
        <f t="shared" si="177"/>
        <v>3</v>
      </c>
      <c r="D755" s="73"/>
      <c r="E755" s="70"/>
      <c r="F755" s="70" t="s">
        <v>1587</v>
      </c>
      <c r="G755" s="73"/>
      <c r="H755" s="76" t="s">
        <v>1588</v>
      </c>
      <c r="I755" s="96" t="s">
        <v>570</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1103</v>
      </c>
      <c r="AE755" s="76"/>
      <c r="AF755" s="97">
        <v>1</v>
      </c>
      <c r="AG755" s="97">
        <v>1</v>
      </c>
      <c r="AH755" s="73"/>
      <c r="AI755" s="57"/>
      <c r="AJ755" s="45"/>
      <c r="AK755" s="45"/>
      <c r="AL755" s="45"/>
    </row>
    <row r="756" spans="1:38" outlineLevel="2" x14ac:dyDescent="0.25">
      <c r="A756" s="45"/>
      <c r="B756" s="54"/>
      <c r="C756" s="47">
        <f t="shared" si="177"/>
        <v>3</v>
      </c>
      <c r="D756" s="73"/>
      <c r="E756" s="70" t="s">
        <v>1589</v>
      </c>
      <c r="F756" s="70" t="s">
        <v>1590</v>
      </c>
      <c r="G756" s="73"/>
      <c r="H756" s="76" t="s">
        <v>1591</v>
      </c>
      <c r="I756" s="96" t="s">
        <v>570</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1" t="s">
        <v>1580</v>
      </c>
      <c r="AE756" s="76"/>
      <c r="AF756" s="76">
        <v>1</v>
      </c>
      <c r="AG756" s="76">
        <v>1</v>
      </c>
      <c r="AH756" s="73"/>
      <c r="AI756" s="57"/>
      <c r="AJ756" s="45"/>
      <c r="AK756" s="45"/>
      <c r="AL756" s="45"/>
    </row>
    <row r="757" spans="1:38" outlineLevel="2" x14ac:dyDescent="0.25">
      <c r="A757" s="45"/>
      <c r="B757" s="54"/>
      <c r="C757" s="47">
        <f t="shared" si="177"/>
        <v>3</v>
      </c>
      <c r="D757" s="73"/>
      <c r="E757" s="70"/>
      <c r="F757" s="70" t="s">
        <v>1592</v>
      </c>
      <c r="G757" s="73"/>
      <c r="H757" s="76" t="s">
        <v>1593</v>
      </c>
      <c r="I757" s="96" t="s">
        <v>570</v>
      </c>
      <c r="J757" s="96"/>
      <c r="K757" s="76"/>
      <c r="L757" s="76"/>
      <c r="M757" s="97">
        <v>0.5</v>
      </c>
      <c r="N757" s="97">
        <v>0.5</v>
      </c>
      <c r="O757" s="97">
        <v>0.5</v>
      </c>
      <c r="P757" s="97">
        <v>0.5</v>
      </c>
      <c r="Q757" s="76"/>
      <c r="R757" s="76"/>
      <c r="S757" s="97" t="s">
        <v>1594</v>
      </c>
      <c r="T757" s="76"/>
      <c r="U757" s="97">
        <v>-0.53</v>
      </c>
      <c r="V757" s="97">
        <v>-0.53</v>
      </c>
      <c r="W757" s="97">
        <v>-0.62</v>
      </c>
      <c r="X757" s="97">
        <v>-1.8049999999999999</v>
      </c>
      <c r="Y757" s="97">
        <v>-1.8049999999999999</v>
      </c>
      <c r="Z757" s="97">
        <v>-1.8049999999999999</v>
      </c>
      <c r="AA757" s="97">
        <v>-1.8049999999999999</v>
      </c>
      <c r="AB757" s="97">
        <v>-1.8049999999999999</v>
      </c>
      <c r="AC757" s="76"/>
      <c r="AD757" s="97" t="s">
        <v>1599</v>
      </c>
      <c r="AE757" s="76"/>
      <c r="AF757" s="97">
        <v>1</v>
      </c>
      <c r="AG757" s="97">
        <v>1</v>
      </c>
      <c r="AH757" s="73"/>
      <c r="AI757" s="57"/>
      <c r="AJ757" s="45"/>
      <c r="AK757" s="45"/>
      <c r="AL757" s="45"/>
    </row>
    <row r="758" spans="1:38" outlineLevel="2" x14ac:dyDescent="0.25">
      <c r="A758" s="45"/>
      <c r="B758" s="54"/>
      <c r="C758" s="47">
        <f t="shared" si="177"/>
        <v>3</v>
      </c>
      <c r="D758" s="73"/>
      <c r="E758" s="70"/>
      <c r="F758" s="70" t="s">
        <v>1595</v>
      </c>
      <c r="G758" s="73"/>
      <c r="H758" s="76" t="s">
        <v>1596</v>
      </c>
      <c r="I758" s="96" t="s">
        <v>570</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1599</v>
      </c>
      <c r="AE758" s="76"/>
      <c r="AF758" s="97">
        <v>1</v>
      </c>
      <c r="AG758" s="97">
        <v>1</v>
      </c>
      <c r="AH758" s="73"/>
      <c r="AI758" s="57"/>
      <c r="AJ758" s="45"/>
      <c r="AK758" s="45"/>
      <c r="AL758" s="45"/>
    </row>
    <row r="759" spans="1:38" outlineLevel="2" x14ac:dyDescent="0.25">
      <c r="A759" s="45"/>
      <c r="B759" s="54"/>
      <c r="C759" s="47">
        <f t="shared" si="177"/>
        <v>3</v>
      </c>
      <c r="D759" s="73"/>
      <c r="E759" s="70"/>
      <c r="F759" s="70" t="s">
        <v>1597</v>
      </c>
      <c r="G759" s="73"/>
      <c r="H759" s="76" t="s">
        <v>1598</v>
      </c>
      <c r="I759" s="96" t="s">
        <v>570</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1599</v>
      </c>
      <c r="AE759" s="76"/>
      <c r="AF759" s="97">
        <v>1</v>
      </c>
      <c r="AG759" s="97">
        <v>1</v>
      </c>
      <c r="AH759" s="73"/>
      <c r="AI759" s="57"/>
      <c r="AJ759" s="45"/>
      <c r="AK759" s="45"/>
      <c r="AL759" s="45"/>
    </row>
    <row r="760" spans="1:38" outlineLevel="2" x14ac:dyDescent="0.25">
      <c r="A760" s="45"/>
      <c r="B760" s="54"/>
      <c r="C760" s="47">
        <f t="shared" si="177"/>
        <v>3</v>
      </c>
      <c r="D760" s="73"/>
      <c r="E760" s="70" t="s">
        <v>1600</v>
      </c>
      <c r="F760" s="70" t="s">
        <v>1601</v>
      </c>
      <c r="G760" s="73"/>
      <c r="H760" s="76" t="s">
        <v>1602</v>
      </c>
      <c r="I760" s="96" t="s">
        <v>570</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1" t="s">
        <v>1580</v>
      </c>
      <c r="AE760" s="76"/>
      <c r="AF760" s="76">
        <v>1</v>
      </c>
      <c r="AG760" s="76">
        <v>1</v>
      </c>
      <c r="AH760" s="73"/>
      <c r="AI760" s="57"/>
      <c r="AJ760" s="45"/>
      <c r="AK760" s="45"/>
      <c r="AL760" s="45"/>
    </row>
    <row r="761" spans="1:38" outlineLevel="2" x14ac:dyDescent="0.25">
      <c r="A761" s="45"/>
      <c r="B761" s="54"/>
      <c r="C761" s="47">
        <f t="shared" si="177"/>
        <v>3</v>
      </c>
      <c r="D761" s="73"/>
      <c r="E761" s="70"/>
      <c r="F761" s="70" t="s">
        <v>1603</v>
      </c>
      <c r="G761" s="73"/>
      <c r="H761" s="76" t="s">
        <v>1593</v>
      </c>
      <c r="I761" s="96" t="s">
        <v>570</v>
      </c>
      <c r="J761" s="96"/>
      <c r="K761" s="76"/>
      <c r="L761" s="76"/>
      <c r="M761" s="97">
        <v>1</v>
      </c>
      <c r="N761" s="97">
        <v>1</v>
      </c>
      <c r="O761" s="97">
        <v>1</v>
      </c>
      <c r="P761" s="97">
        <v>1</v>
      </c>
      <c r="Q761" s="76"/>
      <c r="R761" s="76"/>
      <c r="S761" s="97" t="s">
        <v>1594</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1599</v>
      </c>
      <c r="AE761" s="76"/>
      <c r="AF761" s="97">
        <v>1</v>
      </c>
      <c r="AG761" s="97">
        <v>1</v>
      </c>
      <c r="AH761" s="73"/>
      <c r="AI761" s="57"/>
      <c r="AJ761" s="45"/>
      <c r="AK761" s="45"/>
      <c r="AL761" s="45"/>
    </row>
    <row r="762" spans="1:38" outlineLevel="2" x14ac:dyDescent="0.25">
      <c r="A762" s="45"/>
      <c r="B762" s="54"/>
      <c r="C762" s="47">
        <f t="shared" si="177"/>
        <v>3</v>
      </c>
      <c r="D762" s="73"/>
      <c r="E762" s="70"/>
      <c r="F762" s="70" t="s">
        <v>1604</v>
      </c>
      <c r="G762" s="73"/>
      <c r="H762" s="76" t="s">
        <v>1596</v>
      </c>
      <c r="I762" s="96" t="s">
        <v>570</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1599</v>
      </c>
      <c r="AE762" s="76"/>
      <c r="AF762" s="97">
        <v>1</v>
      </c>
      <c r="AG762" s="97">
        <v>1</v>
      </c>
      <c r="AH762" s="73"/>
      <c r="AI762" s="57"/>
      <c r="AJ762" s="45"/>
      <c r="AK762" s="45"/>
      <c r="AL762" s="45"/>
    </row>
    <row r="763" spans="1:38" outlineLevel="2" x14ac:dyDescent="0.25">
      <c r="A763" s="45"/>
      <c r="B763" s="54"/>
      <c r="C763" s="47">
        <f t="shared" si="177"/>
        <v>3</v>
      </c>
      <c r="D763" s="73"/>
      <c r="E763" s="70"/>
      <c r="F763" s="70" t="s">
        <v>1605</v>
      </c>
      <c r="G763" s="73"/>
      <c r="H763" s="76" t="s">
        <v>1598</v>
      </c>
      <c r="I763" s="96" t="s">
        <v>570</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1599</v>
      </c>
      <c r="AE763" s="76"/>
      <c r="AF763" s="97">
        <v>1</v>
      </c>
      <c r="AG763" s="97">
        <v>1</v>
      </c>
      <c r="AH763" s="73"/>
      <c r="AI763" s="57"/>
      <c r="AJ763" s="45"/>
      <c r="AK763" s="45"/>
      <c r="AL763" s="45"/>
    </row>
    <row r="764" spans="1:38" outlineLevel="2" x14ac:dyDescent="0.25">
      <c r="A764" s="45"/>
      <c r="B764" s="54"/>
      <c r="C764" s="47">
        <f t="shared" si="177"/>
        <v>3</v>
      </c>
      <c r="D764" s="73"/>
      <c r="E764" s="70" t="s">
        <v>1606</v>
      </c>
      <c r="F764" s="70" t="s">
        <v>1607</v>
      </c>
      <c r="G764" s="73"/>
      <c r="H764" s="76" t="s">
        <v>1608</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1" t="s">
        <v>1609</v>
      </c>
      <c r="AE764" s="76"/>
      <c r="AF764" s="76">
        <v>1</v>
      </c>
      <c r="AG764" s="76">
        <v>1</v>
      </c>
      <c r="AH764" s="73"/>
      <c r="AI764" s="57"/>
      <c r="AJ764" s="45"/>
      <c r="AK764" s="45"/>
      <c r="AL764" s="45"/>
    </row>
    <row r="765" spans="1:38" outlineLevel="2" x14ac:dyDescent="0.25">
      <c r="A765" s="45"/>
      <c r="B765" s="54"/>
      <c r="C765" s="47">
        <f t="shared" si="177"/>
        <v>3</v>
      </c>
      <c r="D765" s="73"/>
      <c r="E765" s="70"/>
      <c r="F765" s="70" t="s">
        <v>1610</v>
      </c>
      <c r="G765" s="73"/>
      <c r="H765" s="76" t="s">
        <v>1611</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1" t="s">
        <v>1609</v>
      </c>
      <c r="AE765" s="76"/>
      <c r="AF765" s="97">
        <v>1</v>
      </c>
      <c r="AG765" s="97">
        <v>1</v>
      </c>
      <c r="AH765" s="73"/>
      <c r="AI765" s="57"/>
      <c r="AJ765" s="45"/>
      <c r="AK765" s="45"/>
      <c r="AL765" s="45"/>
    </row>
    <row r="766" spans="1:38" outlineLevel="2" x14ac:dyDescent="0.25">
      <c r="A766" s="45"/>
      <c r="B766" s="54"/>
      <c r="C766" s="47">
        <f t="shared" si="177"/>
        <v>3</v>
      </c>
      <c r="D766" s="73"/>
      <c r="E766" s="70"/>
      <c r="F766" s="70" t="s">
        <v>1612</v>
      </c>
      <c r="G766" s="73"/>
      <c r="H766" s="76" t="s">
        <v>1613</v>
      </c>
      <c r="I766" s="96" t="s">
        <v>1614</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1615</v>
      </c>
      <c r="AE766" s="76"/>
      <c r="AF766" s="97">
        <v>1</v>
      </c>
      <c r="AG766" s="97">
        <v>1</v>
      </c>
      <c r="AH766" s="73"/>
      <c r="AI766" s="57"/>
      <c r="AJ766" s="45"/>
      <c r="AK766" s="45"/>
      <c r="AL766" s="45"/>
    </row>
    <row r="767" spans="1:38" outlineLevel="2" x14ac:dyDescent="0.25">
      <c r="A767" s="45"/>
      <c r="B767" s="54"/>
      <c r="C767" s="47">
        <f t="shared" si="177"/>
        <v>3</v>
      </c>
      <c r="D767" s="73"/>
      <c r="E767" s="70"/>
      <c r="F767" s="70" t="s">
        <v>1616</v>
      </c>
      <c r="G767" s="73"/>
      <c r="H767" s="76" t="s">
        <v>1617</v>
      </c>
      <c r="I767" s="96" t="s">
        <v>1614</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1618</v>
      </c>
      <c r="AE767" s="76"/>
      <c r="AF767" s="97">
        <v>1</v>
      </c>
      <c r="AG767" s="97">
        <v>1</v>
      </c>
      <c r="AH767" s="73"/>
      <c r="AI767" s="57"/>
      <c r="AJ767" s="45"/>
      <c r="AK767" s="45"/>
      <c r="AL767" s="45"/>
    </row>
    <row r="768" spans="1:38" outlineLevel="2" x14ac:dyDescent="0.25">
      <c r="A768" s="45"/>
      <c r="B768" s="54"/>
      <c r="C768" s="47">
        <f t="shared" si="177"/>
        <v>3</v>
      </c>
      <c r="D768" s="73"/>
      <c r="E768" s="70" t="s">
        <v>1619</v>
      </c>
      <c r="F768" s="70" t="s">
        <v>1620</v>
      </c>
      <c r="G768" s="73"/>
      <c r="H768" s="76" t="s">
        <v>1621</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1" t="s">
        <v>1609</v>
      </c>
      <c r="AE768" s="76"/>
      <c r="AF768" s="76">
        <v>1</v>
      </c>
      <c r="AG768" s="76">
        <v>1</v>
      </c>
      <c r="AH768" s="73"/>
      <c r="AI768" s="57"/>
      <c r="AJ768" s="45"/>
      <c r="AK768" s="45"/>
      <c r="AL768" s="45"/>
    </row>
    <row r="769" spans="1:38" outlineLevel="2" x14ac:dyDescent="0.25">
      <c r="A769" s="45"/>
      <c r="B769" s="54"/>
      <c r="C769" s="47">
        <f t="shared" si="177"/>
        <v>3</v>
      </c>
      <c r="D769" s="73"/>
      <c r="E769" s="70"/>
      <c r="F769" s="70" t="s">
        <v>1622</v>
      </c>
      <c r="G769" s="73"/>
      <c r="H769" s="76" t="s">
        <v>1611</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1" t="s">
        <v>1609</v>
      </c>
      <c r="AE769" s="76"/>
      <c r="AF769" s="97">
        <v>1</v>
      </c>
      <c r="AG769" s="97">
        <v>1</v>
      </c>
      <c r="AH769" s="73"/>
      <c r="AI769" s="57"/>
      <c r="AJ769" s="45"/>
      <c r="AK769" s="45"/>
      <c r="AL769" s="45"/>
    </row>
    <row r="770" spans="1:38" outlineLevel="2" x14ac:dyDescent="0.25">
      <c r="A770" s="45"/>
      <c r="B770" s="54"/>
      <c r="C770" s="47">
        <f t="shared" si="177"/>
        <v>3</v>
      </c>
      <c r="D770" s="73"/>
      <c r="E770" s="70"/>
      <c r="F770" s="70" t="s">
        <v>1623</v>
      </c>
      <c r="G770" s="73"/>
      <c r="H770" s="76" t="s">
        <v>1613</v>
      </c>
      <c r="I770" s="96" t="s">
        <v>1614</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2370</v>
      </c>
      <c r="AE770" s="76"/>
      <c r="AF770" s="97">
        <v>1</v>
      </c>
      <c r="AG770" s="97">
        <v>1</v>
      </c>
      <c r="AH770" s="73"/>
      <c r="AI770" s="57"/>
      <c r="AJ770" s="45"/>
      <c r="AK770" s="45"/>
      <c r="AL770" s="45"/>
    </row>
    <row r="771" spans="1:38" outlineLevel="2" x14ac:dyDescent="0.25">
      <c r="A771" s="45"/>
      <c r="B771" s="54"/>
      <c r="C771" s="47">
        <f t="shared" si="177"/>
        <v>3</v>
      </c>
      <c r="D771" s="73"/>
      <c r="E771" s="70"/>
      <c r="F771" s="70" t="s">
        <v>1624</v>
      </c>
      <c r="G771" s="73"/>
      <c r="H771" s="76" t="s">
        <v>1617</v>
      </c>
      <c r="I771" s="96" t="s">
        <v>1614</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2371</v>
      </c>
      <c r="AE771" s="76"/>
      <c r="AF771" s="97">
        <v>1</v>
      </c>
      <c r="AG771" s="97">
        <v>1</v>
      </c>
      <c r="AH771" s="73"/>
      <c r="AI771" s="57"/>
      <c r="AJ771" s="45"/>
      <c r="AK771" s="45"/>
      <c r="AL771" s="45"/>
    </row>
    <row r="772" spans="1:38" outlineLevel="2" x14ac:dyDescent="0.25">
      <c r="A772" s="45"/>
      <c r="B772" s="54"/>
      <c r="C772" s="47">
        <f t="shared" si="177"/>
        <v>3</v>
      </c>
      <c r="D772" s="73"/>
      <c r="E772" s="70" t="s">
        <v>1625</v>
      </c>
      <c r="F772" s="70" t="s">
        <v>1626</v>
      </c>
      <c r="G772" s="73"/>
      <c r="H772" s="76" t="s">
        <v>1627</v>
      </c>
      <c r="I772" s="96" t="s">
        <v>570</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1" t="s">
        <v>1609</v>
      </c>
      <c r="AE772" s="76"/>
      <c r="AF772" s="76">
        <v>1</v>
      </c>
      <c r="AG772" s="76">
        <v>1</v>
      </c>
      <c r="AH772" s="73"/>
      <c r="AI772" s="57"/>
      <c r="AJ772" s="45"/>
      <c r="AK772" s="45"/>
      <c r="AL772" s="45"/>
    </row>
    <row r="773" spans="1:38" outlineLevel="2" x14ac:dyDescent="0.25">
      <c r="A773" s="45"/>
      <c r="B773" s="54"/>
      <c r="C773" s="47">
        <f t="shared" si="177"/>
        <v>3</v>
      </c>
      <c r="D773" s="73"/>
      <c r="E773" s="70"/>
      <c r="F773" s="70" t="s">
        <v>1628</v>
      </c>
      <c r="G773" s="73"/>
      <c r="H773" s="76" t="s">
        <v>1611</v>
      </c>
      <c r="I773" s="96" t="s">
        <v>570</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1584</v>
      </c>
      <c r="AE773" s="76"/>
      <c r="AF773" s="97">
        <v>1</v>
      </c>
      <c r="AG773" s="97">
        <v>1</v>
      </c>
      <c r="AH773" s="73"/>
      <c r="AI773" s="57"/>
      <c r="AJ773" s="45"/>
      <c r="AK773" s="45"/>
      <c r="AL773" s="45"/>
    </row>
    <row r="774" spans="1:38" outlineLevel="2" x14ac:dyDescent="0.25">
      <c r="A774" s="45"/>
      <c r="B774" s="54"/>
      <c r="C774" s="47">
        <f t="shared" si="177"/>
        <v>3</v>
      </c>
      <c r="D774" s="73"/>
      <c r="E774" s="70"/>
      <c r="F774" s="70" t="s">
        <v>1629</v>
      </c>
      <c r="G774" s="73"/>
      <c r="H774" s="76" t="s">
        <v>1613</v>
      </c>
      <c r="I774" s="96" t="s">
        <v>570</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1584</v>
      </c>
      <c r="AE774" s="76"/>
      <c r="AF774" s="97">
        <v>1</v>
      </c>
      <c r="AG774" s="97">
        <v>1</v>
      </c>
      <c r="AH774" s="73"/>
      <c r="AI774" s="57"/>
      <c r="AJ774" s="45"/>
      <c r="AK774" s="45"/>
      <c r="AL774" s="45"/>
    </row>
    <row r="775" spans="1:38" outlineLevel="2" x14ac:dyDescent="0.25">
      <c r="A775" s="45"/>
      <c r="B775" s="54"/>
      <c r="C775" s="47">
        <f t="shared" si="177"/>
        <v>3</v>
      </c>
      <c r="D775" s="73"/>
      <c r="E775" s="70"/>
      <c r="F775" s="70" t="s">
        <v>1630</v>
      </c>
      <c r="G775" s="73"/>
      <c r="H775" s="76" t="s">
        <v>1617</v>
      </c>
      <c r="I775" s="96" t="s">
        <v>570</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1584</v>
      </c>
      <c r="AE775" s="76"/>
      <c r="AF775" s="97">
        <v>1</v>
      </c>
      <c r="AG775" s="97">
        <v>1</v>
      </c>
      <c r="AH775" s="73"/>
      <c r="AI775" s="57"/>
      <c r="AJ775" s="45"/>
      <c r="AK775" s="45"/>
      <c r="AL775" s="45"/>
    </row>
    <row r="776" spans="1:38" outlineLevel="2" x14ac:dyDescent="0.25">
      <c r="A776" s="45"/>
      <c r="B776" s="54"/>
      <c r="C776" s="47">
        <f t="shared" si="177"/>
        <v>3</v>
      </c>
      <c r="D776" s="73"/>
      <c r="E776" s="70" t="s">
        <v>1631</v>
      </c>
      <c r="F776" s="70" t="s">
        <v>1632</v>
      </c>
      <c r="G776" s="73"/>
      <c r="H776" s="76" t="s">
        <v>1621</v>
      </c>
      <c r="I776" s="96" t="s">
        <v>570</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1" t="s">
        <v>1609</v>
      </c>
      <c r="AE776" s="76"/>
      <c r="AF776" s="76">
        <v>1</v>
      </c>
      <c r="AG776" s="76">
        <v>1</v>
      </c>
      <c r="AH776" s="73"/>
      <c r="AI776" s="57"/>
      <c r="AJ776" s="45"/>
      <c r="AK776" s="45"/>
      <c r="AL776" s="45"/>
    </row>
    <row r="777" spans="1:38" outlineLevel="2" x14ac:dyDescent="0.25">
      <c r="A777" s="45"/>
      <c r="B777" s="54"/>
      <c r="C777" s="47">
        <f t="shared" si="177"/>
        <v>3</v>
      </c>
      <c r="D777" s="73"/>
      <c r="E777" s="70"/>
      <c r="F777" s="70" t="s">
        <v>1633</v>
      </c>
      <c r="G777" s="73"/>
      <c r="H777" s="76" t="s">
        <v>1611</v>
      </c>
      <c r="I777" s="96" t="s">
        <v>570</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1584</v>
      </c>
      <c r="AE777" s="76"/>
      <c r="AF777" s="97">
        <v>1</v>
      </c>
      <c r="AG777" s="97">
        <v>1</v>
      </c>
      <c r="AH777" s="73"/>
      <c r="AI777" s="57"/>
      <c r="AJ777" s="45"/>
      <c r="AK777" s="45"/>
      <c r="AL777" s="45"/>
    </row>
    <row r="778" spans="1:38" outlineLevel="2" x14ac:dyDescent="0.25">
      <c r="A778" s="45"/>
      <c r="B778" s="54"/>
      <c r="C778" s="47">
        <f t="shared" si="177"/>
        <v>3</v>
      </c>
      <c r="D778" s="73"/>
      <c r="E778" s="70"/>
      <c r="F778" s="70" t="s">
        <v>1634</v>
      </c>
      <c r="G778" s="73"/>
      <c r="H778" s="76" t="s">
        <v>1613</v>
      </c>
      <c r="I778" s="96" t="s">
        <v>570</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1584</v>
      </c>
      <c r="AE778" s="76"/>
      <c r="AF778" s="97">
        <v>1</v>
      </c>
      <c r="AG778" s="97">
        <v>1</v>
      </c>
      <c r="AH778" s="73"/>
      <c r="AI778" s="57"/>
      <c r="AJ778" s="45"/>
      <c r="AK778" s="45"/>
      <c r="AL778" s="45"/>
    </row>
    <row r="779" spans="1:38" outlineLevel="2" x14ac:dyDescent="0.25">
      <c r="A779" s="45"/>
      <c r="B779" s="54"/>
      <c r="C779" s="47">
        <f t="shared" si="177"/>
        <v>3</v>
      </c>
      <c r="D779" s="73"/>
      <c r="E779" s="70"/>
      <c r="F779" s="70" t="s">
        <v>1635</v>
      </c>
      <c r="G779" s="73"/>
      <c r="H779" s="76" t="s">
        <v>1617</v>
      </c>
      <c r="I779" s="96" t="s">
        <v>570</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1584</v>
      </c>
      <c r="AE779" s="76"/>
      <c r="AF779" s="97">
        <v>1</v>
      </c>
      <c r="AG779" s="97">
        <v>1</v>
      </c>
      <c r="AH779" s="73"/>
      <c r="AI779" s="57"/>
      <c r="AJ779" s="45"/>
      <c r="AK779" s="45"/>
      <c r="AL779" s="45"/>
    </row>
    <row r="780" spans="1:38" outlineLevel="2" x14ac:dyDescent="0.25">
      <c r="A780" s="45"/>
      <c r="B780" s="54"/>
      <c r="C780" s="47">
        <f t="shared" si="177"/>
        <v>3</v>
      </c>
      <c r="D780" s="73"/>
      <c r="E780" s="70"/>
      <c r="F780" s="70" t="s">
        <v>1636</v>
      </c>
      <c r="G780" s="73"/>
      <c r="H780" s="76" t="s">
        <v>1637</v>
      </c>
      <c r="I780" s="96" t="s">
        <v>570</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1638</v>
      </c>
      <c r="G781" s="73"/>
      <c r="H781" s="76" t="s">
        <v>1639</v>
      </c>
      <c r="I781" s="96" t="s">
        <v>570</v>
      </c>
      <c r="J781" s="96"/>
      <c r="K781" s="76"/>
      <c r="L781" s="76"/>
      <c r="M781" s="76"/>
      <c r="N781" s="76"/>
      <c r="O781" s="76"/>
      <c r="P781" s="76"/>
      <c r="Q781" s="76"/>
      <c r="R781" s="76"/>
      <c r="S781" s="76"/>
      <c r="T781" s="76"/>
      <c r="U781" s="97">
        <v>0</v>
      </c>
      <c r="V781" s="262">
        <f t="shared" ref="V781:V782" si="184">U781</f>
        <v>0</v>
      </c>
      <c r="W781" s="262">
        <f t="shared" ref="W781:W782" si="185">V781</f>
        <v>0</v>
      </c>
      <c r="X781" s="262">
        <f>Y781</f>
        <v>0</v>
      </c>
      <c r="Y781" s="97">
        <v>0</v>
      </c>
      <c r="Z781" s="262">
        <f t="shared" ref="Z781:AB782" si="186">Y781</f>
        <v>0</v>
      </c>
      <c r="AA781" s="262">
        <f t="shared" si="186"/>
        <v>0</v>
      </c>
      <c r="AB781" s="262">
        <f t="shared" si="186"/>
        <v>0</v>
      </c>
      <c r="AC781" s="76"/>
      <c r="AD781" s="97" t="s">
        <v>2684</v>
      </c>
      <c r="AE781" s="76"/>
      <c r="AF781" s="97">
        <v>1</v>
      </c>
      <c r="AG781" s="97">
        <v>1</v>
      </c>
      <c r="AH781" s="73"/>
      <c r="AI781" s="57"/>
      <c r="AJ781" s="45"/>
      <c r="AK781" s="45"/>
      <c r="AL781" s="45"/>
    </row>
    <row r="782" spans="1:38" outlineLevel="2" x14ac:dyDescent="0.25">
      <c r="A782" s="45"/>
      <c r="B782" s="54"/>
      <c r="C782" s="47">
        <f t="shared" si="177"/>
        <v>3</v>
      </c>
      <c r="D782" s="73"/>
      <c r="E782" s="70"/>
      <c r="F782" s="70" t="s">
        <v>1640</v>
      </c>
      <c r="G782" s="73"/>
      <c r="H782" s="76" t="s">
        <v>1641</v>
      </c>
      <c r="I782" s="96" t="s">
        <v>570</v>
      </c>
      <c r="J782" s="96"/>
      <c r="K782" s="76"/>
      <c r="L782" s="76"/>
      <c r="M782" s="76"/>
      <c r="N782" s="76"/>
      <c r="O782" s="76"/>
      <c r="P782" s="76"/>
      <c r="Q782" s="76"/>
      <c r="R782" s="76"/>
      <c r="S782" s="76"/>
      <c r="T782" s="76"/>
      <c r="U782" s="97">
        <v>-0.71226</v>
      </c>
      <c r="V782" s="262">
        <f t="shared" si="184"/>
        <v>-0.71226</v>
      </c>
      <c r="W782" s="262">
        <f t="shared" si="185"/>
        <v>-0.71226</v>
      </c>
      <c r="X782" s="262">
        <f>Y782</f>
        <v>-0.21895000000000001</v>
      </c>
      <c r="Y782" s="97">
        <v>-0.21895000000000001</v>
      </c>
      <c r="Z782" s="262">
        <f t="shared" si="186"/>
        <v>-0.21895000000000001</v>
      </c>
      <c r="AA782" s="262">
        <f t="shared" si="186"/>
        <v>-0.21895000000000001</v>
      </c>
      <c r="AB782" s="262">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1642</v>
      </c>
      <c r="G783" s="73"/>
      <c r="H783" s="76" t="s">
        <v>1643</v>
      </c>
      <c r="I783" s="96" t="s">
        <v>570</v>
      </c>
      <c r="J783" s="96"/>
      <c r="K783" s="76"/>
      <c r="L783" s="76"/>
      <c r="M783" s="76"/>
      <c r="N783" s="76"/>
      <c r="O783" s="76"/>
      <c r="P783" s="76"/>
      <c r="Q783" s="76"/>
      <c r="R783" s="76"/>
      <c r="S783" s="76"/>
      <c r="T783" s="76"/>
      <c r="U783" s="97">
        <v>-0.90173999999999999</v>
      </c>
      <c r="V783" s="262">
        <f t="shared" ref="V783" si="187">U783</f>
        <v>-0.90173999999999999</v>
      </c>
      <c r="W783" s="262">
        <f t="shared" ref="W783" si="188">V783</f>
        <v>-0.90173999999999999</v>
      </c>
      <c r="X783" s="262">
        <f>Y783</f>
        <v>-0.37940000000000002</v>
      </c>
      <c r="Y783" s="97">
        <v>-0.37940000000000002</v>
      </c>
      <c r="Z783" s="262">
        <f t="shared" ref="Z783" si="189">Y783</f>
        <v>-0.37940000000000002</v>
      </c>
      <c r="AA783" s="262">
        <f t="shared" ref="AA783" si="190">Z783</f>
        <v>-0.37940000000000002</v>
      </c>
      <c r="AB783" s="262">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1644</v>
      </c>
      <c r="G784" s="73"/>
      <c r="H784" s="76" t="s">
        <v>2845</v>
      </c>
      <c r="I784" s="96" t="s">
        <v>570</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1645</v>
      </c>
      <c r="G785" s="73"/>
      <c r="H785" s="76" t="s">
        <v>2261</v>
      </c>
      <c r="I785" s="96" t="s">
        <v>570</v>
      </c>
      <c r="J785" s="96"/>
      <c r="K785" s="76"/>
      <c r="L785" s="76"/>
      <c r="M785" s="76"/>
      <c r="N785" s="76"/>
      <c r="O785" s="76"/>
      <c r="P785" s="76"/>
      <c r="Q785" s="76"/>
      <c r="R785" s="76"/>
      <c r="S785" s="76"/>
      <c r="T785" s="76"/>
      <c r="U785" s="97">
        <v>-1.1100000000000001E-3</v>
      </c>
      <c r="V785" s="262">
        <f t="shared" ref="V785:W786" si="192">U785</f>
        <v>-1.1100000000000001E-3</v>
      </c>
      <c r="W785" s="262">
        <f t="shared" si="192"/>
        <v>-1.1100000000000001E-3</v>
      </c>
      <c r="X785" s="262">
        <f t="shared" ref="X785:X787" si="193">Y785</f>
        <v>-1.5499999999999999E-3</v>
      </c>
      <c r="Y785" s="97">
        <v>-1.5499999999999999E-3</v>
      </c>
      <c r="Z785" s="262">
        <f t="shared" ref="Z785:Z787" si="194">Y785</f>
        <v>-1.5499999999999999E-3</v>
      </c>
      <c r="AA785" s="262">
        <f t="shared" ref="AA785:AA787" si="195">Z785</f>
        <v>-1.5499999999999999E-3</v>
      </c>
      <c r="AB785" s="262">
        <f t="shared" ref="AB785:AB787" si="196">AA785</f>
        <v>-1.5499999999999999E-3</v>
      </c>
      <c r="AC785" s="76"/>
      <c r="AD785" s="97" t="s">
        <v>2841</v>
      </c>
      <c r="AE785" s="76"/>
      <c r="AF785" s="76">
        <v>1</v>
      </c>
      <c r="AG785" s="76">
        <v>1</v>
      </c>
      <c r="AH785" s="73"/>
      <c r="AI785" s="57"/>
      <c r="AJ785" s="45"/>
      <c r="AK785" s="45"/>
      <c r="AL785" s="45"/>
    </row>
    <row r="786" spans="1:38" outlineLevel="2" x14ac:dyDescent="0.25">
      <c r="A786" s="45"/>
      <c r="B786" s="54"/>
      <c r="C786" s="47">
        <f t="shared" si="177"/>
        <v>3</v>
      </c>
      <c r="D786" s="73"/>
      <c r="E786" s="70"/>
      <c r="F786" s="70" t="s">
        <v>1646</v>
      </c>
      <c r="G786" s="73"/>
      <c r="H786" s="76" t="s">
        <v>2262</v>
      </c>
      <c r="I786" s="96" t="s">
        <v>570</v>
      </c>
      <c r="J786" s="96"/>
      <c r="K786" s="76"/>
      <c r="L786" s="76"/>
      <c r="M786" s="76"/>
      <c r="N786" s="76"/>
      <c r="O786" s="76"/>
      <c r="P786" s="76"/>
      <c r="Q786" s="76"/>
      <c r="R786" s="76"/>
      <c r="S786" s="76"/>
      <c r="T786" s="76"/>
      <c r="U786" s="97">
        <v>-1.5E-3</v>
      </c>
      <c r="V786" s="262">
        <f t="shared" ref="V786" si="197">U786</f>
        <v>-1.5E-3</v>
      </c>
      <c r="W786" s="262">
        <f t="shared" si="192"/>
        <v>-1.5E-3</v>
      </c>
      <c r="X786" s="262">
        <f t="shared" si="193"/>
        <v>-2.1250000000000002E-3</v>
      </c>
      <c r="Y786" s="97">
        <v>-2.1250000000000002E-3</v>
      </c>
      <c r="Z786" s="262">
        <f t="shared" si="194"/>
        <v>-2.1250000000000002E-3</v>
      </c>
      <c r="AA786" s="262">
        <f t="shared" si="195"/>
        <v>-2.1250000000000002E-3</v>
      </c>
      <c r="AB786" s="262">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1647</v>
      </c>
      <c r="G787" s="73"/>
      <c r="H787" s="76" t="s">
        <v>2263</v>
      </c>
      <c r="I787" s="96" t="s">
        <v>570</v>
      </c>
      <c r="J787" s="96"/>
      <c r="K787" s="76"/>
      <c r="L787" s="76"/>
      <c r="M787" s="76"/>
      <c r="N787" s="76"/>
      <c r="O787" s="76"/>
      <c r="P787" s="76"/>
      <c r="Q787" s="76"/>
      <c r="R787" s="76"/>
      <c r="S787" s="76"/>
      <c r="T787" s="76"/>
      <c r="U787" s="97">
        <v>-6.8500000000000002E-3</v>
      </c>
      <c r="V787" s="262">
        <f t="shared" ref="V787" si="199">U787</f>
        <v>-6.8500000000000002E-3</v>
      </c>
      <c r="W787" s="262">
        <f t="shared" ref="W787" si="200">V787</f>
        <v>-6.8500000000000002E-3</v>
      </c>
      <c r="X787" s="262">
        <f t="shared" si="193"/>
        <v>-8.0300000000000007E-3</v>
      </c>
      <c r="Y787" s="97">
        <v>-8.0300000000000007E-3</v>
      </c>
      <c r="Z787" s="262">
        <f t="shared" si="194"/>
        <v>-8.0300000000000007E-3</v>
      </c>
      <c r="AA787" s="262">
        <f t="shared" si="195"/>
        <v>-8.0300000000000007E-3</v>
      </c>
      <c r="AB787" s="262">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1652</v>
      </c>
      <c r="F788" s="70" t="s">
        <v>1648</v>
      </c>
      <c r="G788" s="73"/>
      <c r="H788" s="76" t="s">
        <v>1654</v>
      </c>
      <c r="I788" s="96" t="s">
        <v>570</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1" t="s">
        <v>1609</v>
      </c>
      <c r="AE788" s="76"/>
      <c r="AF788" s="76">
        <v>1</v>
      </c>
      <c r="AG788" s="76">
        <v>1</v>
      </c>
      <c r="AH788" s="73"/>
      <c r="AI788" s="57"/>
      <c r="AJ788" s="45"/>
      <c r="AK788" s="45"/>
      <c r="AL788" s="45"/>
    </row>
    <row r="789" spans="1:38" outlineLevel="3" x14ac:dyDescent="0.25">
      <c r="A789" s="45"/>
      <c r="B789" s="54"/>
      <c r="C789" s="47">
        <f t="shared" si="198"/>
        <v>4</v>
      </c>
      <c r="D789" s="73"/>
      <c r="E789" s="70"/>
      <c r="F789" s="70" t="s">
        <v>1649</v>
      </c>
      <c r="G789" s="73"/>
      <c r="H789" s="76" t="s">
        <v>1573</v>
      </c>
      <c r="I789" s="96" t="s">
        <v>570</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1094</v>
      </c>
      <c r="AE789" s="76"/>
      <c r="AF789" s="97">
        <v>1</v>
      </c>
      <c r="AG789" s="97">
        <v>1</v>
      </c>
      <c r="AH789" s="73"/>
      <c r="AI789" s="57"/>
      <c r="AJ789" s="45"/>
      <c r="AK789" s="45"/>
      <c r="AL789" s="45"/>
    </row>
    <row r="790" spans="1:38" outlineLevel="3" x14ac:dyDescent="0.25">
      <c r="A790" s="45"/>
      <c r="B790" s="54"/>
      <c r="C790" s="47">
        <f t="shared" si="198"/>
        <v>4</v>
      </c>
      <c r="D790" s="73"/>
      <c r="E790" s="70"/>
      <c r="F790" s="70" t="s">
        <v>1650</v>
      </c>
      <c r="G790" s="73"/>
      <c r="H790" s="76" t="s">
        <v>1575</v>
      </c>
      <c r="I790" s="96" t="s">
        <v>570</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1094</v>
      </c>
      <c r="AE790" s="76"/>
      <c r="AF790" s="97">
        <v>1</v>
      </c>
      <c r="AG790" s="97">
        <v>1</v>
      </c>
      <c r="AH790" s="73"/>
      <c r="AI790" s="57"/>
      <c r="AJ790" s="45"/>
      <c r="AK790" s="45"/>
      <c r="AL790" s="45"/>
    </row>
    <row r="791" spans="1:38" outlineLevel="3" x14ac:dyDescent="0.25">
      <c r="A791" s="45"/>
      <c r="B791" s="54"/>
      <c r="C791" s="47">
        <f t="shared" si="198"/>
        <v>4</v>
      </c>
      <c r="D791" s="73"/>
      <c r="E791" s="70"/>
      <c r="F791" s="70" t="s">
        <v>1651</v>
      </c>
      <c r="G791" s="73"/>
      <c r="H791" s="76" t="s">
        <v>1577</v>
      </c>
      <c r="I791" s="96" t="s">
        <v>570</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2825</v>
      </c>
      <c r="AE791" s="76"/>
      <c r="AF791" s="97">
        <v>1</v>
      </c>
      <c r="AG791" s="97">
        <v>1</v>
      </c>
      <c r="AH791" s="73"/>
      <c r="AI791" s="57"/>
      <c r="AJ791" s="45"/>
      <c r="AK791" s="45"/>
      <c r="AL791" s="45"/>
    </row>
    <row r="792" spans="1:38" outlineLevel="2" x14ac:dyDescent="0.25">
      <c r="A792" s="45"/>
      <c r="B792" s="54"/>
      <c r="C792" s="47">
        <f>INT($C$29)+2</f>
        <v>3</v>
      </c>
      <c r="D792" s="73"/>
      <c r="E792" s="70"/>
      <c r="F792" s="70" t="s">
        <v>1653</v>
      </c>
      <c r="G792" s="73"/>
      <c r="H792" s="76" t="s">
        <v>1571</v>
      </c>
      <c r="I792" s="96" t="s">
        <v>570</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1655</v>
      </c>
      <c r="G793" s="73"/>
      <c r="H793" s="76" t="s">
        <v>1573</v>
      </c>
      <c r="I793" s="96" t="s">
        <v>570</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1656</v>
      </c>
      <c r="G794" s="73"/>
      <c r="H794" s="76" t="s">
        <v>1575</v>
      </c>
      <c r="I794" s="96" t="s">
        <v>570</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1657</v>
      </c>
      <c r="G795" s="73"/>
      <c r="H795" s="76" t="s">
        <v>1577</v>
      </c>
      <c r="I795" s="96" t="s">
        <v>570</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1658</v>
      </c>
      <c r="G796" s="73"/>
      <c r="H796" s="76" t="s">
        <v>1659</v>
      </c>
      <c r="I796" s="96" t="s">
        <v>570</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1660</v>
      </c>
      <c r="G797" s="73"/>
      <c r="H797" s="76" t="s">
        <v>1573</v>
      </c>
      <c r="I797" s="96" t="s">
        <v>570</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1661</v>
      </c>
      <c r="G798" s="73"/>
      <c r="H798" s="76" t="s">
        <v>1575</v>
      </c>
      <c r="I798" s="96" t="s">
        <v>570</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1662</v>
      </c>
      <c r="G799" s="73"/>
      <c r="H799" s="76" t="s">
        <v>1577</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1663</v>
      </c>
      <c r="G800" s="73"/>
      <c r="H800" s="76" t="s">
        <v>1664</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1665</v>
      </c>
      <c r="G801" s="73"/>
      <c r="H801" s="76" t="s">
        <v>1573</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1666</v>
      </c>
      <c r="G802" s="73"/>
      <c r="H802" s="76" t="s">
        <v>1575</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1667</v>
      </c>
      <c r="G803" s="73"/>
      <c r="H803" s="76" t="s">
        <v>1577</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856</v>
      </c>
      <c r="F804" s="70" t="s">
        <v>1668</v>
      </c>
      <c r="G804" s="73"/>
      <c r="H804" s="76" t="s">
        <v>1669</v>
      </c>
      <c r="I804" s="96" t="s">
        <v>570</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c r="AE804" s="76"/>
      <c r="AF804" s="76">
        <v>1</v>
      </c>
      <c r="AG804" s="76">
        <v>1</v>
      </c>
      <c r="AH804" s="73"/>
      <c r="AI804" s="57"/>
      <c r="AJ804" s="45"/>
      <c r="AK804" s="45"/>
      <c r="AL804" s="45"/>
    </row>
    <row r="805" spans="1:38" outlineLevel="2" x14ac:dyDescent="0.25">
      <c r="A805" s="45"/>
      <c r="B805" s="54"/>
      <c r="C805" s="47">
        <f t="shared" si="204"/>
        <v>3</v>
      </c>
      <c r="D805" s="73"/>
      <c r="E805" s="70"/>
      <c r="F805" s="70" t="s">
        <v>1670</v>
      </c>
      <c r="G805" s="73"/>
      <c r="H805" s="76" t="s">
        <v>1671</v>
      </c>
      <c r="I805" s="96" t="s">
        <v>570</v>
      </c>
      <c r="J805" s="96"/>
      <c r="K805" s="97">
        <v>1.5</v>
      </c>
      <c r="L805" s="97">
        <v>1.5</v>
      </c>
      <c r="M805" s="97">
        <v>1</v>
      </c>
      <c r="N805" s="97">
        <v>1</v>
      </c>
      <c r="O805" s="97">
        <v>1</v>
      </c>
      <c r="P805" s="97">
        <v>1</v>
      </c>
      <c r="Q805" s="76"/>
      <c r="R805" s="76" t="s">
        <v>618</v>
      </c>
      <c r="S805" s="76" t="s">
        <v>618</v>
      </c>
      <c r="T805" s="76"/>
      <c r="U805" s="260">
        <f t="shared" ref="U805:AB807" si="205">INDEX($K805:$Q805,1,U$43)</f>
        <v>1.5</v>
      </c>
      <c r="V805" s="260">
        <f t="shared" si="205"/>
        <v>1.5</v>
      </c>
      <c r="W805" s="260">
        <f t="shared" si="205"/>
        <v>1.5</v>
      </c>
      <c r="X805" s="260">
        <f t="shared" si="205"/>
        <v>1.5</v>
      </c>
      <c r="Y805" s="260">
        <f t="shared" si="205"/>
        <v>1.5</v>
      </c>
      <c r="Z805" s="260">
        <f t="shared" si="205"/>
        <v>1.5</v>
      </c>
      <c r="AA805" s="260">
        <f t="shared" si="205"/>
        <v>1.5</v>
      </c>
      <c r="AB805" s="260">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1672</v>
      </c>
      <c r="G806" s="73"/>
      <c r="H806" s="76" t="s">
        <v>1673</v>
      </c>
      <c r="I806" s="96" t="s">
        <v>570</v>
      </c>
      <c r="J806" s="96"/>
      <c r="K806" s="97">
        <v>1.75</v>
      </c>
      <c r="L806" s="97">
        <v>1.75</v>
      </c>
      <c r="M806" s="76"/>
      <c r="N806" s="76"/>
      <c r="O806" s="76"/>
      <c r="P806" s="76"/>
      <c r="Q806" s="76"/>
      <c r="R806" s="76" t="s">
        <v>618</v>
      </c>
      <c r="S806" s="76"/>
      <c r="T806" s="76"/>
      <c r="U806" s="260">
        <f t="shared" si="205"/>
        <v>1.75</v>
      </c>
      <c r="V806" s="260">
        <f t="shared" si="205"/>
        <v>1.75</v>
      </c>
      <c r="W806" s="260">
        <f t="shared" si="205"/>
        <v>1.75</v>
      </c>
      <c r="X806" s="260">
        <f t="shared" si="205"/>
        <v>1.75</v>
      </c>
      <c r="Y806" s="260">
        <f t="shared" si="205"/>
        <v>1.75</v>
      </c>
      <c r="Z806" s="260">
        <f t="shared" si="205"/>
        <v>1.75</v>
      </c>
      <c r="AA806" s="260">
        <f t="shared" si="205"/>
        <v>1.75</v>
      </c>
      <c r="AB806" s="260">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1674</v>
      </c>
      <c r="G807" s="73"/>
      <c r="H807" s="76" t="s">
        <v>1675</v>
      </c>
      <c r="I807" s="96" t="s">
        <v>570</v>
      </c>
      <c r="J807" s="96"/>
      <c r="K807" s="97">
        <v>2</v>
      </c>
      <c r="L807" s="97">
        <v>2</v>
      </c>
      <c r="M807" s="76"/>
      <c r="N807" s="76"/>
      <c r="O807" s="76"/>
      <c r="P807" s="76"/>
      <c r="Q807" s="76"/>
      <c r="R807" s="76" t="s">
        <v>618</v>
      </c>
      <c r="S807" s="76"/>
      <c r="T807" s="76"/>
      <c r="U807" s="260">
        <f t="shared" si="205"/>
        <v>2</v>
      </c>
      <c r="V807" s="260">
        <f t="shared" si="205"/>
        <v>2</v>
      </c>
      <c r="W807" s="260">
        <f t="shared" si="205"/>
        <v>2</v>
      </c>
      <c r="X807" s="260">
        <f t="shared" si="205"/>
        <v>2</v>
      </c>
      <c r="Y807" s="260">
        <f t="shared" si="205"/>
        <v>2</v>
      </c>
      <c r="Z807" s="260">
        <f t="shared" si="205"/>
        <v>2</v>
      </c>
      <c r="AA807" s="260">
        <f t="shared" si="205"/>
        <v>2</v>
      </c>
      <c r="AB807" s="260">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859</v>
      </c>
      <c r="F808" s="70" t="s">
        <v>1676</v>
      </c>
      <c r="G808" s="73"/>
      <c r="H808" s="76" t="s">
        <v>1677</v>
      </c>
      <c r="I808" s="96" t="s">
        <v>570</v>
      </c>
      <c r="J808" s="96" t="s">
        <v>1252</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1678</v>
      </c>
      <c r="G809" s="73"/>
      <c r="H809" s="76" t="s">
        <v>1679</v>
      </c>
      <c r="I809" s="96" t="s">
        <v>120</v>
      </c>
      <c r="J809" s="96" t="s">
        <v>1252</v>
      </c>
      <c r="K809" s="97">
        <v>0.1</v>
      </c>
      <c r="L809" s="97">
        <v>0.1</v>
      </c>
      <c r="M809" s="97">
        <v>7.0000000000000007E-2</v>
      </c>
      <c r="N809" s="97">
        <v>7.0000000000000007E-2</v>
      </c>
      <c r="O809" s="97">
        <v>7.0000000000000007E-2</v>
      </c>
      <c r="P809" s="97">
        <v>7.0000000000000007E-2</v>
      </c>
      <c r="Q809" s="76"/>
      <c r="R809" s="76" t="s">
        <v>618</v>
      </c>
      <c r="S809" s="76" t="s">
        <v>618</v>
      </c>
      <c r="T809" s="76"/>
      <c r="U809" s="260">
        <f t="shared" ref="U809:AB811" si="206">INDEX($K809:$Q809,1,U$43)</f>
        <v>0.1</v>
      </c>
      <c r="V809" s="260">
        <f t="shared" si="206"/>
        <v>0.1</v>
      </c>
      <c r="W809" s="260">
        <f t="shared" si="206"/>
        <v>0.1</v>
      </c>
      <c r="X809" s="260">
        <f t="shared" si="206"/>
        <v>0.1</v>
      </c>
      <c r="Y809" s="260">
        <f t="shared" si="206"/>
        <v>0.1</v>
      </c>
      <c r="Z809" s="260">
        <f t="shared" si="206"/>
        <v>0.1</v>
      </c>
      <c r="AA809" s="260">
        <f t="shared" si="206"/>
        <v>0.1</v>
      </c>
      <c r="AB809" s="260">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1680</v>
      </c>
      <c r="G810" s="73"/>
      <c r="H810" s="76" t="s">
        <v>1681</v>
      </c>
      <c r="I810" s="96" t="s">
        <v>120</v>
      </c>
      <c r="J810" s="96" t="s">
        <v>1252</v>
      </c>
      <c r="K810" s="97">
        <v>8.5000000000000006E-2</v>
      </c>
      <c r="L810" s="97">
        <v>8.5000000000000006E-2</v>
      </c>
      <c r="M810" s="76"/>
      <c r="N810" s="76"/>
      <c r="O810" s="76"/>
      <c r="P810" s="76"/>
      <c r="Q810" s="76"/>
      <c r="R810" s="76" t="s">
        <v>618</v>
      </c>
      <c r="S810" s="76"/>
      <c r="T810" s="76"/>
      <c r="U810" s="260">
        <f t="shared" si="206"/>
        <v>8.5000000000000006E-2</v>
      </c>
      <c r="V810" s="260">
        <f t="shared" si="206"/>
        <v>8.5000000000000006E-2</v>
      </c>
      <c r="W810" s="260">
        <f t="shared" si="206"/>
        <v>8.5000000000000006E-2</v>
      </c>
      <c r="X810" s="260">
        <f t="shared" si="206"/>
        <v>8.5000000000000006E-2</v>
      </c>
      <c r="Y810" s="260">
        <f t="shared" si="206"/>
        <v>8.5000000000000006E-2</v>
      </c>
      <c r="Z810" s="260">
        <f t="shared" si="206"/>
        <v>8.5000000000000006E-2</v>
      </c>
      <c r="AA810" s="260">
        <f t="shared" si="206"/>
        <v>8.5000000000000006E-2</v>
      </c>
      <c r="AB810" s="260">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1682</v>
      </c>
      <c r="G811" s="73"/>
      <c r="H811" s="76" t="s">
        <v>1683</v>
      </c>
      <c r="I811" s="96" t="s">
        <v>120</v>
      </c>
      <c r="J811" s="96" t="s">
        <v>1252</v>
      </c>
      <c r="K811" s="97">
        <v>7.0000000000000007E-2</v>
      </c>
      <c r="L811" s="97">
        <v>7.0000000000000007E-2</v>
      </c>
      <c r="M811" s="76"/>
      <c r="N811" s="76"/>
      <c r="O811" s="76"/>
      <c r="P811" s="76"/>
      <c r="Q811" s="76"/>
      <c r="R811" s="76" t="s">
        <v>618</v>
      </c>
      <c r="S811" s="76"/>
      <c r="T811" s="76"/>
      <c r="U811" s="260">
        <f t="shared" si="206"/>
        <v>7.0000000000000007E-2</v>
      </c>
      <c r="V811" s="260">
        <f t="shared" si="206"/>
        <v>7.0000000000000007E-2</v>
      </c>
      <c r="W811" s="260">
        <f t="shared" si="206"/>
        <v>7.0000000000000007E-2</v>
      </c>
      <c r="X811" s="260">
        <f t="shared" si="206"/>
        <v>7.0000000000000007E-2</v>
      </c>
      <c r="Y811" s="260">
        <f t="shared" si="206"/>
        <v>7.0000000000000007E-2</v>
      </c>
      <c r="Z811" s="260">
        <f t="shared" si="206"/>
        <v>7.0000000000000007E-2</v>
      </c>
      <c r="AA811" s="260">
        <f t="shared" si="206"/>
        <v>7.0000000000000007E-2</v>
      </c>
      <c r="AB811" s="260">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1684</v>
      </c>
      <c r="G812" s="73"/>
      <c r="H812" s="76" t="s">
        <v>1685</v>
      </c>
      <c r="I812" s="96" t="s">
        <v>570</v>
      </c>
      <c r="J812" s="96" t="s">
        <v>1224</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1686</v>
      </c>
      <c r="G813" s="73"/>
      <c r="H813" s="76" t="s">
        <v>1687</v>
      </c>
      <c r="I813" s="96" t="s">
        <v>764</v>
      </c>
      <c r="J813" s="96" t="s">
        <v>1224</v>
      </c>
      <c r="K813" s="76"/>
      <c r="L813" s="76"/>
      <c r="M813" s="76"/>
      <c r="N813" s="76"/>
      <c r="O813" s="76"/>
      <c r="P813" s="76"/>
      <c r="Q813" s="76"/>
      <c r="R813" s="76"/>
      <c r="S813" s="76"/>
      <c r="T813" s="76"/>
      <c r="U813" s="97">
        <v>0</v>
      </c>
      <c r="V813" s="262">
        <f t="shared" ref="V813:AB815" si="207">U813</f>
        <v>0</v>
      </c>
      <c r="W813" s="262">
        <f t="shared" si="207"/>
        <v>0</v>
      </c>
      <c r="X813" s="262">
        <f t="shared" si="207"/>
        <v>0</v>
      </c>
      <c r="Y813" s="97">
        <v>0</v>
      </c>
      <c r="Z813" s="262">
        <f t="shared" si="207"/>
        <v>0</v>
      </c>
      <c r="AA813" s="262">
        <f t="shared" si="207"/>
        <v>0</v>
      </c>
      <c r="AB813" s="262">
        <f t="shared" si="207"/>
        <v>0</v>
      </c>
      <c r="AC813" s="76"/>
      <c r="AD813" s="97" t="s">
        <v>2265</v>
      </c>
      <c r="AE813" s="76"/>
      <c r="AF813" s="97">
        <v>1</v>
      </c>
      <c r="AG813" s="97">
        <v>1</v>
      </c>
      <c r="AH813" s="73"/>
      <c r="AI813" s="57"/>
      <c r="AJ813" s="45"/>
      <c r="AK813" s="45"/>
      <c r="AL813" s="45"/>
    </row>
    <row r="814" spans="1:38" outlineLevel="2" x14ac:dyDescent="0.25">
      <c r="A814" s="45"/>
      <c r="B814" s="54"/>
      <c r="C814" s="47">
        <f t="shared" si="204"/>
        <v>3</v>
      </c>
      <c r="D814" s="73"/>
      <c r="E814" s="70"/>
      <c r="F814" s="70" t="s">
        <v>1688</v>
      </c>
      <c r="G814" s="73"/>
      <c r="H814" s="76" t="s">
        <v>1689</v>
      </c>
      <c r="I814" s="96" t="s">
        <v>764</v>
      </c>
      <c r="J814" s="96" t="s">
        <v>1224</v>
      </c>
      <c r="K814" s="76"/>
      <c r="L814" s="76"/>
      <c r="M814" s="76"/>
      <c r="N814" s="76"/>
      <c r="O814" s="76"/>
      <c r="P814" s="76"/>
      <c r="Q814" s="76"/>
      <c r="R814" s="76"/>
      <c r="S814" s="76"/>
      <c r="T814" s="76"/>
      <c r="U814" s="97">
        <v>-0.95650000000000002</v>
      </c>
      <c r="V814" s="262">
        <f t="shared" si="207"/>
        <v>-0.95650000000000002</v>
      </c>
      <c r="W814" s="262">
        <f t="shared" si="207"/>
        <v>-0.95650000000000002</v>
      </c>
      <c r="X814" s="262">
        <f t="shared" si="207"/>
        <v>-0.95650000000000002</v>
      </c>
      <c r="Y814" s="97">
        <v>-1.0820000000000001</v>
      </c>
      <c r="Z814" s="262">
        <f t="shared" si="207"/>
        <v>-1.0820000000000001</v>
      </c>
      <c r="AA814" s="262">
        <f t="shared" si="207"/>
        <v>-1.0820000000000001</v>
      </c>
      <c r="AB814" s="262">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1690</v>
      </c>
      <c r="G815" s="73"/>
      <c r="H815" s="76" t="s">
        <v>1691</v>
      </c>
      <c r="I815" s="96" t="s">
        <v>764</v>
      </c>
      <c r="J815" s="96" t="s">
        <v>1224</v>
      </c>
      <c r="K815" s="76"/>
      <c r="L815" s="76"/>
      <c r="M815" s="76"/>
      <c r="N815" s="76"/>
      <c r="O815" s="76"/>
      <c r="P815" s="76"/>
      <c r="Q815" s="76"/>
      <c r="R815" s="76"/>
      <c r="S815" s="76"/>
      <c r="T815" s="76"/>
      <c r="U815" s="97">
        <v>-1.7614000000000001</v>
      </c>
      <c r="V815" s="262">
        <f t="shared" si="207"/>
        <v>-1.7614000000000001</v>
      </c>
      <c r="W815" s="262">
        <f t="shared" si="207"/>
        <v>-1.7614000000000001</v>
      </c>
      <c r="X815" s="262">
        <f t="shared" si="207"/>
        <v>-1.7614000000000001</v>
      </c>
      <c r="Y815" s="97">
        <v>-2.0059999999999998</v>
      </c>
      <c r="Z815" s="262">
        <f t="shared" si="207"/>
        <v>-2.0059999999999998</v>
      </c>
      <c r="AA815" s="262">
        <f t="shared" si="207"/>
        <v>-2.0059999999999998</v>
      </c>
      <c r="AB815" s="262">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1692</v>
      </c>
      <c r="G816" s="73"/>
      <c r="H816" s="76" t="s">
        <v>2267</v>
      </c>
      <c r="I816" s="96" t="s">
        <v>570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1694</v>
      </c>
      <c r="G817" s="73"/>
      <c r="H817" s="76" t="s">
        <v>1573</v>
      </c>
      <c r="I817" s="96" t="s">
        <v>570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1695</v>
      </c>
      <c r="G818" s="73"/>
      <c r="H818" s="76" t="s">
        <v>1575</v>
      </c>
      <c r="I818" s="96" t="s">
        <v>570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1696</v>
      </c>
      <c r="G819" s="73"/>
      <c r="H819" s="76" t="s">
        <v>1577</v>
      </c>
      <c r="I819" s="96" t="s">
        <v>570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1697</v>
      </c>
      <c r="G820" s="73"/>
      <c r="H820" s="76" t="s">
        <v>1698</v>
      </c>
      <c r="I820" s="96" t="s">
        <v>570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1699</v>
      </c>
      <c r="G821" s="73"/>
      <c r="H821" s="76" t="s">
        <v>1700</v>
      </c>
      <c r="I821" s="96" t="s">
        <v>570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1701</v>
      </c>
      <c r="G822" s="73"/>
      <c r="H822" s="76" t="s">
        <v>1702</v>
      </c>
      <c r="I822" s="96" t="s">
        <v>570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1703</v>
      </c>
      <c r="G823" s="73"/>
      <c r="H823" s="76" t="s">
        <v>1704</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1705</v>
      </c>
      <c r="G824" s="73"/>
      <c r="H824" s="76" t="s">
        <v>1571</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1706</v>
      </c>
      <c r="G825" s="73"/>
      <c r="H825" s="76" t="s">
        <v>1573</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1707</v>
      </c>
      <c r="G826" s="73"/>
      <c r="H826" s="76" t="s">
        <v>1575</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1708</v>
      </c>
      <c r="G827" s="73"/>
      <c r="H827" s="76" t="s">
        <v>1577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2603</v>
      </c>
      <c r="G828" s="73"/>
      <c r="H828" s="76" t="s">
        <v>1571</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2604</v>
      </c>
      <c r="G829" s="73"/>
      <c r="H829" s="76" t="s">
        <v>1573</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2605</v>
      </c>
      <c r="G830" s="73"/>
      <c r="H830" s="76" t="s">
        <v>1575</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2606</v>
      </c>
      <c r="G831" s="73"/>
      <c r="H831" s="76" t="s">
        <v>1577</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2607</v>
      </c>
      <c r="G832" s="73"/>
      <c r="H832" s="76" t="s">
        <v>1571</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2608</v>
      </c>
      <c r="G833" s="73"/>
      <c r="H833" s="76" t="s">
        <v>1573</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2609</v>
      </c>
      <c r="G834" s="73"/>
      <c r="H834" s="76" t="s">
        <v>1575</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2610</v>
      </c>
      <c r="G835" s="73"/>
      <c r="H835" s="76" t="s">
        <v>1577</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2611</v>
      </c>
      <c r="G836" s="73"/>
      <c r="H836" s="76" t="s">
        <v>2821</v>
      </c>
      <c r="I836" s="96" t="s">
        <v>570</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2612</v>
      </c>
      <c r="G837" s="73"/>
      <c r="H837" s="76" t="s">
        <v>2823</v>
      </c>
      <c r="I837" s="96" t="s">
        <v>570</v>
      </c>
      <c r="J837" s="96"/>
      <c r="K837" s="76"/>
      <c r="L837" s="76"/>
      <c r="M837" s="76"/>
      <c r="N837" s="76"/>
      <c r="O837" s="76"/>
      <c r="P837" s="76"/>
      <c r="Q837" s="76"/>
      <c r="R837" s="76"/>
      <c r="S837" s="76"/>
      <c r="T837" s="76"/>
      <c r="U837" s="97">
        <v>0</v>
      </c>
      <c r="V837" s="97">
        <v>0</v>
      </c>
      <c r="W837" s="97">
        <v>0</v>
      </c>
      <c r="X837" s="262">
        <f t="shared" ref="X837:X839" si="208">W837</f>
        <v>0</v>
      </c>
      <c r="Y837" s="262">
        <f t="shared" ref="Y837:Y839" si="209">X837</f>
        <v>0</v>
      </c>
      <c r="Z837" s="262">
        <f t="shared" ref="Z837:Z839" si="210">Y837</f>
        <v>0</v>
      </c>
      <c r="AA837" s="262">
        <f t="shared" ref="AA837:AA839" si="211">Z837</f>
        <v>0</v>
      </c>
      <c r="AB837" s="262">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2613</v>
      </c>
      <c r="G838" s="73"/>
      <c r="H838" s="76" t="s">
        <v>2822</v>
      </c>
      <c r="I838" s="96" t="s">
        <v>570</v>
      </c>
      <c r="J838" s="96"/>
      <c r="K838" s="76"/>
      <c r="L838" s="76"/>
      <c r="M838" s="76"/>
      <c r="N838" s="76"/>
      <c r="O838" s="76"/>
      <c r="P838" s="76"/>
      <c r="Q838" s="76"/>
      <c r="R838" s="76"/>
      <c r="S838" s="76"/>
      <c r="T838" s="76"/>
      <c r="U838" s="97">
        <v>0</v>
      </c>
      <c r="V838" s="97">
        <v>0</v>
      </c>
      <c r="W838" s="97">
        <v>0</v>
      </c>
      <c r="X838" s="262">
        <f t="shared" si="208"/>
        <v>0</v>
      </c>
      <c r="Y838" s="262">
        <f t="shared" si="209"/>
        <v>0</v>
      </c>
      <c r="Z838" s="262">
        <f t="shared" si="210"/>
        <v>0</v>
      </c>
      <c r="AA838" s="262">
        <f t="shared" si="211"/>
        <v>0</v>
      </c>
      <c r="AB838" s="262">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2614</v>
      </c>
      <c r="G839" s="73"/>
      <c r="H839" s="76" t="s">
        <v>2824</v>
      </c>
      <c r="I839" s="96" t="s">
        <v>570</v>
      </c>
      <c r="J839" s="96"/>
      <c r="K839" s="76"/>
      <c r="L839" s="76"/>
      <c r="M839" s="76"/>
      <c r="N839" s="76"/>
      <c r="O839" s="76"/>
      <c r="P839" s="76"/>
      <c r="Q839" s="76"/>
      <c r="R839" s="76"/>
      <c r="S839" s="76"/>
      <c r="T839" s="76"/>
      <c r="U839" s="97">
        <v>0</v>
      </c>
      <c r="V839" s="97">
        <v>0</v>
      </c>
      <c r="W839" s="97">
        <v>0</v>
      </c>
      <c r="X839" s="262">
        <f t="shared" si="208"/>
        <v>0</v>
      </c>
      <c r="Y839" s="262">
        <f t="shared" si="209"/>
        <v>0</v>
      </c>
      <c r="Z839" s="262">
        <f t="shared" si="210"/>
        <v>0</v>
      </c>
      <c r="AA839" s="262">
        <f t="shared" si="211"/>
        <v>0</v>
      </c>
      <c r="AB839" s="262">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2615</v>
      </c>
      <c r="G840" s="73"/>
      <c r="H840" s="76" t="s">
        <v>2880</v>
      </c>
      <c r="I840" s="96" t="s">
        <v>570</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2892</v>
      </c>
      <c r="AE840" s="76"/>
      <c r="AF840" s="76">
        <v>1</v>
      </c>
      <c r="AG840" s="76">
        <v>1</v>
      </c>
      <c r="AH840" s="73"/>
      <c r="AI840" s="57"/>
      <c r="AJ840" s="45"/>
      <c r="AK840" s="45"/>
      <c r="AL840" s="45"/>
    </row>
    <row r="841" spans="1:38" outlineLevel="3" x14ac:dyDescent="0.25">
      <c r="A841" s="45"/>
      <c r="B841" s="54"/>
      <c r="C841" s="47">
        <f t="shared" si="204"/>
        <v>3</v>
      </c>
      <c r="D841" s="73"/>
      <c r="E841" s="70"/>
      <c r="F841" s="70" t="s">
        <v>2616</v>
      </c>
      <c r="G841" s="73"/>
      <c r="H841" s="76" t="s">
        <v>2823</v>
      </c>
      <c r="I841" s="96" t="s">
        <v>570</v>
      </c>
      <c r="J841" s="96"/>
      <c r="K841" s="76"/>
      <c r="L841" s="76"/>
      <c r="M841" s="76"/>
      <c r="N841" s="76"/>
      <c r="O841" s="76"/>
      <c r="P841" s="76"/>
      <c r="Q841" s="76"/>
      <c r="R841" s="76"/>
      <c r="S841" s="76"/>
      <c r="T841" s="76"/>
      <c r="U841" s="97">
        <v>-0.95</v>
      </c>
      <c r="V841" s="262">
        <f t="shared" ref="V841:V843" si="213">U841</f>
        <v>-0.95</v>
      </c>
      <c r="W841" s="262">
        <f t="shared" ref="W841:W843" si="214">V841</f>
        <v>-0.95</v>
      </c>
      <c r="X841" s="262">
        <f t="shared" ref="X841:X843" si="215">Y841</f>
        <v>-0.95</v>
      </c>
      <c r="Y841" s="97">
        <v>-0.95</v>
      </c>
      <c r="Z841" s="262">
        <f t="shared" ref="Z841:Z843" si="216">Y841</f>
        <v>-0.95</v>
      </c>
      <c r="AA841" s="262">
        <f t="shared" ref="AA841:AA843" si="217">Z841</f>
        <v>-0.95</v>
      </c>
      <c r="AB841" s="262">
        <f t="shared" ref="AB841:AB843" si="218">AA841</f>
        <v>-0.95</v>
      </c>
      <c r="AC841" s="76"/>
      <c r="AD841" s="97" t="s">
        <v>2881</v>
      </c>
      <c r="AE841" s="76"/>
      <c r="AF841" s="97">
        <v>1</v>
      </c>
      <c r="AG841" s="97">
        <v>1</v>
      </c>
      <c r="AH841" s="73"/>
      <c r="AI841" s="57"/>
      <c r="AJ841" s="45"/>
      <c r="AK841" s="45"/>
      <c r="AL841" s="45"/>
    </row>
    <row r="842" spans="1:38" outlineLevel="3" x14ac:dyDescent="0.25">
      <c r="A842" s="45"/>
      <c r="B842" s="54"/>
      <c r="C842" s="47">
        <f t="shared" si="204"/>
        <v>3</v>
      </c>
      <c r="D842" s="73"/>
      <c r="E842" s="70"/>
      <c r="F842" s="70" t="s">
        <v>2617</v>
      </c>
      <c r="G842" s="73"/>
      <c r="H842" s="76" t="s">
        <v>2822</v>
      </c>
      <c r="I842" s="96" t="s">
        <v>570</v>
      </c>
      <c r="J842" s="96"/>
      <c r="K842" s="76"/>
      <c r="L842" s="76"/>
      <c r="M842" s="76"/>
      <c r="N842" s="76"/>
      <c r="O842" s="76"/>
      <c r="P842" s="76"/>
      <c r="Q842" s="76"/>
      <c r="R842" s="76"/>
      <c r="S842" s="76"/>
      <c r="T842" s="76"/>
      <c r="U842" s="97">
        <v>0</v>
      </c>
      <c r="V842" s="262">
        <f t="shared" si="213"/>
        <v>0</v>
      </c>
      <c r="W842" s="262">
        <f t="shared" si="214"/>
        <v>0</v>
      </c>
      <c r="X842" s="262">
        <f t="shared" si="215"/>
        <v>0</v>
      </c>
      <c r="Y842" s="97">
        <v>0</v>
      </c>
      <c r="Z842" s="262">
        <f t="shared" si="216"/>
        <v>0</v>
      </c>
      <c r="AA842" s="262">
        <f t="shared" si="217"/>
        <v>0</v>
      </c>
      <c r="AB842" s="262">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2618</v>
      </c>
      <c r="G843" s="73"/>
      <c r="H843" s="76" t="s">
        <v>2824</v>
      </c>
      <c r="I843" s="96" t="s">
        <v>570</v>
      </c>
      <c r="J843" s="96"/>
      <c r="K843" s="76"/>
      <c r="L843" s="76"/>
      <c r="M843" s="76"/>
      <c r="N843" s="76"/>
      <c r="O843" s="76"/>
      <c r="P843" s="76"/>
      <c r="Q843" s="76"/>
      <c r="R843" s="76"/>
      <c r="S843" s="76"/>
      <c r="T843" s="76"/>
      <c r="U843" s="97">
        <f>-(-0.6546-1.1573)</f>
        <v>1.8119000000000001</v>
      </c>
      <c r="V843" s="262">
        <f t="shared" si="213"/>
        <v>1.8119000000000001</v>
      </c>
      <c r="W843" s="262">
        <f t="shared" si="214"/>
        <v>1.8119000000000001</v>
      </c>
      <c r="X843" s="262">
        <f t="shared" si="215"/>
        <v>0.65459999999999996</v>
      </c>
      <c r="Y843" s="97">
        <f>-(-0.6546)</f>
        <v>0.65459999999999996</v>
      </c>
      <c r="Z843" s="262">
        <f t="shared" si="216"/>
        <v>0.65459999999999996</v>
      </c>
      <c r="AA843" s="262">
        <f t="shared" si="217"/>
        <v>0.65459999999999996</v>
      </c>
      <c r="AB843" s="262">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2619</v>
      </c>
      <c r="G844" s="73"/>
      <c r="H844" s="76" t="s">
        <v>2627</v>
      </c>
      <c r="I844" s="96" t="s">
        <v>570</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1" t="s">
        <v>2635</v>
      </c>
      <c r="AE844" s="76"/>
      <c r="AF844" s="76">
        <v>1</v>
      </c>
      <c r="AG844" s="76">
        <v>1</v>
      </c>
      <c r="AH844" s="73"/>
      <c r="AI844" s="57"/>
      <c r="AJ844" s="45"/>
      <c r="AK844" s="45"/>
      <c r="AL844" s="45"/>
    </row>
    <row r="845" spans="1:38" outlineLevel="2" x14ac:dyDescent="0.25">
      <c r="A845" s="45"/>
      <c r="B845" s="54"/>
      <c r="C845" s="47">
        <f t="shared" si="204"/>
        <v>3</v>
      </c>
      <c r="D845" s="73"/>
      <c r="E845" s="70"/>
      <c r="F845" s="70" t="s">
        <v>2620</v>
      </c>
      <c r="G845" s="73"/>
      <c r="H845" s="76" t="s">
        <v>1582</v>
      </c>
      <c r="I845" s="96" t="s">
        <v>570</v>
      </c>
      <c r="J845" s="96"/>
      <c r="K845" s="76"/>
      <c r="L845" s="76"/>
      <c r="M845" s="76"/>
      <c r="N845" s="76"/>
      <c r="O845" s="76"/>
      <c r="P845" s="76"/>
      <c r="Q845" s="76"/>
      <c r="R845" s="76"/>
      <c r="S845" s="76"/>
      <c r="T845" s="76"/>
      <c r="U845" s="97">
        <v>2.2589999999999999</v>
      </c>
      <c r="V845" s="262">
        <f t="shared" ref="V845:V847" si="219">U845</f>
        <v>2.2589999999999999</v>
      </c>
      <c r="W845" s="262">
        <f t="shared" ref="V845:W848" si="220">V845</f>
        <v>2.2589999999999999</v>
      </c>
      <c r="X845" s="262">
        <f>Y845</f>
        <v>1.962</v>
      </c>
      <c r="Y845" s="97">
        <v>1.962</v>
      </c>
      <c r="Z845" s="262">
        <f t="shared" ref="Z845:Z848" si="221">Y845</f>
        <v>1.962</v>
      </c>
      <c r="AA845" s="262">
        <f t="shared" ref="AA845:AA848" si="222">Z845</f>
        <v>1.962</v>
      </c>
      <c r="AB845" s="262">
        <f t="shared" ref="AB845:AB848" si="223">AA845</f>
        <v>1.962</v>
      </c>
      <c r="AC845" s="76"/>
      <c r="AD845" s="97" t="s">
        <v>2631</v>
      </c>
      <c r="AE845" s="76"/>
      <c r="AF845" s="97">
        <v>1</v>
      </c>
      <c r="AG845" s="97">
        <v>1</v>
      </c>
      <c r="AH845" s="73"/>
      <c r="AI845" s="57"/>
      <c r="AJ845" s="45"/>
      <c r="AK845" s="45"/>
      <c r="AL845" s="45"/>
    </row>
    <row r="846" spans="1:38" outlineLevel="2" x14ac:dyDescent="0.25">
      <c r="A846" s="45"/>
      <c r="B846" s="54"/>
      <c r="C846" s="47">
        <f t="shared" si="204"/>
        <v>3</v>
      </c>
      <c r="D846" s="73"/>
      <c r="E846" s="70"/>
      <c r="F846" s="70" t="s">
        <v>2621</v>
      </c>
      <c r="G846" s="73"/>
      <c r="H846" s="76" t="s">
        <v>1586</v>
      </c>
      <c r="I846" s="96" t="s">
        <v>570</v>
      </c>
      <c r="J846" s="96"/>
      <c r="K846" s="76"/>
      <c r="L846" s="76"/>
      <c r="M846" s="76"/>
      <c r="N846" s="76"/>
      <c r="O846" s="76"/>
      <c r="P846" s="76"/>
      <c r="Q846" s="76"/>
      <c r="R846" s="76"/>
      <c r="S846" s="76"/>
      <c r="T846" s="76"/>
      <c r="U846" s="97">
        <v>6</v>
      </c>
      <c r="V846" s="262">
        <f t="shared" si="219"/>
        <v>6</v>
      </c>
      <c r="W846" s="262">
        <f t="shared" si="220"/>
        <v>6</v>
      </c>
      <c r="X846" s="262">
        <f t="shared" ref="X846:X848" si="224">Y846</f>
        <v>5.6980000000000004</v>
      </c>
      <c r="Y846" s="97">
        <v>5.6980000000000004</v>
      </c>
      <c r="Z846" s="262">
        <f t="shared" si="221"/>
        <v>5.6980000000000004</v>
      </c>
      <c r="AA846" s="262">
        <f t="shared" si="222"/>
        <v>5.6980000000000004</v>
      </c>
      <c r="AB846" s="262">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2622</v>
      </c>
      <c r="G847" s="73"/>
      <c r="H847" s="76" t="s">
        <v>1588</v>
      </c>
      <c r="I847" s="96" t="s">
        <v>570</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1" t="s">
        <v>2634</v>
      </c>
      <c r="AE847" s="76"/>
      <c r="AF847" s="76">
        <v>1</v>
      </c>
      <c r="AG847" s="76">
        <v>1</v>
      </c>
      <c r="AH847" s="73"/>
      <c r="AI847" s="57"/>
      <c r="AJ847" s="45"/>
      <c r="AK847" s="45"/>
      <c r="AL847" s="45"/>
    </row>
    <row r="848" spans="1:38" outlineLevel="2" x14ac:dyDescent="0.25">
      <c r="A848" s="45"/>
      <c r="B848" s="54"/>
      <c r="C848" s="47">
        <f t="shared" si="204"/>
        <v>3</v>
      </c>
      <c r="D848" s="73"/>
      <c r="E848" s="70"/>
      <c r="F848" s="70" t="s">
        <v>2623</v>
      </c>
      <c r="G848" s="73"/>
      <c r="H848" s="76" t="s">
        <v>2692</v>
      </c>
      <c r="I848" s="96" t="s">
        <v>570</v>
      </c>
      <c r="J848" s="96"/>
      <c r="K848" s="76"/>
      <c r="L848" s="76"/>
      <c r="M848" s="76"/>
      <c r="N848" s="76"/>
      <c r="O848" s="76"/>
      <c r="P848" s="76"/>
      <c r="Q848" s="76"/>
      <c r="R848" s="76"/>
      <c r="S848" s="76"/>
      <c r="T848" s="76"/>
      <c r="U848" s="97">
        <v>1.302</v>
      </c>
      <c r="V848" s="262">
        <f t="shared" si="220"/>
        <v>1.302</v>
      </c>
      <c r="W848" s="262">
        <f t="shared" si="220"/>
        <v>1.302</v>
      </c>
      <c r="X848" s="262">
        <f t="shared" si="224"/>
        <v>-7.6999999999999999E-2</v>
      </c>
      <c r="Y848" s="97">
        <v>-7.6999999999999999E-2</v>
      </c>
      <c r="Z848" s="262">
        <f t="shared" si="221"/>
        <v>-7.6999999999999999E-2</v>
      </c>
      <c r="AA848" s="262">
        <f t="shared" si="222"/>
        <v>-7.6999999999999999E-2</v>
      </c>
      <c r="AB848" s="262">
        <f t="shared" si="223"/>
        <v>-7.6999999999999999E-2</v>
      </c>
      <c r="AC848" s="76"/>
      <c r="AD848" s="97" t="s">
        <v>2858</v>
      </c>
      <c r="AE848" s="76"/>
      <c r="AF848" s="76">
        <v>1</v>
      </c>
      <c r="AG848" s="76">
        <v>1</v>
      </c>
      <c r="AH848" s="73"/>
      <c r="AI848" s="57"/>
      <c r="AJ848" s="45"/>
      <c r="AK848" s="45"/>
      <c r="AL848" s="45"/>
    </row>
    <row r="849" spans="1:38" outlineLevel="2" x14ac:dyDescent="0.25">
      <c r="A849" s="45"/>
      <c r="B849" s="54"/>
      <c r="C849" s="47">
        <f t="shared" si="204"/>
        <v>3</v>
      </c>
      <c r="D849" s="73"/>
      <c r="E849" s="70"/>
      <c r="F849" s="70" t="s">
        <v>2624</v>
      </c>
      <c r="G849" s="73"/>
      <c r="H849" s="76" t="s">
        <v>2628</v>
      </c>
      <c r="I849" s="96" t="s">
        <v>570</v>
      </c>
      <c r="J849" s="96"/>
      <c r="K849" s="76"/>
      <c r="L849" s="76"/>
      <c r="M849" s="76"/>
      <c r="N849" s="76"/>
      <c r="O849" s="76"/>
      <c r="P849" s="76"/>
      <c r="Q849" s="76"/>
      <c r="R849" s="76"/>
      <c r="S849" s="76"/>
      <c r="T849" s="76"/>
      <c r="U849" s="97">
        <v>4.9800000000000004</v>
      </c>
      <c r="V849" s="262">
        <f t="shared" ref="V849:W849" si="225">U849</f>
        <v>4.9800000000000004</v>
      </c>
      <c r="W849" s="262">
        <f t="shared" si="225"/>
        <v>4.9800000000000004</v>
      </c>
      <c r="X849" s="262">
        <f t="shared" ref="X849:X851" si="226">Y849</f>
        <v>2.4529999999999998</v>
      </c>
      <c r="Y849" s="97">
        <v>2.4529999999999998</v>
      </c>
      <c r="Z849" s="262">
        <f t="shared" ref="Z849:AA849" si="227">Y849</f>
        <v>2.4529999999999998</v>
      </c>
      <c r="AA849" s="262">
        <f t="shared" si="227"/>
        <v>2.4529999999999998</v>
      </c>
      <c r="AB849" s="262">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2625</v>
      </c>
      <c r="G850" s="73"/>
      <c r="H850" s="76" t="s">
        <v>2629</v>
      </c>
      <c r="I850" s="96" t="s">
        <v>570</v>
      </c>
      <c r="J850" s="96"/>
      <c r="K850" s="76"/>
      <c r="L850" s="76"/>
      <c r="M850" s="76"/>
      <c r="N850" s="76"/>
      <c r="O850" s="76"/>
      <c r="P850" s="76"/>
      <c r="Q850" s="76"/>
      <c r="R850" s="76"/>
      <c r="S850" s="76"/>
      <c r="T850" s="76"/>
      <c r="U850" s="97">
        <v>7.33</v>
      </c>
      <c r="V850" s="262">
        <f t="shared" ref="V850:W850" si="229">U850</f>
        <v>7.33</v>
      </c>
      <c r="W850" s="262">
        <f t="shared" si="229"/>
        <v>7.33</v>
      </c>
      <c r="X850" s="262">
        <f t="shared" si="226"/>
        <v>4.9029999999999996</v>
      </c>
      <c r="Y850" s="97">
        <v>4.9029999999999996</v>
      </c>
      <c r="Z850" s="262">
        <f t="shared" ref="Z850:AB850" si="230">Y850</f>
        <v>4.9029999999999996</v>
      </c>
      <c r="AA850" s="262">
        <f t="shared" si="230"/>
        <v>4.9029999999999996</v>
      </c>
      <c r="AB850" s="262">
        <f t="shared" si="230"/>
        <v>4.9029999999999996</v>
      </c>
      <c r="AC850" s="76"/>
      <c r="AD850" s="97" t="s">
        <v>2896</v>
      </c>
      <c r="AE850" s="76"/>
      <c r="AF850" s="97">
        <v>1</v>
      </c>
      <c r="AG850" s="97">
        <v>1</v>
      </c>
      <c r="AH850" s="73"/>
      <c r="AI850" s="57"/>
      <c r="AJ850" s="45"/>
      <c r="AK850" s="45"/>
      <c r="AL850" s="45"/>
    </row>
    <row r="851" spans="1:38" outlineLevel="2" x14ac:dyDescent="0.25">
      <c r="A851" s="45"/>
      <c r="B851" s="54"/>
      <c r="C851" s="47">
        <f t="shared" si="204"/>
        <v>3</v>
      </c>
      <c r="D851" s="73"/>
      <c r="E851" s="70"/>
      <c r="F851" s="70" t="s">
        <v>2626</v>
      </c>
      <c r="G851" s="73"/>
      <c r="H851" s="76" t="s">
        <v>2630</v>
      </c>
      <c r="I851" s="96" t="s">
        <v>570</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1" t="s">
        <v>2634</v>
      </c>
      <c r="AE851" s="76"/>
      <c r="AF851" s="76">
        <v>1</v>
      </c>
      <c r="AG851" s="76">
        <v>1</v>
      </c>
      <c r="AH851" s="73"/>
      <c r="AI851" s="57"/>
      <c r="AJ851" s="45"/>
      <c r="AK851" s="45"/>
      <c r="AL851" s="45"/>
    </row>
    <row r="852" spans="1:38" outlineLevel="1" x14ac:dyDescent="0.25">
      <c r="A852" s="45"/>
      <c r="B852" s="54"/>
      <c r="C852" s="47">
        <f>INT($C$29)+1</f>
        <v>2</v>
      </c>
      <c r="D852" s="73"/>
      <c r="E852" s="70"/>
      <c r="F852" s="272" t="s">
        <v>1709</v>
      </c>
      <c r="G852" s="73"/>
      <c r="H852" s="253" t="s">
        <v>1710</v>
      </c>
      <c r="I852" s="136"/>
      <c r="J852" s="136" t="s">
        <v>1124</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863</v>
      </c>
      <c r="F853" s="70" t="s">
        <v>1711</v>
      </c>
      <c r="G853" s="73"/>
      <c r="H853" s="76" t="s">
        <v>1712</v>
      </c>
      <c r="I853" s="96" t="s">
        <v>737</v>
      </c>
      <c r="J853" s="96"/>
      <c r="K853" s="76"/>
      <c r="L853" s="76"/>
      <c r="M853" s="76"/>
      <c r="N853" s="76"/>
      <c r="O853" s="76"/>
      <c r="P853" s="76"/>
      <c r="Q853" s="76"/>
      <c r="R853" s="76" t="s">
        <v>744</v>
      </c>
      <c r="S853" s="76" t="s">
        <v>867</v>
      </c>
      <c r="T853" s="76"/>
      <c r="U853" s="76">
        <v>0</v>
      </c>
      <c r="V853" s="76">
        <v>0</v>
      </c>
      <c r="W853" s="76">
        <v>0</v>
      </c>
      <c r="X853" s="76">
        <v>0</v>
      </c>
      <c r="Y853" s="76">
        <v>0</v>
      </c>
      <c r="Z853" s="76">
        <v>0</v>
      </c>
      <c r="AA853" s="76">
        <v>0</v>
      </c>
      <c r="AB853" s="76">
        <v>0</v>
      </c>
      <c r="AC853" s="76"/>
      <c r="AD853" s="271" t="s">
        <v>1713</v>
      </c>
      <c r="AE853" s="76"/>
      <c r="AF853" s="76">
        <v>1</v>
      </c>
      <c r="AG853" s="76">
        <v>1</v>
      </c>
      <c r="AH853" s="73"/>
      <c r="AI853" s="57"/>
      <c r="AJ853" s="45"/>
      <c r="AK853" s="45"/>
      <c r="AL853" s="45"/>
    </row>
    <row r="854" spans="1:38" outlineLevel="2" x14ac:dyDescent="0.25">
      <c r="A854" s="45"/>
      <c r="B854" s="54"/>
      <c r="C854" s="47">
        <f>INT($C$29)+2</f>
        <v>3</v>
      </c>
      <c r="D854" s="73"/>
      <c r="E854" s="70"/>
      <c r="F854" s="70" t="s">
        <v>1714</v>
      </c>
      <c r="G854" s="73"/>
      <c r="H854" s="76" t="s">
        <v>1715</v>
      </c>
      <c r="I854" s="96" t="s">
        <v>737</v>
      </c>
      <c r="J854" s="96"/>
      <c r="K854" s="97">
        <v>0.38900000000000001</v>
      </c>
      <c r="L854" s="97">
        <v>0.48599999999999999</v>
      </c>
      <c r="M854" s="97">
        <v>0.375</v>
      </c>
      <c r="N854" s="97">
        <v>0.375</v>
      </c>
      <c r="O854" s="97">
        <v>0.375</v>
      </c>
      <c r="P854" s="97">
        <v>0.5</v>
      </c>
      <c r="Q854" s="76"/>
      <c r="R854" s="76" t="s">
        <v>744</v>
      </c>
      <c r="S854" s="76" t="s">
        <v>867</v>
      </c>
      <c r="T854" s="76"/>
      <c r="U854" s="260">
        <f t="shared" ref="U854:AB856" si="233">INDEX($K854:$Q854,1,U$43)</f>
        <v>0.38900000000000001</v>
      </c>
      <c r="V854" s="260">
        <f t="shared" si="233"/>
        <v>0.38900000000000001</v>
      </c>
      <c r="W854" s="260">
        <f t="shared" si="233"/>
        <v>0.38900000000000001</v>
      </c>
      <c r="X854" s="260">
        <f t="shared" si="233"/>
        <v>0.48599999999999999</v>
      </c>
      <c r="Y854" s="260">
        <f t="shared" si="233"/>
        <v>0.48599999999999999</v>
      </c>
      <c r="Z854" s="260">
        <f t="shared" si="233"/>
        <v>0.48599999999999999</v>
      </c>
      <c r="AA854" s="260">
        <f t="shared" si="233"/>
        <v>0.48599999999999999</v>
      </c>
      <c r="AB854" s="260">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1711</v>
      </c>
      <c r="G855" s="73"/>
      <c r="H855" s="76" t="s">
        <v>1716</v>
      </c>
      <c r="I855" s="96" t="s">
        <v>737</v>
      </c>
      <c r="J855" s="96"/>
      <c r="K855" s="97">
        <v>0.622</v>
      </c>
      <c r="L855" s="97">
        <v>0.77800000000000002</v>
      </c>
      <c r="M855" s="76"/>
      <c r="N855" s="76"/>
      <c r="O855" s="76"/>
      <c r="P855" s="76"/>
      <c r="Q855" s="76"/>
      <c r="R855" s="76" t="s">
        <v>744</v>
      </c>
      <c r="S855" s="76" t="s">
        <v>867</v>
      </c>
      <c r="T855" s="76"/>
      <c r="U855" s="260">
        <f t="shared" si="233"/>
        <v>0.622</v>
      </c>
      <c r="V855" s="260">
        <f t="shared" si="233"/>
        <v>0.622</v>
      </c>
      <c r="W855" s="260">
        <f t="shared" si="233"/>
        <v>0.622</v>
      </c>
      <c r="X855" s="260">
        <f t="shared" si="233"/>
        <v>0.77800000000000002</v>
      </c>
      <c r="Y855" s="260">
        <f t="shared" si="233"/>
        <v>0.77800000000000002</v>
      </c>
      <c r="Z855" s="260">
        <f t="shared" si="233"/>
        <v>0.77800000000000002</v>
      </c>
      <c r="AA855" s="260">
        <f t="shared" si="233"/>
        <v>0.77800000000000002</v>
      </c>
      <c r="AB855" s="260">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1717</v>
      </c>
      <c r="G856" s="73"/>
      <c r="H856" s="76" t="s">
        <v>1718</v>
      </c>
      <c r="I856" s="96" t="s">
        <v>737</v>
      </c>
      <c r="J856" s="96"/>
      <c r="K856" s="97">
        <v>0.746</v>
      </c>
      <c r="L856" s="97">
        <v>0.93400000000000005</v>
      </c>
      <c r="M856" s="76"/>
      <c r="N856" s="76"/>
      <c r="O856" s="76"/>
      <c r="P856" s="76"/>
      <c r="Q856" s="76"/>
      <c r="R856" s="76" t="s">
        <v>744</v>
      </c>
      <c r="S856" s="76" t="s">
        <v>867</v>
      </c>
      <c r="T856" s="76"/>
      <c r="U856" s="260">
        <f t="shared" si="233"/>
        <v>0.746</v>
      </c>
      <c r="V856" s="260">
        <f t="shared" si="233"/>
        <v>0.746</v>
      </c>
      <c r="W856" s="260">
        <f t="shared" si="233"/>
        <v>0.746</v>
      </c>
      <c r="X856" s="260">
        <f t="shared" si="233"/>
        <v>0.93400000000000005</v>
      </c>
      <c r="Y856" s="260">
        <f t="shared" si="233"/>
        <v>0.93400000000000005</v>
      </c>
      <c r="Z856" s="260">
        <f t="shared" si="233"/>
        <v>0.93400000000000005</v>
      </c>
      <c r="AA856" s="260">
        <f t="shared" si="233"/>
        <v>0.93400000000000005</v>
      </c>
      <c r="AB856" s="260">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1719</v>
      </c>
      <c r="G857" s="73"/>
      <c r="H857" s="76" t="s">
        <v>1571</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1720</v>
      </c>
      <c r="G858" s="73"/>
      <c r="H858" s="76" t="s">
        <v>1573</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1721</v>
      </c>
      <c r="G859" s="73"/>
      <c r="H859" s="76" t="s">
        <v>1575</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1722</v>
      </c>
      <c r="G860" s="73"/>
      <c r="H860" s="76" t="s">
        <v>1577</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1723</v>
      </c>
      <c r="G861" s="73"/>
      <c r="H861" s="76" t="s">
        <v>1571</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1724</v>
      </c>
      <c r="G862" s="73"/>
      <c r="H862" s="76" t="s">
        <v>1573</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1725</v>
      </c>
      <c r="G863" s="73"/>
      <c r="H863" s="76" t="s">
        <v>1575</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1726</v>
      </c>
      <c r="G864" s="73"/>
      <c r="H864" s="76" t="s">
        <v>1577</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1727</v>
      </c>
      <c r="G865" s="73"/>
      <c r="H865" s="76" t="s">
        <v>1571</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1728</v>
      </c>
      <c r="G866" s="73"/>
      <c r="H866" s="76" t="s">
        <v>1573</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1729</v>
      </c>
      <c r="G867" s="73"/>
      <c r="H867" s="76" t="s">
        <v>1575</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1730</v>
      </c>
      <c r="G868" s="73"/>
      <c r="H868" s="76" t="s">
        <v>1577</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1731</v>
      </c>
      <c r="G869" s="73"/>
      <c r="H869" s="76" t="s">
        <v>1571</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1732</v>
      </c>
      <c r="G870" s="73"/>
      <c r="H870" s="76" t="s">
        <v>1573</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1733</v>
      </c>
      <c r="G871" s="73"/>
      <c r="H871" s="76" t="s">
        <v>1575</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1734</v>
      </c>
      <c r="G872" s="73"/>
      <c r="H872" s="76" t="s">
        <v>1577</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1735</v>
      </c>
      <c r="G873" s="73"/>
      <c r="H873" s="76" t="s">
        <v>1571</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1736</v>
      </c>
      <c r="G874" s="73"/>
      <c r="H874" s="76" t="s">
        <v>1573</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1737</v>
      </c>
      <c r="G875" s="73"/>
      <c r="H875" s="76" t="s">
        <v>1575</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1738</v>
      </c>
      <c r="G876" s="73"/>
      <c r="H876" s="76" t="s">
        <v>1577</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1739</v>
      </c>
      <c r="G877" s="73"/>
      <c r="H877" s="76" t="s">
        <v>1571</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1740</v>
      </c>
      <c r="G878" s="73"/>
      <c r="H878" s="76" t="s">
        <v>1573</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1741</v>
      </c>
      <c r="G879" s="73"/>
      <c r="H879" s="76" t="s">
        <v>1575</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1742</v>
      </c>
      <c r="G880" s="73"/>
      <c r="H880" s="76" t="s">
        <v>1577</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1743</v>
      </c>
      <c r="G881" s="73"/>
      <c r="H881" s="76" t="s">
        <v>1571</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1744</v>
      </c>
      <c r="G882" s="73"/>
      <c r="H882" s="76" t="s">
        <v>1573</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1745</v>
      </c>
      <c r="G883" s="73"/>
      <c r="H883" s="76" t="s">
        <v>1575</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1746</v>
      </c>
      <c r="G884" s="73"/>
      <c r="H884" s="76" t="s">
        <v>1577</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1747</v>
      </c>
      <c r="G885" s="73"/>
      <c r="H885" s="76" t="s">
        <v>1571</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1748</v>
      </c>
      <c r="G886" s="73"/>
      <c r="H886" s="76" t="s">
        <v>1573</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1749</v>
      </c>
      <c r="G887" s="73"/>
      <c r="H887" s="76" t="s">
        <v>1575</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1750</v>
      </c>
      <c r="G888" s="73"/>
      <c r="H888" s="76" t="s">
        <v>1577</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1751</v>
      </c>
      <c r="G889" s="73"/>
      <c r="H889" s="76" t="s">
        <v>1571</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1752</v>
      </c>
      <c r="G890" s="73"/>
      <c r="H890" s="76" t="s">
        <v>1573</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1753</v>
      </c>
      <c r="G891" s="73"/>
      <c r="H891" s="76" t="s">
        <v>1575</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1754</v>
      </c>
      <c r="G892" s="73"/>
      <c r="H892" s="76" t="s">
        <v>1577</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1755</v>
      </c>
      <c r="G893" s="73"/>
      <c r="H893" s="76" t="s">
        <v>1571</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1756</v>
      </c>
      <c r="G894" s="73"/>
      <c r="H894" s="76" t="s">
        <v>1573</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1757</v>
      </c>
      <c r="G895" s="73"/>
      <c r="H895" s="76" t="s">
        <v>1575</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1758</v>
      </c>
      <c r="G896" s="73"/>
      <c r="H896" s="76" t="s">
        <v>1577</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1759</v>
      </c>
      <c r="G897" s="73"/>
      <c r="H897" s="76" t="s">
        <v>1571</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1760</v>
      </c>
      <c r="G898" s="73"/>
      <c r="H898" s="76" t="s">
        <v>1573</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1761</v>
      </c>
      <c r="G899" s="73"/>
      <c r="H899" s="76" t="s">
        <v>1575</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1762</v>
      </c>
      <c r="G900" s="73"/>
      <c r="H900" s="76" t="s">
        <v>1577</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1763</v>
      </c>
      <c r="G901" s="73"/>
      <c r="H901" s="76" t="s">
        <v>1659</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1764</v>
      </c>
      <c r="G902" s="73"/>
      <c r="H902" s="76" t="s">
        <v>1573</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1765</v>
      </c>
      <c r="G903" s="73"/>
      <c r="H903" s="76" t="s">
        <v>1575</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1766</v>
      </c>
      <c r="G904" s="73"/>
      <c r="H904" s="76" t="s">
        <v>1577</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1767</v>
      </c>
      <c r="G905" s="73"/>
      <c r="H905" s="76" t="s">
        <v>1664</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1768</v>
      </c>
      <c r="G906" s="73"/>
      <c r="H906" s="76" t="s">
        <v>1573</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1769</v>
      </c>
      <c r="G907" s="73"/>
      <c r="H907" s="76" t="s">
        <v>1575</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1770</v>
      </c>
      <c r="G908" s="73"/>
      <c r="H908" s="76" t="s">
        <v>1577</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1771</v>
      </c>
      <c r="G909" s="73"/>
      <c r="H909" s="76" t="s">
        <v>1571</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1772</v>
      </c>
      <c r="G910" s="73"/>
      <c r="H910" s="76" t="s">
        <v>1573</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1773</v>
      </c>
      <c r="G911" s="73"/>
      <c r="H911" s="76" t="s">
        <v>1575</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1774</v>
      </c>
      <c r="G912" s="73"/>
      <c r="H912" s="76" t="s">
        <v>1577</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1775</v>
      </c>
      <c r="G913" s="73"/>
      <c r="H913" s="76" t="s">
        <v>1571</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1776</v>
      </c>
      <c r="G914" s="73"/>
      <c r="H914" s="76" t="s">
        <v>1573</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1777</v>
      </c>
      <c r="G915" s="73"/>
      <c r="H915" s="76" t="s">
        <v>1575</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1778</v>
      </c>
      <c r="G916" s="73"/>
      <c r="H916" s="76" t="s">
        <v>1577</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1779</v>
      </c>
      <c r="G917" s="73"/>
      <c r="H917" s="76" t="s">
        <v>1571</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1780</v>
      </c>
      <c r="G918" s="73"/>
      <c r="H918" s="76" t="s">
        <v>1573</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1781</v>
      </c>
      <c r="G919" s="73"/>
      <c r="H919" s="76" t="s">
        <v>1575</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1782</v>
      </c>
      <c r="G920" s="73"/>
      <c r="H920" s="76" t="s">
        <v>1577</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1783</v>
      </c>
      <c r="G921" s="73"/>
      <c r="H921" s="76" t="s">
        <v>1693</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1784</v>
      </c>
      <c r="G922" s="73"/>
      <c r="H922" s="76" t="s">
        <v>1573</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1785</v>
      </c>
      <c r="G923" s="73"/>
      <c r="H923" s="76" t="s">
        <v>1575</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1786</v>
      </c>
      <c r="G924" s="73"/>
      <c r="H924" s="76" t="s">
        <v>1577</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1787</v>
      </c>
      <c r="G925" s="73"/>
      <c r="H925" s="76" t="s">
        <v>1698</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1788</v>
      </c>
      <c r="G926" s="73"/>
      <c r="H926" s="76" t="s">
        <v>1700</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1789</v>
      </c>
      <c r="G927" s="73"/>
      <c r="H927" s="76" t="s">
        <v>1702</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1790</v>
      </c>
      <c r="G928" s="73"/>
      <c r="H928" s="76" t="s">
        <v>1704</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1791</v>
      </c>
      <c r="F929" s="70" t="s">
        <v>1792</v>
      </c>
      <c r="G929" s="73"/>
      <c r="H929" s="76" t="s">
        <v>1793</v>
      </c>
      <c r="I929" s="96" t="s">
        <v>570</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1" t="s">
        <v>1794</v>
      </c>
      <c r="AE929" s="76"/>
      <c r="AF929" s="76">
        <v>1</v>
      </c>
      <c r="AG929" s="76">
        <v>1</v>
      </c>
      <c r="AH929" s="73"/>
      <c r="AI929" s="57"/>
      <c r="AJ929" s="45"/>
      <c r="AK929" s="45"/>
      <c r="AL929" s="45"/>
    </row>
    <row r="930" spans="1:38" outlineLevel="2" x14ac:dyDescent="0.25">
      <c r="A930" s="45"/>
      <c r="B930" s="54"/>
      <c r="C930" s="47">
        <f>INT($C$29)+2</f>
        <v>3</v>
      </c>
      <c r="D930" s="73"/>
      <c r="E930" s="70"/>
      <c r="F930" s="70" t="s">
        <v>1795</v>
      </c>
      <c r="G930" s="73"/>
      <c r="H930" s="76" t="s">
        <v>1796</v>
      </c>
      <c r="I930" s="96" t="s">
        <v>570</v>
      </c>
      <c r="J930" s="96"/>
      <c r="K930" s="97">
        <v>0.52400000000000002</v>
      </c>
      <c r="L930" s="97">
        <v>0.65500000000000003</v>
      </c>
      <c r="M930" s="97">
        <v>0.41599999999999998</v>
      </c>
      <c r="N930" s="97">
        <v>0.41599999999999998</v>
      </c>
      <c r="O930" s="97">
        <v>0.41599999999999998</v>
      </c>
      <c r="P930" s="97">
        <v>0.57699999999999996</v>
      </c>
      <c r="Q930" s="76"/>
      <c r="R930" s="76" t="s">
        <v>618</v>
      </c>
      <c r="S930" s="76" t="s">
        <v>618</v>
      </c>
      <c r="T930" s="76"/>
      <c r="U930" s="260">
        <f t="shared" ref="U930:AB932" si="236">INDEX($K930:$Q930,1,U$43)</f>
        <v>0.52400000000000002</v>
      </c>
      <c r="V930" s="260">
        <f t="shared" si="236"/>
        <v>0.52400000000000002</v>
      </c>
      <c r="W930" s="260">
        <f t="shared" si="236"/>
        <v>0.52400000000000002</v>
      </c>
      <c r="X930" s="260">
        <f t="shared" si="236"/>
        <v>0.65500000000000003</v>
      </c>
      <c r="Y930" s="260">
        <f t="shared" si="236"/>
        <v>0.65500000000000003</v>
      </c>
      <c r="Z930" s="260">
        <f t="shared" si="236"/>
        <v>0.65500000000000003</v>
      </c>
      <c r="AA930" s="260">
        <f t="shared" si="236"/>
        <v>0.65500000000000003</v>
      </c>
      <c r="AB930" s="260">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1797</v>
      </c>
      <c r="G931" s="73"/>
      <c r="H931" s="76" t="s">
        <v>1798</v>
      </c>
      <c r="I931" s="96" t="s">
        <v>570</v>
      </c>
      <c r="J931" s="96"/>
      <c r="K931" s="97">
        <v>0.70699999999999996</v>
      </c>
      <c r="L931" s="97">
        <v>0.88400000000000001</v>
      </c>
      <c r="M931" s="76"/>
      <c r="N931" s="76"/>
      <c r="O931" s="76"/>
      <c r="P931" s="76"/>
      <c r="Q931" s="76"/>
      <c r="R931" s="76" t="s">
        <v>618</v>
      </c>
      <c r="S931" s="76"/>
      <c r="T931" s="76"/>
      <c r="U931" s="260">
        <f t="shared" si="236"/>
        <v>0.70699999999999996</v>
      </c>
      <c r="V931" s="260">
        <f t="shared" si="236"/>
        <v>0.70699999999999996</v>
      </c>
      <c r="W931" s="260">
        <f t="shared" si="236"/>
        <v>0.70699999999999996</v>
      </c>
      <c r="X931" s="260">
        <f t="shared" si="236"/>
        <v>0.88400000000000001</v>
      </c>
      <c r="Y931" s="260">
        <f t="shared" si="236"/>
        <v>0.88400000000000001</v>
      </c>
      <c r="Z931" s="260">
        <f t="shared" si="236"/>
        <v>0.88400000000000001</v>
      </c>
      <c r="AA931" s="260">
        <f t="shared" si="236"/>
        <v>0.88400000000000001</v>
      </c>
      <c r="AB931" s="260">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1799</v>
      </c>
      <c r="G932" s="73"/>
      <c r="H932" s="76" t="s">
        <v>1800</v>
      </c>
      <c r="I932" s="96" t="s">
        <v>570</v>
      </c>
      <c r="J932" s="96"/>
      <c r="K932" s="97">
        <v>0.89100000000000001</v>
      </c>
      <c r="L932" s="97">
        <v>1.1140000000000001</v>
      </c>
      <c r="M932" s="76"/>
      <c r="N932" s="76"/>
      <c r="O932" s="76"/>
      <c r="P932" s="76"/>
      <c r="Q932" s="76"/>
      <c r="R932" s="76" t="s">
        <v>618</v>
      </c>
      <c r="S932" s="76"/>
      <c r="T932" s="76"/>
      <c r="U932" s="260">
        <f t="shared" si="236"/>
        <v>0.89100000000000001</v>
      </c>
      <c r="V932" s="260">
        <f t="shared" si="236"/>
        <v>0.89100000000000001</v>
      </c>
      <c r="W932" s="260">
        <f t="shared" si="236"/>
        <v>0.89100000000000001</v>
      </c>
      <c r="X932" s="260">
        <f t="shared" si="236"/>
        <v>1.1140000000000001</v>
      </c>
      <c r="Y932" s="260">
        <f t="shared" si="236"/>
        <v>1.1140000000000001</v>
      </c>
      <c r="Z932" s="260">
        <f t="shared" si="236"/>
        <v>1.1140000000000001</v>
      </c>
      <c r="AA932" s="260">
        <f t="shared" si="236"/>
        <v>1.1140000000000001</v>
      </c>
      <c r="AB932" s="260">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2637</v>
      </c>
      <c r="G933" s="73"/>
      <c r="H933" s="76" t="s">
        <v>1571</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2638</v>
      </c>
      <c r="G934" s="73"/>
      <c r="H934" s="76" t="s">
        <v>1573</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2639</v>
      </c>
      <c r="G935" s="73"/>
      <c r="H935" s="76" t="s">
        <v>1575</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2640</v>
      </c>
      <c r="G936" s="73"/>
      <c r="H936" s="76" t="s">
        <v>1577</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2641</v>
      </c>
      <c r="G937" s="73"/>
      <c r="H937" s="76" t="s">
        <v>1571</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2642</v>
      </c>
      <c r="G938" s="73"/>
      <c r="H938" s="76" t="s">
        <v>1573</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2643</v>
      </c>
      <c r="G939" s="73"/>
      <c r="H939" s="76" t="s">
        <v>1575</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2644</v>
      </c>
      <c r="G940" s="73"/>
      <c r="H940" s="76" t="s">
        <v>1577</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2645</v>
      </c>
      <c r="G941" s="73"/>
      <c r="H941" s="76" t="s">
        <v>1571</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2646</v>
      </c>
      <c r="G942" s="73"/>
      <c r="H942" s="76" t="s">
        <v>1573</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2647</v>
      </c>
      <c r="G943" s="73"/>
      <c r="H943" s="76" t="s">
        <v>1575</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2648</v>
      </c>
      <c r="G944" s="73"/>
      <c r="H944" s="76" t="s">
        <v>1577</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2649</v>
      </c>
      <c r="G945" s="73"/>
      <c r="H945" s="76" t="s">
        <v>1571</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2650</v>
      </c>
      <c r="G946" s="73"/>
      <c r="H946" s="76" t="s">
        <v>1573</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2651</v>
      </c>
      <c r="G947" s="73"/>
      <c r="H947" s="76" t="s">
        <v>1575</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2652</v>
      </c>
      <c r="G948" s="73"/>
      <c r="H948" s="76" t="s">
        <v>1577</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2653</v>
      </c>
      <c r="G949" s="73"/>
      <c r="H949" s="76" t="s">
        <v>1571</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2654</v>
      </c>
      <c r="G950" s="73"/>
      <c r="H950" s="76" t="s">
        <v>1573</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2655</v>
      </c>
      <c r="G951" s="73"/>
      <c r="H951" s="76" t="s">
        <v>1575</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2656</v>
      </c>
      <c r="G952" s="73"/>
      <c r="H952" s="76" t="s">
        <v>1577</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2657</v>
      </c>
      <c r="G953" s="73"/>
      <c r="H953" s="76" t="s">
        <v>1571</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2658</v>
      </c>
      <c r="G954" s="73"/>
      <c r="H954" s="76" t="s">
        <v>1573</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2659</v>
      </c>
      <c r="G955" s="73"/>
      <c r="H955" s="76" t="s">
        <v>1575</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2660</v>
      </c>
      <c r="G956" s="73"/>
      <c r="H956" s="76" t="s">
        <v>1577</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2" t="s">
        <v>1801</v>
      </c>
      <c r="G957" s="73"/>
      <c r="H957" s="253" t="s">
        <v>1802</v>
      </c>
      <c r="I957" s="96"/>
      <c r="J957" s="96" t="s">
        <v>587</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1803</v>
      </c>
      <c r="F958" s="70" t="s">
        <v>1804</v>
      </c>
      <c r="G958" s="73"/>
      <c r="H958" s="76" t="s">
        <v>1805</v>
      </c>
      <c r="I958" s="76"/>
      <c r="J958" s="76"/>
      <c r="K958" s="97">
        <v>0.99704199999999998</v>
      </c>
      <c r="L958" s="97">
        <v>0.99704199999999998</v>
      </c>
      <c r="M958" s="76"/>
      <c r="N958" s="76"/>
      <c r="O958" s="76"/>
      <c r="P958" s="76"/>
      <c r="Q958" s="76"/>
      <c r="R958" s="76"/>
      <c r="S958" s="76"/>
      <c r="T958" s="76"/>
      <c r="U958" s="260">
        <f t="shared" ref="U958:AB958" si="238">INDEX($K958:$Q958,1,U$43)</f>
        <v>0.99704199999999998</v>
      </c>
      <c r="V958" s="260">
        <f t="shared" si="238"/>
        <v>0.99704199999999998</v>
      </c>
      <c r="W958" s="260">
        <f t="shared" si="238"/>
        <v>0.99704199999999998</v>
      </c>
      <c r="X958" s="260">
        <f t="shared" si="238"/>
        <v>0.99704199999999998</v>
      </c>
      <c r="Y958" s="260">
        <f t="shared" si="238"/>
        <v>0.99704199999999998</v>
      </c>
      <c r="Z958" s="260">
        <f t="shared" si="238"/>
        <v>0.99704199999999998</v>
      </c>
      <c r="AA958" s="260">
        <f t="shared" si="238"/>
        <v>0.99704199999999998</v>
      </c>
      <c r="AB958" s="260">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1806</v>
      </c>
      <c r="G959" s="73"/>
      <c r="H959" s="136" t="s">
        <v>2894</v>
      </c>
      <c r="I959" s="96"/>
      <c r="J959" s="96"/>
      <c r="K959" s="76"/>
      <c r="L959" s="76"/>
      <c r="M959" s="76"/>
      <c r="N959" s="76"/>
      <c r="O959" s="76"/>
      <c r="P959" s="76"/>
      <c r="Q959" s="76"/>
      <c r="R959" s="76"/>
      <c r="S959" s="76"/>
      <c r="T959" s="76"/>
      <c r="U959" s="273">
        <v>0.19</v>
      </c>
      <c r="V959" s="273">
        <v>0.19</v>
      </c>
      <c r="W959" s="273">
        <v>0.19</v>
      </c>
      <c r="X959" s="273">
        <v>0.25</v>
      </c>
      <c r="Y959" s="273">
        <v>0.25</v>
      </c>
      <c r="Z959" s="273">
        <v>0.25</v>
      </c>
      <c r="AA959" s="273">
        <v>0.25</v>
      </c>
      <c r="AB959" s="273">
        <v>0.25</v>
      </c>
      <c r="AC959" s="76"/>
      <c r="AD959" s="97" t="s">
        <v>1808</v>
      </c>
      <c r="AE959" s="76"/>
      <c r="AF959" s="97">
        <v>1</v>
      </c>
      <c r="AG959" s="97">
        <v>1</v>
      </c>
      <c r="AH959" s="73"/>
      <c r="AI959" s="57"/>
      <c r="AJ959" s="45"/>
      <c r="AK959" s="45"/>
      <c r="AL959" s="45"/>
    </row>
    <row r="960" spans="1:38" outlineLevel="2" x14ac:dyDescent="0.25">
      <c r="A960" s="45"/>
      <c r="B960" s="54"/>
      <c r="C960" s="47">
        <f>INT($C$29)+2</f>
        <v>3</v>
      </c>
      <c r="D960" s="73"/>
      <c r="E960" s="70"/>
      <c r="F960" s="70" t="s">
        <v>1809</v>
      </c>
      <c r="G960" s="73"/>
      <c r="H960" s="76" t="s">
        <v>1810</v>
      </c>
      <c r="I960" s="76"/>
      <c r="J960" s="76"/>
      <c r="K960" s="76"/>
      <c r="L960" s="76"/>
      <c r="M960" s="76"/>
      <c r="N960" s="76"/>
      <c r="O960" s="76"/>
      <c r="P960" s="76"/>
      <c r="Q960" s="76"/>
      <c r="R960" s="76"/>
      <c r="S960" s="76"/>
      <c r="T960" s="76"/>
      <c r="U960" s="97">
        <v>0.13739999999999999</v>
      </c>
      <c r="V960" s="97">
        <v>0.13739999999999999</v>
      </c>
      <c r="W960" s="97">
        <v>0.13739999999999999</v>
      </c>
      <c r="X960" s="262">
        <f t="shared" ref="X960:AB962" si="239">W960</f>
        <v>0.13739999999999999</v>
      </c>
      <c r="Y960" s="262">
        <f t="shared" si="239"/>
        <v>0.13739999999999999</v>
      </c>
      <c r="Z960" s="262">
        <f t="shared" si="239"/>
        <v>0.13739999999999999</v>
      </c>
      <c r="AA960" s="262">
        <f t="shared" si="239"/>
        <v>0.13739999999999999</v>
      </c>
      <c r="AB960" s="262">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1811</v>
      </c>
      <c r="G961" s="73"/>
      <c r="H961" s="76" t="s">
        <v>1812</v>
      </c>
      <c r="I961" s="76"/>
      <c r="J961" s="76"/>
      <c r="K961" s="76"/>
      <c r="L961" s="76"/>
      <c r="M961" s="76"/>
      <c r="N961" s="76"/>
      <c r="O961" s="76"/>
      <c r="P961" s="76"/>
      <c r="Q961" s="76"/>
      <c r="R961" s="76"/>
      <c r="S961" s="76"/>
      <c r="T961" s="76"/>
      <c r="U961" s="97">
        <v>0.16700000000000001</v>
      </c>
      <c r="V961" s="97">
        <v>0.16700000000000001</v>
      </c>
      <c r="W961" s="97">
        <v>0.16700000000000001</v>
      </c>
      <c r="X961" s="262">
        <f t="shared" si="239"/>
        <v>0.16700000000000001</v>
      </c>
      <c r="Y961" s="262">
        <f t="shared" si="239"/>
        <v>0.16700000000000001</v>
      </c>
      <c r="Z961" s="262">
        <f t="shared" si="239"/>
        <v>0.16700000000000001</v>
      </c>
      <c r="AA961" s="262">
        <f t="shared" si="239"/>
        <v>0.16700000000000001</v>
      </c>
      <c r="AB961" s="262">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1813</v>
      </c>
      <c r="G962" s="73"/>
      <c r="H962" s="76" t="s">
        <v>1814</v>
      </c>
      <c r="I962" s="76"/>
      <c r="J962" s="76"/>
      <c r="K962" s="76"/>
      <c r="L962" s="76"/>
      <c r="M962" s="76"/>
      <c r="N962" s="76"/>
      <c r="O962" s="76"/>
      <c r="P962" s="76"/>
      <c r="Q962" s="76"/>
      <c r="R962" s="76"/>
      <c r="S962" s="76"/>
      <c r="T962" s="76"/>
      <c r="U962" s="97">
        <v>0.08</v>
      </c>
      <c r="V962" s="97">
        <v>0.08</v>
      </c>
      <c r="W962" s="97">
        <v>0.08</v>
      </c>
      <c r="X962" s="262">
        <f t="shared" si="239"/>
        <v>0.08</v>
      </c>
      <c r="Y962" s="262">
        <f t="shared" si="239"/>
        <v>0.08</v>
      </c>
      <c r="Z962" s="262">
        <f t="shared" si="239"/>
        <v>0.08</v>
      </c>
      <c r="AA962" s="262">
        <f t="shared" si="239"/>
        <v>0.08</v>
      </c>
      <c r="AB962" s="262">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2" t="s">
        <v>1801</v>
      </c>
      <c r="G963" s="73"/>
      <c r="H963" s="274" t="s">
        <v>1815</v>
      </c>
      <c r="I963" s="136"/>
      <c r="J963" s="136" t="s">
        <v>1124</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1816</v>
      </c>
      <c r="G964" s="73"/>
      <c r="H964" s="76" t="s">
        <v>1817</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1818</v>
      </c>
      <c r="G965" s="73"/>
      <c r="H965" s="76" t="s">
        <v>1819</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1820</v>
      </c>
      <c r="G966" s="73"/>
      <c r="H966" s="76" t="s">
        <v>1821</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1822</v>
      </c>
      <c r="G967" s="73"/>
      <c r="H967" s="76" t="s">
        <v>1823</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1824</v>
      </c>
      <c r="G968" s="73"/>
      <c r="H968" s="76" t="s">
        <v>1825</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1826</v>
      </c>
      <c r="G969" s="73"/>
      <c r="H969" s="76" t="s">
        <v>1827</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1828</v>
      </c>
      <c r="G970" s="73"/>
      <c r="H970" s="76" t="s">
        <v>1829</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1830</v>
      </c>
      <c r="G971" s="73"/>
      <c r="H971" s="76" t="s">
        <v>1831</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1832</v>
      </c>
      <c r="G972" s="73"/>
      <c r="H972" s="76" t="s">
        <v>672</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1833</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1834</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1835</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1836</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1837</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1838</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1839</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1840</v>
      </c>
      <c r="G980" s="73"/>
      <c r="H980" s="76" t="s">
        <v>672</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1841</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1842</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1843</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1844</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1845</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1846</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1847</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1848</v>
      </c>
      <c r="G988" s="73"/>
      <c r="H988" s="76" t="s">
        <v>672</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1849</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1850</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1851</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1852</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1853</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1854</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1855</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1856</v>
      </c>
      <c r="G996" s="73"/>
      <c r="H996" s="76" t="s">
        <v>672</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1857</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1858</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1859</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1860</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1861</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1862</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1863</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1864</v>
      </c>
      <c r="G1004" s="73"/>
      <c r="H1004" s="76" t="s">
        <v>672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1865</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1866</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1867</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1868</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1869</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1870</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1871</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1872</v>
      </c>
      <c r="G1012" s="73"/>
      <c r="H1012" s="76" t="s">
        <v>672</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1873</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1874</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1875</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1876</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1877</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1878</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1879</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1880</v>
      </c>
      <c r="G1020" s="73"/>
      <c r="H1020" s="76" t="s">
        <v>672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1881</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1882</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1883</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1887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1888</v>
      </c>
      <c r="G1028" s="73"/>
      <c r="H1028" s="76" t="s">
        <v>672</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1889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1896</v>
      </c>
      <c r="G1036" s="73"/>
      <c r="H1036" s="76" t="s">
        <v>672</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1897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1898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1899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1904</v>
      </c>
      <c r="G1044" s="73"/>
      <c r="H1044" s="76" t="s">
        <v>672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1907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1908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1909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1912</v>
      </c>
      <c r="G1052" s="73"/>
      <c r="H1052" s="76" t="s">
        <v>672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1917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1918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1919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1920</v>
      </c>
      <c r="G1060" s="73"/>
      <c r="H1060" s="76" t="s">
        <v>1921</v>
      </c>
      <c r="I1060" s="96" t="s">
        <v>2256</v>
      </c>
      <c r="J1060" s="96"/>
      <c r="K1060" s="76"/>
      <c r="L1060" s="76"/>
      <c r="M1060" s="76"/>
      <c r="N1060" s="76"/>
      <c r="O1060" s="76"/>
      <c r="P1060" s="76"/>
      <c r="Q1060" s="76"/>
      <c r="R1060" s="76"/>
      <c r="S1060" s="76"/>
      <c r="T1060" s="76"/>
      <c r="U1060" s="97">
        <v>1.2E-2</v>
      </c>
      <c r="V1060" s="97">
        <v>1.2E-2</v>
      </c>
      <c r="W1060" s="97">
        <v>1.2E-2</v>
      </c>
      <c r="X1060" s="262">
        <f>W1060</f>
        <v>1.2E-2</v>
      </c>
      <c r="Y1060" s="262">
        <f>X1060</f>
        <v>1.2E-2</v>
      </c>
      <c r="Z1060" s="262">
        <f>Y1060</f>
        <v>1.2E-2</v>
      </c>
      <c r="AA1060" s="262">
        <f>Z1060</f>
        <v>1.2E-2</v>
      </c>
      <c r="AB1060" s="262">
        <f>AA1060</f>
        <v>1.2E-2</v>
      </c>
      <c r="AC1060" s="76"/>
      <c r="AD1060" s="97" t="s">
        <v>1922</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1923</v>
      </c>
      <c r="G1061" s="73"/>
      <c r="H1061" s="76" t="s">
        <v>1924</v>
      </c>
      <c r="I1061" s="96"/>
      <c r="J1061" s="96"/>
      <c r="K1061" s="76"/>
      <c r="L1061" s="76"/>
      <c r="M1061" s="76"/>
      <c r="N1061" s="76"/>
      <c r="O1061" s="76"/>
      <c r="P1061" s="76"/>
      <c r="Q1061" s="76"/>
      <c r="R1061" s="76"/>
      <c r="S1061" s="76"/>
      <c r="T1061" s="76"/>
      <c r="U1061" s="287">
        <f>U1062</f>
        <v>9.9999999999999985E-3</v>
      </c>
      <c r="V1061" s="260">
        <f t="shared" ref="V1061:AB1061" si="244">V1062</f>
        <v>9.9999999999999985E-3</v>
      </c>
      <c r="W1061" s="260">
        <f t="shared" si="244"/>
        <v>9.9999999999999985E-3</v>
      </c>
      <c r="X1061" s="260">
        <f t="shared" si="244"/>
        <v>9.9999999999999985E-3</v>
      </c>
      <c r="Y1061" s="260">
        <f t="shared" si="244"/>
        <v>9.9999999999999985E-3</v>
      </c>
      <c r="Z1061" s="260">
        <f t="shared" si="244"/>
        <v>9.9999999999999985E-3</v>
      </c>
      <c r="AA1061" s="260">
        <f t="shared" si="244"/>
        <v>9.9999999999999985E-3</v>
      </c>
      <c r="AB1061" s="260">
        <f t="shared" si="244"/>
        <v>9.9999999999999985E-3</v>
      </c>
      <c r="AC1061" s="76"/>
      <c r="AD1061" s="76"/>
      <c r="AE1061" s="76"/>
      <c r="AF1061" s="260">
        <f>AF1062</f>
        <v>1</v>
      </c>
      <c r="AG1061" s="260">
        <f>AG1062</f>
        <v>1</v>
      </c>
      <c r="AH1061" s="73"/>
      <c r="AI1061" s="57"/>
      <c r="AJ1061" s="45"/>
      <c r="AK1061" s="45"/>
      <c r="AL1061" s="45"/>
    </row>
    <row r="1062" spans="1:38" outlineLevel="2" x14ac:dyDescent="0.25">
      <c r="A1062" s="45"/>
      <c r="B1062" s="54"/>
      <c r="C1062" s="47">
        <f t="shared" si="243"/>
        <v>3</v>
      </c>
      <c r="D1062" s="73"/>
      <c r="E1062" s="70"/>
      <c r="F1062" s="70" t="s">
        <v>1925</v>
      </c>
      <c r="G1062" s="73"/>
      <c r="H1062" s="76" t="s">
        <v>1926</v>
      </c>
      <c r="I1062" s="96" t="s">
        <v>2255</v>
      </c>
      <c r="J1062" s="96"/>
      <c r="K1062" s="76"/>
      <c r="L1062" s="76"/>
      <c r="M1062" s="76"/>
      <c r="N1062" s="76"/>
      <c r="O1062" s="76"/>
      <c r="P1062" s="76"/>
      <c r="Q1062" s="76"/>
      <c r="R1062" s="76"/>
      <c r="S1062" s="76"/>
      <c r="T1062" s="76"/>
      <c r="U1062" s="288">
        <f>0.022-U$1060</f>
        <v>9.9999999999999985E-3</v>
      </c>
      <c r="V1062" s="97">
        <f>0.022-V$1060</f>
        <v>9.9999999999999985E-3</v>
      </c>
      <c r="W1062" s="97">
        <f>0.022-W$1060</f>
        <v>9.9999999999999985E-3</v>
      </c>
      <c r="X1062" s="262">
        <f t="shared" ref="X1062:AB1063" si="245">W1062</f>
        <v>9.9999999999999985E-3</v>
      </c>
      <c r="Y1062" s="262">
        <f t="shared" si="245"/>
        <v>9.9999999999999985E-3</v>
      </c>
      <c r="Z1062" s="262">
        <f t="shared" si="245"/>
        <v>9.9999999999999985E-3</v>
      </c>
      <c r="AA1062" s="262">
        <f t="shared" si="245"/>
        <v>9.9999999999999985E-3</v>
      </c>
      <c r="AB1062" s="262">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1927</v>
      </c>
      <c r="G1063" s="73"/>
      <c r="H1063" s="76" t="s">
        <v>1928</v>
      </c>
      <c r="I1063" s="96" t="s">
        <v>2255</v>
      </c>
      <c r="J1063" s="96"/>
      <c r="K1063" s="76"/>
      <c r="L1063" s="76"/>
      <c r="M1063" s="76"/>
      <c r="N1063" s="76"/>
      <c r="O1063" s="76"/>
      <c r="P1063" s="76"/>
      <c r="Q1063" s="76"/>
      <c r="R1063" s="76"/>
      <c r="S1063" s="76"/>
      <c r="T1063" s="76"/>
      <c r="U1063" s="288">
        <f>0.021-U$1060</f>
        <v>9.0000000000000011E-3</v>
      </c>
      <c r="V1063" s="97">
        <f>0.021-V$1060</f>
        <v>9.0000000000000011E-3</v>
      </c>
      <c r="W1063" s="97">
        <f>0.021-W$1060</f>
        <v>9.0000000000000011E-3</v>
      </c>
      <c r="X1063" s="262">
        <f t="shared" si="245"/>
        <v>9.0000000000000011E-3</v>
      </c>
      <c r="Y1063" s="262">
        <f t="shared" si="245"/>
        <v>9.0000000000000011E-3</v>
      </c>
      <c r="Z1063" s="262">
        <f t="shared" si="245"/>
        <v>9.0000000000000011E-3</v>
      </c>
      <c r="AA1063" s="262">
        <f t="shared" si="245"/>
        <v>9.0000000000000011E-3</v>
      </c>
      <c r="AB1063" s="262">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1929</v>
      </c>
      <c r="G1064" s="73"/>
      <c r="H1064" s="76" t="s">
        <v>1930</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1931</v>
      </c>
      <c r="G1065" s="73"/>
      <c r="H1065" s="76" t="s">
        <v>1932</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1933</v>
      </c>
      <c r="G1066" s="73"/>
      <c r="H1066" s="76" t="s">
        <v>1934</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1935</v>
      </c>
      <c r="G1067" s="73"/>
      <c r="H1067" s="76" t="s">
        <v>1936</v>
      </c>
      <c r="I1067" s="76"/>
      <c r="J1067" s="76"/>
      <c r="K1067" s="76"/>
      <c r="L1067" s="76"/>
      <c r="M1067" s="76"/>
      <c r="N1067" s="76"/>
      <c r="O1067" s="76"/>
      <c r="P1067" s="76"/>
      <c r="Q1067" s="76"/>
      <c r="R1067" s="76"/>
      <c r="S1067" s="76"/>
      <c r="T1067" s="76"/>
      <c r="U1067" s="97">
        <v>0</v>
      </c>
      <c r="V1067" s="97">
        <v>0</v>
      </c>
      <c r="W1067" s="97">
        <v>0</v>
      </c>
      <c r="X1067" s="262">
        <f t="shared" ref="X1067:AB1068" si="246">W1067</f>
        <v>0</v>
      </c>
      <c r="Y1067" s="262">
        <f t="shared" si="246"/>
        <v>0</v>
      </c>
      <c r="Z1067" s="262">
        <f t="shared" si="246"/>
        <v>0</v>
      </c>
      <c r="AA1067" s="262">
        <f t="shared" si="246"/>
        <v>0</v>
      </c>
      <c r="AB1067" s="262">
        <f t="shared" si="246"/>
        <v>0</v>
      </c>
      <c r="AC1067" s="76"/>
      <c r="AD1067" s="97" t="s">
        <v>2253</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1937</v>
      </c>
      <c r="G1068" s="73"/>
      <c r="H1068" s="76" t="s">
        <v>1938</v>
      </c>
      <c r="I1068" s="96" t="s">
        <v>2258</v>
      </c>
      <c r="J1068" s="96"/>
      <c r="K1068" s="76"/>
      <c r="L1068" s="76"/>
      <c r="M1068" s="76"/>
      <c r="N1068" s="76"/>
      <c r="O1068" s="76"/>
      <c r="P1068" s="76"/>
      <c r="Q1068" s="76"/>
      <c r="R1068" s="76"/>
      <c r="S1068" s="76"/>
      <c r="T1068" s="76"/>
      <c r="U1068" s="97">
        <v>0</v>
      </c>
      <c r="V1068" s="97">
        <v>0</v>
      </c>
      <c r="W1068" s="97">
        <v>0</v>
      </c>
      <c r="X1068" s="262">
        <f t="shared" si="246"/>
        <v>0</v>
      </c>
      <c r="Y1068" s="262">
        <f t="shared" si="246"/>
        <v>0</v>
      </c>
      <c r="Z1068" s="262">
        <f t="shared" si="246"/>
        <v>0</v>
      </c>
      <c r="AA1068" s="262">
        <f t="shared" si="246"/>
        <v>0</v>
      </c>
      <c r="AB1068" s="262">
        <f t="shared" si="246"/>
        <v>0</v>
      </c>
      <c r="AC1068" s="76"/>
      <c r="AD1068" s="97" t="s">
        <v>1939</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1940</v>
      </c>
      <c r="G1069" s="73"/>
      <c r="H1069" s="76" t="s">
        <v>1941</v>
      </c>
      <c r="I1069" s="96"/>
      <c r="J1069" s="96"/>
      <c r="K1069" s="76"/>
      <c r="L1069" s="76"/>
      <c r="M1069" s="76"/>
      <c r="N1069" s="76"/>
      <c r="O1069" s="76"/>
      <c r="P1069" s="76"/>
      <c r="Q1069" s="76"/>
      <c r="R1069" s="76"/>
      <c r="S1069" s="76"/>
      <c r="T1069" s="76"/>
      <c r="U1069" s="260">
        <f t="shared" ref="U1069:AB1069" si="247">U1070</f>
        <v>-1.9E-2</v>
      </c>
      <c r="V1069" s="260">
        <f t="shared" si="247"/>
        <v>-1.9E-2</v>
      </c>
      <c r="W1069" s="260">
        <f t="shared" si="247"/>
        <v>-1.9E-2</v>
      </c>
      <c r="X1069" s="260">
        <f t="shared" si="247"/>
        <v>-1.9E-2</v>
      </c>
      <c r="Y1069" s="260">
        <f t="shared" si="247"/>
        <v>-1.9E-2</v>
      </c>
      <c r="Z1069" s="260">
        <f t="shared" si="247"/>
        <v>-1.9E-2</v>
      </c>
      <c r="AA1069" s="260">
        <f t="shared" si="247"/>
        <v>-1.9E-2</v>
      </c>
      <c r="AB1069" s="260">
        <f t="shared" si="247"/>
        <v>-1.9E-2</v>
      </c>
      <c r="AC1069" s="76"/>
      <c r="AD1069" s="76"/>
      <c r="AE1069" s="76"/>
      <c r="AF1069" s="260">
        <f>AF1070</f>
        <v>1</v>
      </c>
      <c r="AG1069" s="260">
        <f>AG1070</f>
        <v>1</v>
      </c>
      <c r="AH1069" s="73"/>
      <c r="AI1069" s="57"/>
      <c r="AJ1069" s="45"/>
      <c r="AK1069" s="45"/>
      <c r="AL1069" s="45"/>
    </row>
    <row r="1070" spans="1:38" outlineLevel="2" x14ac:dyDescent="0.25">
      <c r="A1070" s="45"/>
      <c r="B1070" s="54"/>
      <c r="C1070" s="47">
        <f t="shared" si="243"/>
        <v>3</v>
      </c>
      <c r="D1070" s="73"/>
      <c r="E1070" s="70"/>
      <c r="F1070" s="70" t="s">
        <v>1942</v>
      </c>
      <c r="G1070" s="73"/>
      <c r="H1070" s="76" t="s">
        <v>1943</v>
      </c>
      <c r="I1070" s="96" t="s">
        <v>2257</v>
      </c>
      <c r="J1070" s="96"/>
      <c r="K1070" s="76"/>
      <c r="L1070" s="76"/>
      <c r="M1070" s="76"/>
      <c r="N1070" s="76"/>
      <c r="O1070" s="76"/>
      <c r="P1070" s="76"/>
      <c r="Q1070" s="76"/>
      <c r="R1070" s="76"/>
      <c r="S1070" s="76"/>
      <c r="T1070" s="76"/>
      <c r="U1070" s="97">
        <f>-0.019-U$1068</f>
        <v>-1.9E-2</v>
      </c>
      <c r="V1070" s="97">
        <f>-0.019-V$1068</f>
        <v>-1.9E-2</v>
      </c>
      <c r="W1070" s="97">
        <f>-0.019-W$1068</f>
        <v>-1.9E-2</v>
      </c>
      <c r="X1070" s="262">
        <f t="shared" ref="X1070:AB1071" si="248">W1070</f>
        <v>-1.9E-2</v>
      </c>
      <c r="Y1070" s="262">
        <f t="shared" si="248"/>
        <v>-1.9E-2</v>
      </c>
      <c r="Z1070" s="262">
        <f t="shared" si="248"/>
        <v>-1.9E-2</v>
      </c>
      <c r="AA1070" s="262">
        <f t="shared" si="248"/>
        <v>-1.9E-2</v>
      </c>
      <c r="AB1070" s="262">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1944</v>
      </c>
      <c r="G1071" s="73"/>
      <c r="H1071" s="76" t="s">
        <v>1945</v>
      </c>
      <c r="I1071" s="96" t="s">
        <v>2257</v>
      </c>
      <c r="J1071" s="96"/>
      <c r="K1071" s="76"/>
      <c r="L1071" s="76"/>
      <c r="M1071" s="76"/>
      <c r="N1071" s="76"/>
      <c r="O1071" s="76"/>
      <c r="P1071" s="76"/>
      <c r="Q1071" s="76"/>
      <c r="R1071" s="76"/>
      <c r="S1071" s="76"/>
      <c r="T1071" s="76"/>
      <c r="U1071" s="97">
        <f>-0.031-U$1068</f>
        <v>-3.1E-2</v>
      </c>
      <c r="V1071" s="97">
        <f>-0.031-V$1068</f>
        <v>-3.1E-2</v>
      </c>
      <c r="W1071" s="97">
        <f>-0.031-W$1068</f>
        <v>-3.1E-2</v>
      </c>
      <c r="X1071" s="262">
        <f t="shared" si="248"/>
        <v>-3.1E-2</v>
      </c>
      <c r="Y1071" s="262">
        <f t="shared" si="248"/>
        <v>-3.1E-2</v>
      </c>
      <c r="Z1071" s="262">
        <f t="shared" si="248"/>
        <v>-3.1E-2</v>
      </c>
      <c r="AA1071" s="262">
        <f t="shared" si="248"/>
        <v>-3.1E-2</v>
      </c>
      <c r="AB1071" s="262">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1946</v>
      </c>
      <c r="G1072" s="73"/>
      <c r="H1072" s="76" t="s">
        <v>1947</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1948</v>
      </c>
      <c r="G1073" s="73"/>
      <c r="H1073" s="76" t="s">
        <v>1949</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1950</v>
      </c>
      <c r="G1074" s="73"/>
      <c r="H1074" s="76" t="s">
        <v>1951</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1952</v>
      </c>
      <c r="G1075" s="73"/>
      <c r="H1075" s="76" t="s">
        <v>1831</v>
      </c>
      <c r="I1075" s="76"/>
      <c r="J1075" s="76"/>
      <c r="K1075" s="76"/>
      <c r="L1075" s="76"/>
      <c r="M1075" s="76"/>
      <c r="N1075" s="76"/>
      <c r="O1075" s="76"/>
      <c r="P1075" s="76"/>
      <c r="Q1075" s="76"/>
      <c r="R1075" s="76"/>
      <c r="S1075" s="76"/>
      <c r="T1075" s="76"/>
      <c r="U1075" s="97">
        <v>0</v>
      </c>
      <c r="V1075" s="97">
        <v>0</v>
      </c>
      <c r="W1075" s="97">
        <v>0</v>
      </c>
      <c r="X1075" s="262">
        <f>W1075</f>
        <v>0</v>
      </c>
      <c r="Y1075" s="262">
        <f>X1075</f>
        <v>0</v>
      </c>
      <c r="Z1075" s="262">
        <f>Y1075</f>
        <v>0</v>
      </c>
      <c r="AA1075" s="262">
        <f>Z1075</f>
        <v>0</v>
      </c>
      <c r="AB1075" s="262">
        <f>AA1075</f>
        <v>0</v>
      </c>
      <c r="AC1075" s="76"/>
      <c r="AD1075" s="97" t="s">
        <v>2253</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1953</v>
      </c>
      <c r="G1076" s="73"/>
      <c r="H1076" s="76" t="s">
        <v>672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1961</v>
      </c>
      <c r="G1084" s="73"/>
      <c r="H1084" s="76" t="s">
        <v>672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17"/>
      <c r="F1091" s="417" t="s">
        <v>1968</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21"/>
      <c r="F1092" s="421" t="s">
        <v>1969</v>
      </c>
      <c r="G1092" s="422"/>
      <c r="H1092" s="188" t="s">
        <v>1970</v>
      </c>
      <c r="I1092" s="158"/>
      <c r="J1092" s="158"/>
      <c r="K1092" s="188"/>
      <c r="L1092" s="188"/>
      <c r="M1092" s="188"/>
      <c r="N1092" s="188"/>
      <c r="O1092" s="188"/>
      <c r="P1092" s="188"/>
      <c r="Q1092" s="188"/>
      <c r="R1092" s="188"/>
      <c r="S1092" s="188"/>
      <c r="T1092" s="188"/>
      <c r="U1092" s="423">
        <v>3.024E-2</v>
      </c>
      <c r="V1092" s="424">
        <f t="shared" ref="V1092:W1092" si="250">U1092</f>
        <v>3.024E-2</v>
      </c>
      <c r="W1092" s="424">
        <f t="shared" si="250"/>
        <v>3.024E-2</v>
      </c>
      <c r="X1092" s="424">
        <f>Y1092</f>
        <v>2.248E-2</v>
      </c>
      <c r="Y1092" s="423">
        <v>2.248E-2</v>
      </c>
      <c r="Z1092" s="424">
        <f>Y1092</f>
        <v>2.248E-2</v>
      </c>
      <c r="AA1092" s="424">
        <f>Z1092</f>
        <v>2.248E-2</v>
      </c>
      <c r="AB1092" s="424">
        <f>AA1092</f>
        <v>2.248E-2</v>
      </c>
      <c r="AC1092" s="188"/>
      <c r="AD1092" s="423" t="s">
        <v>1971</v>
      </c>
      <c r="AE1092" s="188"/>
      <c r="AF1092" s="423">
        <v>1</v>
      </c>
      <c r="AG1092" s="423">
        <v>1</v>
      </c>
      <c r="AH1092" s="73"/>
      <c r="AI1092" s="57"/>
      <c r="AJ1092" s="45"/>
      <c r="AK1092" s="45"/>
      <c r="AL1092" s="45"/>
    </row>
    <row r="1093" spans="1:38" outlineLevel="2" x14ac:dyDescent="0.25">
      <c r="A1093" s="45"/>
      <c r="B1093" s="54"/>
      <c r="C1093" s="47">
        <f t="shared" si="243"/>
        <v>3</v>
      </c>
      <c r="D1093" s="73"/>
      <c r="E1093" s="70"/>
      <c r="F1093" s="70" t="s">
        <v>1972</v>
      </c>
      <c r="G1093" s="241"/>
      <c r="H1093" s="76" t="s">
        <v>1973</v>
      </c>
      <c r="I1093" s="96"/>
      <c r="J1093" s="96"/>
      <c r="K1093" s="76"/>
      <c r="L1093" s="76"/>
      <c r="M1093" s="76"/>
      <c r="N1093" s="76"/>
      <c r="O1093" s="76"/>
      <c r="P1093" s="76"/>
      <c r="Q1093" s="76"/>
      <c r="R1093" s="76"/>
      <c r="S1093" s="76"/>
      <c r="T1093" s="76"/>
      <c r="U1093" s="260">
        <f t="shared" ref="U1093:AB1093" si="251">U1094</f>
        <v>8.5699999999999995E-3</v>
      </c>
      <c r="V1093" s="260">
        <f t="shared" si="251"/>
        <v>8.5699999999999995E-3</v>
      </c>
      <c r="W1093" s="260">
        <f t="shared" si="251"/>
        <v>8.5699999999999995E-3</v>
      </c>
      <c r="X1093" s="260">
        <f t="shared" si="251"/>
        <v>2.7799999999999999E-3</v>
      </c>
      <c r="Y1093" s="260">
        <f t="shared" si="251"/>
        <v>2.7799999999999999E-3</v>
      </c>
      <c r="Z1093" s="260">
        <f t="shared" si="251"/>
        <v>2.7799999999999999E-3</v>
      </c>
      <c r="AA1093" s="260">
        <f t="shared" si="251"/>
        <v>2.7799999999999999E-3</v>
      </c>
      <c r="AB1093" s="260">
        <f t="shared" si="251"/>
        <v>2.7799999999999999E-3</v>
      </c>
      <c r="AC1093" s="76"/>
      <c r="AD1093" s="97" t="s">
        <v>2266</v>
      </c>
      <c r="AE1093" s="76"/>
      <c r="AF1093" s="260">
        <f>AF1094</f>
        <v>1</v>
      </c>
      <c r="AG1093" s="260">
        <f>AG1094</f>
        <v>1</v>
      </c>
      <c r="AH1093" s="73"/>
      <c r="AI1093" s="57"/>
      <c r="AJ1093" s="45"/>
      <c r="AK1093" s="45"/>
      <c r="AL1093" s="45"/>
    </row>
    <row r="1094" spans="1:38" outlineLevel="2" x14ac:dyDescent="0.25">
      <c r="A1094" s="45"/>
      <c r="B1094" s="54"/>
      <c r="C1094" s="47">
        <f t="shared" si="243"/>
        <v>3</v>
      </c>
      <c r="D1094" s="73"/>
      <c r="E1094" s="70"/>
      <c r="F1094" s="70" t="s">
        <v>1974</v>
      </c>
      <c r="G1094" s="241"/>
      <c r="H1094" s="76" t="s">
        <v>1975</v>
      </c>
      <c r="I1094" s="96"/>
      <c r="J1094" s="96"/>
      <c r="K1094" s="76"/>
      <c r="L1094" s="76"/>
      <c r="M1094" s="76"/>
      <c r="N1094" s="76"/>
      <c r="O1094" s="76"/>
      <c r="P1094" s="76"/>
      <c r="Q1094" s="76"/>
      <c r="R1094" s="76"/>
      <c r="S1094" s="76"/>
      <c r="T1094" s="76"/>
      <c r="U1094" s="97">
        <v>8.5699999999999995E-3</v>
      </c>
      <c r="V1094" s="419">
        <f t="shared" ref="V1094:V1095" si="252">U1094</f>
        <v>8.5699999999999995E-3</v>
      </c>
      <c r="W1094" s="419">
        <f t="shared" ref="W1094:W1095" si="253">V1094</f>
        <v>8.5699999999999995E-3</v>
      </c>
      <c r="X1094" s="419">
        <f>Y1094</f>
        <v>2.7799999999999999E-3</v>
      </c>
      <c r="Y1094" s="97">
        <v>2.7799999999999999E-3</v>
      </c>
      <c r="Z1094" s="419">
        <f t="shared" ref="Z1094:AB1095" si="254">Y1094</f>
        <v>2.7799999999999999E-3</v>
      </c>
      <c r="AA1094" s="419">
        <f t="shared" si="254"/>
        <v>2.7799999999999999E-3</v>
      </c>
      <c r="AB1094" s="419">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1976</v>
      </c>
      <c r="G1095" s="241"/>
      <c r="H1095" s="76" t="s">
        <v>1977</v>
      </c>
      <c r="I1095" s="96"/>
      <c r="J1095" s="96"/>
      <c r="K1095" s="76"/>
      <c r="L1095" s="76"/>
      <c r="M1095" s="76"/>
      <c r="N1095" s="76"/>
      <c r="O1095" s="76"/>
      <c r="P1095" s="76"/>
      <c r="Q1095" s="76"/>
      <c r="R1095" s="76"/>
      <c r="S1095" s="76"/>
      <c r="T1095" s="76"/>
      <c r="U1095" s="97">
        <v>1.626E-2</v>
      </c>
      <c r="V1095" s="419">
        <f t="shared" si="252"/>
        <v>1.626E-2</v>
      </c>
      <c r="W1095" s="419">
        <f t="shared" si="253"/>
        <v>1.626E-2</v>
      </c>
      <c r="X1095" s="419">
        <f>Y1095</f>
        <v>1.6129999999999999E-2</v>
      </c>
      <c r="Y1095" s="97">
        <v>1.6129999999999999E-2</v>
      </c>
      <c r="Z1095" s="419">
        <f t="shared" si="254"/>
        <v>1.6129999999999999E-2</v>
      </c>
      <c r="AA1095" s="419">
        <f t="shared" si="254"/>
        <v>1.6129999999999999E-2</v>
      </c>
      <c r="AB1095" s="419">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1978</v>
      </c>
      <c r="G1096" s="241"/>
      <c r="H1096" s="76" t="s">
        <v>1979</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1980</v>
      </c>
      <c r="G1097" s="241"/>
      <c r="H1097" s="76" t="s">
        <v>1981</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1982</v>
      </c>
      <c r="G1098" s="241"/>
      <c r="H1098" s="76" t="s">
        <v>1983</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25"/>
      <c r="F1099" s="425" t="s">
        <v>1984</v>
      </c>
      <c r="G1099" s="426"/>
      <c r="H1099" s="191" t="s">
        <v>1985</v>
      </c>
      <c r="I1099" s="191"/>
      <c r="J1099" s="191"/>
      <c r="K1099" s="191"/>
      <c r="L1099" s="191"/>
      <c r="M1099" s="191"/>
      <c r="N1099" s="191"/>
      <c r="O1099" s="191"/>
      <c r="P1099" s="191"/>
      <c r="Q1099" s="191"/>
      <c r="R1099" s="191"/>
      <c r="S1099" s="191"/>
      <c r="T1099" s="191"/>
      <c r="U1099" s="427">
        <v>3.496</v>
      </c>
      <c r="V1099" s="427">
        <v>3.496</v>
      </c>
      <c r="W1099" s="427">
        <v>3.496</v>
      </c>
      <c r="X1099" s="430">
        <f>Y1099</f>
        <v>4.2411000000000003</v>
      </c>
      <c r="Y1099" s="431">
        <v>4.2411000000000003</v>
      </c>
      <c r="Z1099" s="430">
        <f t="shared" ref="Z1099" si="255">Y1099</f>
        <v>4.2411000000000003</v>
      </c>
      <c r="AA1099" s="430">
        <f t="shared" ref="AA1099" si="256">Z1099</f>
        <v>4.2411000000000003</v>
      </c>
      <c r="AB1099" s="430">
        <f t="shared" ref="AB1099" si="257">AA1099</f>
        <v>4.2411000000000003</v>
      </c>
      <c r="AC1099" s="191"/>
      <c r="AD1099" s="191"/>
      <c r="AE1099" s="191"/>
      <c r="AF1099" s="428">
        <v>1</v>
      </c>
      <c r="AG1099" s="428">
        <v>1</v>
      </c>
      <c r="AH1099" s="73"/>
      <c r="AI1099" s="57"/>
      <c r="AJ1099" s="45"/>
      <c r="AK1099" s="45"/>
      <c r="AL1099" s="45"/>
    </row>
    <row r="1100" spans="1:38" outlineLevel="2" x14ac:dyDescent="0.25">
      <c r="A1100" s="45"/>
      <c r="B1100" s="54"/>
      <c r="C1100" s="47">
        <f t="shared" si="243"/>
        <v>3</v>
      </c>
      <c r="D1100" s="73"/>
      <c r="E1100" s="418"/>
      <c r="F1100" s="418" t="s">
        <v>1986</v>
      </c>
      <c r="G1100" s="73"/>
      <c r="H1100" s="105" t="s">
        <v>1987</v>
      </c>
      <c r="I1100" s="184"/>
      <c r="J1100" s="184"/>
      <c r="K1100" s="105"/>
      <c r="L1100" s="105"/>
      <c r="M1100" s="105"/>
      <c r="N1100" s="105"/>
      <c r="O1100" s="105"/>
      <c r="P1100" s="105"/>
      <c r="Q1100" s="105"/>
      <c r="R1100" s="105"/>
      <c r="S1100" s="105"/>
      <c r="T1100" s="105"/>
      <c r="U1100" s="126">
        <v>0.18</v>
      </c>
      <c r="V1100" s="126">
        <v>0.18</v>
      </c>
      <c r="W1100" s="126">
        <v>0.18</v>
      </c>
      <c r="X1100" s="420">
        <f>Y1100</f>
        <v>0.13919999999999999</v>
      </c>
      <c r="Y1100" s="126">
        <v>0.13919999999999999</v>
      </c>
      <c r="Z1100" s="420">
        <f t="shared" ref="Z1100:AB1100" si="258">Y1100</f>
        <v>0.13919999999999999</v>
      </c>
      <c r="AA1100" s="420">
        <f t="shared" si="258"/>
        <v>0.13919999999999999</v>
      </c>
      <c r="AB1100" s="420">
        <f t="shared" si="258"/>
        <v>0.13919999999999999</v>
      </c>
      <c r="AC1100" s="105"/>
      <c r="AD1100" s="126" t="s">
        <v>1365</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1988</v>
      </c>
      <c r="G1101" s="73"/>
      <c r="H1101" s="76" t="s">
        <v>1989</v>
      </c>
      <c r="I1101" s="96"/>
      <c r="J1101" s="96"/>
      <c r="K1101" s="76"/>
      <c r="L1101" s="76"/>
      <c r="M1101" s="76"/>
      <c r="N1101" s="76"/>
      <c r="O1101" s="76"/>
      <c r="P1101" s="76"/>
      <c r="Q1101" s="76"/>
      <c r="R1101" s="76"/>
      <c r="S1101" s="76"/>
      <c r="T1101" s="76"/>
      <c r="U1101" s="260">
        <f t="shared" ref="U1101:AB1101" si="259">U1102</f>
        <v>0.03</v>
      </c>
      <c r="V1101" s="260">
        <f t="shared" si="259"/>
        <v>0.03</v>
      </c>
      <c r="W1101" s="260">
        <f t="shared" si="259"/>
        <v>0.03</v>
      </c>
      <c r="X1101" s="260">
        <f t="shared" si="259"/>
        <v>7.0000000000000062E-3</v>
      </c>
      <c r="Y1101" s="260">
        <f t="shared" si="259"/>
        <v>7.0000000000000062E-3</v>
      </c>
      <c r="Z1101" s="260">
        <f t="shared" si="259"/>
        <v>7.0000000000000062E-3</v>
      </c>
      <c r="AA1101" s="260">
        <f t="shared" si="259"/>
        <v>7.0000000000000062E-3</v>
      </c>
      <c r="AB1101" s="260">
        <f t="shared" si="259"/>
        <v>7.0000000000000062E-3</v>
      </c>
      <c r="AC1101" s="76"/>
      <c r="AD1101" s="97" t="s">
        <v>2266</v>
      </c>
      <c r="AE1101" s="76"/>
      <c r="AF1101" s="260">
        <f>AF1102</f>
        <v>1</v>
      </c>
      <c r="AG1101" s="260">
        <f>AG1102</f>
        <v>1</v>
      </c>
      <c r="AH1101" s="73"/>
      <c r="AI1101" s="57"/>
      <c r="AJ1101" s="45"/>
      <c r="AK1101" s="45"/>
      <c r="AL1101" s="45"/>
    </row>
    <row r="1102" spans="1:38" outlineLevel="2" x14ac:dyDescent="0.25">
      <c r="A1102" s="45"/>
      <c r="B1102" s="54"/>
      <c r="C1102" s="47">
        <f t="shared" si="243"/>
        <v>3</v>
      </c>
      <c r="D1102" s="73"/>
      <c r="E1102" s="70"/>
      <c r="F1102" s="70" t="s">
        <v>1990</v>
      </c>
      <c r="G1102" s="73"/>
      <c r="H1102" s="76" t="s">
        <v>1821</v>
      </c>
      <c r="I1102" s="96"/>
      <c r="J1102" s="96"/>
      <c r="K1102" s="76"/>
      <c r="L1102" s="76"/>
      <c r="M1102" s="76"/>
      <c r="N1102" s="76"/>
      <c r="O1102" s="76"/>
      <c r="P1102" s="76"/>
      <c r="Q1102" s="76"/>
      <c r="R1102" s="76"/>
      <c r="S1102" s="76"/>
      <c r="T1102" s="76"/>
      <c r="U1102" s="97">
        <f>0.21-U$1100</f>
        <v>0.03</v>
      </c>
      <c r="V1102" s="97">
        <f>0.21-V$1100</f>
        <v>0.03</v>
      </c>
      <c r="W1102" s="97">
        <f>0.21-W$1100</f>
        <v>0.03</v>
      </c>
      <c r="X1102" s="262">
        <f t="shared" ref="X1102:X1108" si="260">Y1102</f>
        <v>7.0000000000000062E-3</v>
      </c>
      <c r="Y1102" s="97">
        <f>0.1462-Y$1100</f>
        <v>7.0000000000000062E-3</v>
      </c>
      <c r="Z1102" s="262">
        <f t="shared" ref="Z1102:AB1108" si="261">Y1102</f>
        <v>7.0000000000000062E-3</v>
      </c>
      <c r="AA1102" s="262">
        <f t="shared" si="261"/>
        <v>7.0000000000000062E-3</v>
      </c>
      <c r="AB1102" s="262">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1991</v>
      </c>
      <c r="G1103" s="73"/>
      <c r="H1103" s="76" t="s">
        <v>1823</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2">
        <f t="shared" si="260"/>
        <v>-3.0299999999999994E-2</v>
      </c>
      <c r="Y1103" s="97">
        <f>0.1089-Y$1100</f>
        <v>-3.0299999999999994E-2</v>
      </c>
      <c r="Z1103" s="262">
        <f t="shared" si="261"/>
        <v>-3.0299999999999994E-2</v>
      </c>
      <c r="AA1103" s="262">
        <f t="shared" si="261"/>
        <v>-3.0299999999999994E-2</v>
      </c>
      <c r="AB1103" s="262">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1992</v>
      </c>
      <c r="G1104" s="73"/>
      <c r="H1104" s="76" t="s">
        <v>1825</v>
      </c>
      <c r="I1104" s="76"/>
      <c r="J1104" s="76"/>
      <c r="K1104" s="76"/>
      <c r="L1104" s="76"/>
      <c r="M1104" s="76"/>
      <c r="N1104" s="76"/>
      <c r="O1104" s="76"/>
      <c r="P1104" s="76"/>
      <c r="Q1104" s="76"/>
      <c r="R1104" s="76"/>
      <c r="S1104" s="76"/>
      <c r="T1104" s="76"/>
      <c r="U1104" s="97">
        <f>0-U$1100</f>
        <v>-0.18</v>
      </c>
      <c r="V1104" s="97">
        <f>0-V$1100</f>
        <v>-0.18</v>
      </c>
      <c r="W1104" s="97">
        <f>0-W$1100</f>
        <v>-0.18</v>
      </c>
      <c r="X1104" s="262">
        <f t="shared" si="260"/>
        <v>-0.13919999999999999</v>
      </c>
      <c r="Y1104" s="97">
        <f>0-Y$1100</f>
        <v>-0.13919999999999999</v>
      </c>
      <c r="Z1104" s="262">
        <f t="shared" si="261"/>
        <v>-0.13919999999999999</v>
      </c>
      <c r="AA1104" s="262">
        <f t="shared" si="261"/>
        <v>-0.13919999999999999</v>
      </c>
      <c r="AB1104" s="262">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1993</v>
      </c>
      <c r="G1105" s="73"/>
      <c r="H1105" s="76" t="s">
        <v>1981</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2">
        <f t="shared" si="260"/>
        <v>0</v>
      </c>
      <c r="Y1105" s="76">
        <v>0</v>
      </c>
      <c r="Z1105" s="262">
        <f t="shared" si="261"/>
        <v>0</v>
      </c>
      <c r="AA1105" s="262">
        <f t="shared" si="261"/>
        <v>0</v>
      </c>
      <c r="AB1105" s="262">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1994</v>
      </c>
      <c r="G1106" s="73"/>
      <c r="H1106" s="76" t="s">
        <v>1983</v>
      </c>
      <c r="I1106" s="76"/>
      <c r="J1106" s="76"/>
      <c r="K1106" s="76"/>
      <c r="L1106" s="76"/>
      <c r="M1106" s="76"/>
      <c r="N1106" s="76"/>
      <c r="O1106" s="76"/>
      <c r="P1106" s="76"/>
      <c r="Q1106" s="76"/>
      <c r="R1106" s="76"/>
      <c r="S1106" s="76"/>
      <c r="T1106" s="76"/>
      <c r="U1106" s="97">
        <v>-1.5E-6</v>
      </c>
      <c r="V1106" s="97">
        <v>-1.5E-6</v>
      </c>
      <c r="W1106" s="97">
        <v>-1.5E-6</v>
      </c>
      <c r="X1106" s="262">
        <f t="shared" si="260"/>
        <v>0</v>
      </c>
      <c r="Y1106" s="76">
        <v>0</v>
      </c>
      <c r="Z1106" s="262">
        <f t="shared" si="261"/>
        <v>0</v>
      </c>
      <c r="AA1106" s="262">
        <f t="shared" si="261"/>
        <v>0</v>
      </c>
      <c r="AB1106" s="262">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1995</v>
      </c>
      <c r="G1107" s="73"/>
      <c r="H1107" s="76" t="s">
        <v>1996</v>
      </c>
      <c r="I1107" s="76"/>
      <c r="J1107" s="76"/>
      <c r="K1107" s="76"/>
      <c r="L1107" s="76"/>
      <c r="M1107" s="76"/>
      <c r="N1107" s="76"/>
      <c r="O1107" s="76"/>
      <c r="P1107" s="76"/>
      <c r="Q1107" s="76"/>
      <c r="R1107" s="76"/>
      <c r="S1107" s="76"/>
      <c r="T1107" s="76"/>
      <c r="U1107" s="97">
        <v>4.5599999999999996</v>
      </c>
      <c r="V1107" s="97">
        <v>4.5599999999999996</v>
      </c>
      <c r="W1107" s="97">
        <v>4.5599999999999996</v>
      </c>
      <c r="X1107" s="262">
        <f t="shared" si="260"/>
        <v>24.748000000000001</v>
      </c>
      <c r="Y1107" s="97">
        <f>27.01-0.2262*10</f>
        <v>24.748000000000001</v>
      </c>
      <c r="Z1107" s="262">
        <f t="shared" si="261"/>
        <v>24.748000000000001</v>
      </c>
      <c r="AA1107" s="262">
        <f t="shared" si="261"/>
        <v>24.748000000000001</v>
      </c>
      <c r="AB1107" s="262">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1997</v>
      </c>
      <c r="G1108" s="73"/>
      <c r="H1108" s="76" t="s">
        <v>1998</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2">
        <f t="shared" si="260"/>
        <v>2.0499999999999997E-3</v>
      </c>
      <c r="Y1108" s="97">
        <f>2.05/1000</f>
        <v>2.0499999999999997E-3</v>
      </c>
      <c r="Z1108" s="262">
        <f t="shared" si="261"/>
        <v>2.0499999999999997E-3</v>
      </c>
      <c r="AA1108" s="262">
        <f t="shared" si="261"/>
        <v>2.0499999999999997E-3</v>
      </c>
      <c r="AB1108" s="262">
        <f t="shared" si="261"/>
        <v>2.0499999999999997E-3</v>
      </c>
      <c r="AC1108" s="76"/>
      <c r="AD1108" s="97" t="s">
        <v>1372</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1999</v>
      </c>
      <c r="G1109" s="73"/>
      <c r="H1109" s="76" t="s">
        <v>2000</v>
      </c>
      <c r="I1109" s="96"/>
      <c r="J1109" s="96"/>
      <c r="K1109" s="76"/>
      <c r="L1109" s="76"/>
      <c r="M1109" s="76"/>
      <c r="N1109" s="76"/>
      <c r="O1109" s="76"/>
      <c r="P1109" s="76"/>
      <c r="Q1109" s="76"/>
      <c r="R1109" s="76"/>
      <c r="S1109" s="76"/>
      <c r="T1109" s="76"/>
      <c r="U1109" s="260">
        <f t="shared" ref="U1109:AB1109" si="262">U1110</f>
        <v>-5.9999999999999724E-5</v>
      </c>
      <c r="V1109" s="260">
        <f t="shared" si="262"/>
        <v>-5.9999999999999724E-5</v>
      </c>
      <c r="W1109" s="260">
        <f t="shared" si="262"/>
        <v>-5.9999999999999724E-5</v>
      </c>
      <c r="X1109" s="260">
        <f t="shared" si="262"/>
        <v>-5.9999999999999724E-5</v>
      </c>
      <c r="Y1109" s="260">
        <f t="shared" si="262"/>
        <v>-5.9999999999999724E-5</v>
      </c>
      <c r="Z1109" s="260">
        <f t="shared" si="262"/>
        <v>-5.9999999999999724E-5</v>
      </c>
      <c r="AA1109" s="260">
        <f t="shared" si="262"/>
        <v>-5.9999999999999724E-5</v>
      </c>
      <c r="AB1109" s="260">
        <f t="shared" si="262"/>
        <v>-5.9999999999999724E-5</v>
      </c>
      <c r="AC1109" s="76"/>
      <c r="AD1109" s="76"/>
      <c r="AE1109" s="76"/>
      <c r="AF1109" s="260">
        <f>AF1110</f>
        <v>1</v>
      </c>
      <c r="AG1109" s="260">
        <f>AG1110</f>
        <v>1</v>
      </c>
      <c r="AH1109" s="73"/>
      <c r="AI1109" s="57"/>
      <c r="AJ1109" s="45"/>
      <c r="AK1109" s="45"/>
      <c r="AL1109" s="45"/>
    </row>
    <row r="1110" spans="1:38" outlineLevel="2" x14ac:dyDescent="0.25">
      <c r="A1110" s="45"/>
      <c r="B1110" s="54"/>
      <c r="C1110" s="47">
        <f t="shared" si="243"/>
        <v>3</v>
      </c>
      <c r="D1110" s="73"/>
      <c r="E1110" s="70"/>
      <c r="F1110" s="70" t="s">
        <v>2001</v>
      </c>
      <c r="G1110" s="73"/>
      <c r="H1110" s="76" t="s">
        <v>2002</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2">
        <f t="shared" ref="X1110:X1115" si="263">Y1110</f>
        <v>-5.9999999999999724E-5</v>
      </c>
      <c r="Y1110" s="97">
        <f>1.99/1000-Y$1108</f>
        <v>-5.9999999999999724E-5</v>
      </c>
      <c r="Z1110" s="262">
        <f t="shared" ref="Z1110:AB1115" si="264">Y1110</f>
        <v>-5.9999999999999724E-5</v>
      </c>
      <c r="AA1110" s="262">
        <f t="shared" si="264"/>
        <v>-5.9999999999999724E-5</v>
      </c>
      <c r="AB1110" s="262">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2003</v>
      </c>
      <c r="G1111" s="73"/>
      <c r="H1111" s="76" t="s">
        <v>2004</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2">
        <f t="shared" si="263"/>
        <v>-6.4999999999999975E-4</v>
      </c>
      <c r="Y1111" s="97">
        <f>1.4/1000-Y$1108</f>
        <v>-6.4999999999999975E-4</v>
      </c>
      <c r="Z1111" s="262">
        <f t="shared" si="264"/>
        <v>-6.4999999999999975E-4</v>
      </c>
      <c r="AA1111" s="262">
        <f t="shared" si="264"/>
        <v>-6.4999999999999975E-4</v>
      </c>
      <c r="AB1111" s="262">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2005</v>
      </c>
      <c r="G1112" s="73"/>
      <c r="H1112" s="76" t="s">
        <v>2006</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2">
        <f t="shared" si="263"/>
        <v>-2.0499999999999997E-3</v>
      </c>
      <c r="Y1112" s="97">
        <f>0-Y$1108</f>
        <v>-2.0499999999999997E-3</v>
      </c>
      <c r="Z1112" s="262">
        <f t="shared" si="264"/>
        <v>-2.0499999999999997E-3</v>
      </c>
      <c r="AA1112" s="262">
        <f t="shared" si="264"/>
        <v>-2.0499999999999997E-3</v>
      </c>
      <c r="AB1112" s="262">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2007</v>
      </c>
      <c r="G1113" s="73"/>
      <c r="H1113" s="76" t="s">
        <v>2008</v>
      </c>
      <c r="I1113" s="76"/>
      <c r="J1113" s="76"/>
      <c r="K1113" s="76"/>
      <c r="L1113" s="76"/>
      <c r="M1113" s="76"/>
      <c r="N1113" s="76"/>
      <c r="O1113" s="76"/>
      <c r="P1113" s="76"/>
      <c r="Q1113" s="76"/>
      <c r="R1113" s="76"/>
      <c r="S1113" s="76"/>
      <c r="T1113" s="76"/>
      <c r="U1113" s="97">
        <f>0.102/1000</f>
        <v>1.02E-4</v>
      </c>
      <c r="V1113" s="97">
        <f>0.102/1000</f>
        <v>1.02E-4</v>
      </c>
      <c r="W1113" s="97">
        <f>0.102/1000</f>
        <v>1.02E-4</v>
      </c>
      <c r="X1113" s="262">
        <f t="shared" si="263"/>
        <v>1.02E-4</v>
      </c>
      <c r="Y1113" s="97">
        <f>0.102/1000</f>
        <v>1.02E-4</v>
      </c>
      <c r="Z1113" s="262">
        <f t="shared" si="264"/>
        <v>1.02E-4</v>
      </c>
      <c r="AA1113" s="262">
        <f t="shared" si="264"/>
        <v>1.02E-4</v>
      </c>
      <c r="AB1113" s="262">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2009</v>
      </c>
      <c r="G1114" s="73"/>
      <c r="H1114" s="76" t="s">
        <v>2010</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2">
        <f t="shared" si="263"/>
        <v>-1.9000000000000001E-8</v>
      </c>
      <c r="Y1114" s="97">
        <f>-0.000019/1000</f>
        <v>-1.9000000000000001E-8</v>
      </c>
      <c r="Z1114" s="262">
        <f t="shared" si="264"/>
        <v>-1.9000000000000001E-8</v>
      </c>
      <c r="AA1114" s="262">
        <f t="shared" si="264"/>
        <v>-1.9000000000000001E-8</v>
      </c>
      <c r="AB1114" s="262">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2011</v>
      </c>
      <c r="G1115" s="73"/>
      <c r="H1115" s="76" t="s">
        <v>2012</v>
      </c>
      <c r="I1115" s="76"/>
      <c r="J1115" s="76"/>
      <c r="K1115" s="76"/>
      <c r="L1115" s="76"/>
      <c r="M1115" s="76"/>
      <c r="N1115" s="76"/>
      <c r="O1115" s="76"/>
      <c r="P1115" s="76"/>
      <c r="Q1115" s="76"/>
      <c r="R1115" s="76"/>
      <c r="S1115" s="76"/>
      <c r="T1115" s="76"/>
      <c r="U1115" s="97">
        <f>14.9/1000</f>
        <v>1.49E-2</v>
      </c>
      <c r="V1115" s="97">
        <f>14.9/1000</f>
        <v>1.49E-2</v>
      </c>
      <c r="W1115" s="97">
        <f>14.9/1000</f>
        <v>1.49E-2</v>
      </c>
      <c r="X1115" s="262">
        <f t="shared" si="263"/>
        <v>1.49E-2</v>
      </c>
      <c r="Y1115" s="97">
        <f>14.9/1000</f>
        <v>1.49E-2</v>
      </c>
      <c r="Z1115" s="262">
        <f t="shared" si="264"/>
        <v>1.49E-2</v>
      </c>
      <c r="AA1115" s="262">
        <f t="shared" si="264"/>
        <v>1.49E-2</v>
      </c>
      <c r="AB1115" s="262">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2" t="s">
        <v>1801</v>
      </c>
      <c r="G1116" s="73"/>
      <c r="H1116" s="274" t="s">
        <v>2751</v>
      </c>
      <c r="I1116" s="136"/>
      <c r="J1116" s="136" t="s">
        <v>1124</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2013</v>
      </c>
      <c r="G1117" s="73"/>
      <c r="H1117" s="76" t="s">
        <v>2014</v>
      </c>
      <c r="I1117" s="96" t="s">
        <v>2442</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2015</v>
      </c>
      <c r="G1118" s="73"/>
      <c r="H1118" s="76" t="s">
        <v>2016</v>
      </c>
      <c r="I1118" s="96" t="s">
        <v>2443</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2017</v>
      </c>
      <c r="G1119" s="73"/>
      <c r="H1119" s="76" t="s">
        <v>2018</v>
      </c>
      <c r="I1119" s="96" t="s">
        <v>2444</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2019</v>
      </c>
      <c r="G1120" s="73"/>
      <c r="H1120" s="76" t="s">
        <v>2477</v>
      </c>
      <c r="I1120" s="96" t="s">
        <v>2478</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2021</v>
      </c>
      <c r="G1121" s="73"/>
      <c r="H1121" s="76" t="s">
        <v>2020</v>
      </c>
      <c r="I1121" s="96" t="s">
        <v>2445</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2483</v>
      </c>
      <c r="G1122" s="73"/>
      <c r="H1122" s="76" t="s">
        <v>2022</v>
      </c>
      <c r="I1122" s="96" t="s">
        <v>2446</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2484</v>
      </c>
      <c r="G1123" s="73"/>
      <c r="H1123" s="76" t="s">
        <v>2479</v>
      </c>
      <c r="I1123" s="96" t="s">
        <v>2480</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2485</v>
      </c>
      <c r="G1124" s="73"/>
      <c r="H1124" s="76" t="s">
        <v>2481</v>
      </c>
      <c r="I1124" s="96" t="s">
        <v>2482</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2849</v>
      </c>
      <c r="I1125" s="96" t="s">
        <v>2853</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2850</v>
      </c>
      <c r="I1126" s="96" t="s">
        <v>2854</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2851</v>
      </c>
      <c r="I1127" s="96" t="s">
        <v>2855</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2852</v>
      </c>
      <c r="I1128" s="96" t="s">
        <v>2856</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2023</v>
      </c>
      <c r="G1129" s="73"/>
      <c r="H1129" s="76" t="s">
        <v>2024</v>
      </c>
      <c r="I1129" s="96" t="s">
        <v>2447</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2025</v>
      </c>
      <c r="G1130" s="73"/>
      <c r="H1130" s="76" t="s">
        <v>672</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2027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2028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2029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2486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2487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2488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2031</v>
      </c>
      <c r="G1143" s="73"/>
      <c r="H1143" s="76" t="s">
        <v>672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2489</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2037</v>
      </c>
      <c r="G1156" s="73"/>
      <c r="H1156" s="76" t="s">
        <v>672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2038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2039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2494</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2043</v>
      </c>
      <c r="G1169" s="73"/>
      <c r="H1169" s="76" t="s">
        <v>672</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2045</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2046</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2047</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2516</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2517</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2518</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2048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2049</v>
      </c>
      <c r="G1182" s="73"/>
      <c r="H1182" s="76" t="s">
        <v>672</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2519</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2520</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2521</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2055</v>
      </c>
      <c r="G1195" s="73"/>
      <c r="H1195" s="76" t="s">
        <v>672</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2057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2058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2061</v>
      </c>
      <c r="G1208" s="73"/>
      <c r="H1208" s="76" t="s">
        <v>672</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2063</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2064</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2526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2527</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17"/>
      <c r="F1220" s="417" t="s">
        <v>2066</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21"/>
      <c r="F1221" s="421" t="s">
        <v>2067</v>
      </c>
      <c r="G1221" s="422"/>
      <c r="H1221" s="188" t="s">
        <v>2068</v>
      </c>
      <c r="I1221" s="188"/>
      <c r="J1221" s="188"/>
      <c r="K1221" s="188"/>
      <c r="L1221" s="188"/>
      <c r="M1221" s="188"/>
      <c r="N1221" s="188"/>
      <c r="O1221" s="188"/>
      <c r="P1221" s="188"/>
      <c r="Q1221" s="188"/>
      <c r="R1221" s="188"/>
      <c r="S1221" s="188"/>
      <c r="T1221" s="188"/>
      <c r="U1221" s="423">
        <v>145.22200000000001</v>
      </c>
      <c r="V1221" s="424">
        <f t="shared" ref="V1221" si="267">U1221</f>
        <v>145.22200000000001</v>
      </c>
      <c r="W1221" s="424">
        <f t="shared" ref="W1221" si="268">V1221</f>
        <v>145.22200000000001</v>
      </c>
      <c r="X1221" s="424">
        <f t="shared" ref="X1221:X1223" si="269">Y1221</f>
        <v>178.5</v>
      </c>
      <c r="Y1221" s="423">
        <v>178.5</v>
      </c>
      <c r="Z1221" s="424">
        <f t="shared" ref="Z1221:Z1223" si="270">Y1221</f>
        <v>178.5</v>
      </c>
      <c r="AA1221" s="424">
        <f t="shared" ref="AA1221:AA1223" si="271">Z1221</f>
        <v>178.5</v>
      </c>
      <c r="AB1221" s="424">
        <f t="shared" ref="AB1221:AB1223" si="272">AA1221</f>
        <v>178.5</v>
      </c>
      <c r="AC1221" s="188"/>
      <c r="AD1221" s="423" t="s">
        <v>2685</v>
      </c>
      <c r="AE1221" s="188"/>
      <c r="AF1221" s="423">
        <v>1</v>
      </c>
      <c r="AG1221" s="423">
        <v>1</v>
      </c>
      <c r="AH1221" s="73"/>
      <c r="AI1221" s="57"/>
      <c r="AJ1221" s="45"/>
      <c r="AK1221" s="45"/>
      <c r="AL1221" s="45"/>
    </row>
    <row r="1222" spans="1:38" outlineLevel="2" x14ac:dyDescent="0.25">
      <c r="A1222" s="45"/>
      <c r="B1222" s="54"/>
      <c r="C1222" s="47">
        <f t="shared" si="266"/>
        <v>3</v>
      </c>
      <c r="D1222" s="73"/>
      <c r="E1222" s="70"/>
      <c r="F1222" s="70" t="s">
        <v>2069</v>
      </c>
      <c r="G1222" s="241"/>
      <c r="H1222" s="76" t="s">
        <v>2070</v>
      </c>
      <c r="I1222" s="76"/>
      <c r="J1222" s="76"/>
      <c r="K1222" s="76"/>
      <c r="L1222" s="76"/>
      <c r="M1222" s="76"/>
      <c r="N1222" s="76"/>
      <c r="O1222" s="76"/>
      <c r="P1222" s="76"/>
      <c r="Q1222" s="76"/>
      <c r="R1222" s="76"/>
      <c r="S1222" s="76"/>
      <c r="T1222" s="76"/>
      <c r="U1222" s="97">
        <v>-604.5421</v>
      </c>
      <c r="V1222" s="262">
        <f t="shared" ref="V1222:V1223" si="273">U1222</f>
        <v>-604.5421</v>
      </c>
      <c r="W1222" s="262">
        <f t="shared" ref="W1222:W1223" si="274">V1222</f>
        <v>-604.5421</v>
      </c>
      <c r="X1222" s="419">
        <f t="shared" si="269"/>
        <v>-851.4</v>
      </c>
      <c r="Y1222" s="97">
        <v>-851.4</v>
      </c>
      <c r="Z1222" s="419">
        <f t="shared" si="270"/>
        <v>-851.4</v>
      </c>
      <c r="AA1222" s="419">
        <f t="shared" si="271"/>
        <v>-851.4</v>
      </c>
      <c r="AB1222" s="419">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2071</v>
      </c>
      <c r="G1223" s="241"/>
      <c r="H1223" s="76" t="s">
        <v>2072</v>
      </c>
      <c r="I1223" s="76"/>
      <c r="J1223" s="76"/>
      <c r="K1223" s="76"/>
      <c r="L1223" s="76"/>
      <c r="M1223" s="76"/>
      <c r="N1223" s="76"/>
      <c r="O1223" s="76"/>
      <c r="P1223" s="76"/>
      <c r="Q1223" s="76"/>
      <c r="R1223" s="76"/>
      <c r="S1223" s="76"/>
      <c r="T1223" s="76"/>
      <c r="U1223" s="97">
        <v>-7.9950000000000004E-3</v>
      </c>
      <c r="V1223" s="262">
        <f t="shared" si="273"/>
        <v>-7.9950000000000004E-3</v>
      </c>
      <c r="W1223" s="262">
        <f t="shared" si="274"/>
        <v>-7.9950000000000004E-3</v>
      </c>
      <c r="X1223" s="419">
        <f t="shared" si="269"/>
        <v>-1.761E-3</v>
      </c>
      <c r="Y1223" s="97">
        <v>-1.761E-3</v>
      </c>
      <c r="Z1223" s="419">
        <f t="shared" si="270"/>
        <v>-1.761E-3</v>
      </c>
      <c r="AA1223" s="419">
        <f t="shared" si="271"/>
        <v>-1.761E-3</v>
      </c>
      <c r="AB1223" s="419">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2073</v>
      </c>
      <c r="G1224" s="241"/>
      <c r="H1224" s="76" t="s">
        <v>2580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2075</v>
      </c>
      <c r="G1225" s="241"/>
      <c r="H1225" s="76" t="s">
        <v>2074</v>
      </c>
      <c r="I1225" s="76"/>
      <c r="J1225" s="76"/>
      <c r="K1225" s="76"/>
      <c r="L1225" s="76"/>
      <c r="M1225" s="76"/>
      <c r="N1225" s="76"/>
      <c r="O1225" s="76"/>
      <c r="P1225" s="76"/>
      <c r="Q1225" s="76"/>
      <c r="R1225" s="76"/>
      <c r="S1225" s="76"/>
      <c r="T1225" s="76"/>
      <c r="U1225" s="97">
        <f>0.001337*0</f>
        <v>0</v>
      </c>
      <c r="V1225" s="262">
        <f t="shared" ref="V1225:V1226" si="275">U1225</f>
        <v>0</v>
      </c>
      <c r="W1225" s="262">
        <f t="shared" ref="W1225:W1226" si="276">V1225</f>
        <v>0</v>
      </c>
      <c r="X1225" s="419">
        <f t="shared" ref="X1225:X1226" si="277">Y1225</f>
        <v>0</v>
      </c>
      <c r="Y1225" s="97">
        <v>0</v>
      </c>
      <c r="Z1225" s="419">
        <f t="shared" ref="Z1225:Z1226" si="278">Y1225</f>
        <v>0</v>
      </c>
      <c r="AA1225" s="419">
        <f t="shared" ref="AA1225:AA1226" si="279">Z1225</f>
        <v>0</v>
      </c>
      <c r="AB1225" s="419">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2583</v>
      </c>
      <c r="G1226" s="241"/>
      <c r="H1226" s="76" t="s">
        <v>2076</v>
      </c>
      <c r="I1226" s="76"/>
      <c r="J1226" s="76"/>
      <c r="K1226" s="76"/>
      <c r="L1226" s="76"/>
      <c r="M1226" s="76"/>
      <c r="N1226" s="76"/>
      <c r="O1226" s="76"/>
      <c r="P1226" s="76"/>
      <c r="Q1226" s="76"/>
      <c r="R1226" s="76"/>
      <c r="S1226" s="76"/>
      <c r="T1226" s="76"/>
      <c r="U1226" s="97">
        <f>-0.000000272*0</f>
        <v>0</v>
      </c>
      <c r="V1226" s="262">
        <f t="shared" si="275"/>
        <v>0</v>
      </c>
      <c r="W1226" s="262">
        <f t="shared" si="276"/>
        <v>0</v>
      </c>
      <c r="X1226" s="419">
        <f t="shared" si="277"/>
        <v>0</v>
      </c>
      <c r="Y1226" s="97">
        <v>0</v>
      </c>
      <c r="Z1226" s="419">
        <f t="shared" si="278"/>
        <v>0</v>
      </c>
      <c r="AA1226" s="419">
        <f t="shared" si="279"/>
        <v>0</v>
      </c>
      <c r="AB1226" s="419">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2584</v>
      </c>
      <c r="G1227" s="241"/>
      <c r="H1227" s="76" t="s">
        <v>2581</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2585</v>
      </c>
      <c r="G1228" s="241"/>
      <c r="H1228" s="76" t="s">
        <v>2582</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2849</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2850</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2851</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2852</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25"/>
      <c r="F1233" s="425" t="s">
        <v>2077</v>
      </c>
      <c r="G1233" s="426"/>
      <c r="H1233" s="191" t="s">
        <v>2752</v>
      </c>
      <c r="I1233" s="191"/>
      <c r="J1233" s="191"/>
      <c r="K1233" s="191"/>
      <c r="L1233" s="191"/>
      <c r="M1233" s="191"/>
      <c r="N1233" s="191"/>
      <c r="O1233" s="191"/>
      <c r="P1233" s="191"/>
      <c r="Q1233" s="191"/>
      <c r="R1233" s="191"/>
      <c r="S1233" s="191"/>
      <c r="T1233" s="191"/>
      <c r="U1233" s="428">
        <v>1.7397800000000001</v>
      </c>
      <c r="V1233" s="429">
        <f t="shared" ref="V1233" si="281">U1233</f>
        <v>1.7397800000000001</v>
      </c>
      <c r="W1233" s="429">
        <f t="shared" ref="W1233" si="282">V1233</f>
        <v>1.7397800000000001</v>
      </c>
      <c r="X1233" s="429">
        <f t="shared" ref="X1233" si="283">Y1233</f>
        <v>-4.3544999999999998</v>
      </c>
      <c r="Y1233" s="428">
        <v>-4.3544999999999998</v>
      </c>
      <c r="Z1233" s="429">
        <f t="shared" ref="Z1233" si="284">Y1233</f>
        <v>-4.3544999999999998</v>
      </c>
      <c r="AA1233" s="429">
        <f t="shared" ref="AA1233" si="285">Z1233</f>
        <v>-4.3544999999999998</v>
      </c>
      <c r="AB1233" s="429">
        <f t="shared" ref="AB1233" si="286">AA1233</f>
        <v>-4.3544999999999998</v>
      </c>
      <c r="AC1233" s="191"/>
      <c r="AD1233" s="191"/>
      <c r="AE1233" s="191"/>
      <c r="AF1233" s="428">
        <v>1</v>
      </c>
      <c r="AG1233" s="428">
        <v>1</v>
      </c>
      <c r="AH1233" s="73"/>
      <c r="AI1233" s="57"/>
      <c r="AJ1233" s="45"/>
      <c r="AK1233" s="45"/>
      <c r="AL1233" s="45"/>
    </row>
    <row r="1234" spans="1:38" outlineLevel="3" x14ac:dyDescent="0.25">
      <c r="A1234" s="45"/>
      <c r="B1234" s="54"/>
      <c r="C1234" s="47">
        <f t="shared" si="265"/>
        <v>4</v>
      </c>
      <c r="D1234" s="73"/>
      <c r="E1234" s="418"/>
      <c r="F1234" s="418" t="s">
        <v>2078</v>
      </c>
      <c r="G1234" s="73"/>
      <c r="H1234" s="105" t="s">
        <v>672</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2079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2528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2529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2084</v>
      </c>
      <c r="G1247" s="73"/>
      <c r="H1247" s="76" t="s">
        <v>672</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2087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2089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2090</v>
      </c>
      <c r="G1260" s="73"/>
      <c r="H1260" s="76" t="s">
        <v>672</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2536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2096</v>
      </c>
      <c r="G1273" s="73"/>
      <c r="H1273" s="76" t="s">
        <v>672</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2097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2098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2099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2537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2538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2539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2102</v>
      </c>
      <c r="G1286" s="73"/>
      <c r="H1286" s="76" t="s">
        <v>672</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2104</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2105</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2107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2108</v>
      </c>
      <c r="G1299" s="73"/>
      <c r="H1299" s="76" t="s">
        <v>672</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2109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2114</v>
      </c>
      <c r="G1312" s="73"/>
      <c r="H1312" s="76" t="s">
        <v>672</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2116</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2117</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2546</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2547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2548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2119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2120</v>
      </c>
      <c r="G1325" s="73"/>
      <c r="H1325" s="76" t="s">
        <v>672</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2549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2551</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2126</v>
      </c>
      <c r="G1338" s="73"/>
      <c r="H1338" s="76" t="s">
        <v>672</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2127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2128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2129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2132</v>
      </c>
      <c r="G1351" s="73"/>
      <c r="H1351" s="76" t="s">
        <v>672</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2134</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2135</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2555</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2556</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2557</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2137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2138</v>
      </c>
      <c r="G1364" s="73"/>
      <c r="H1364" s="76" t="s">
        <v>672</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2139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2558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2559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2144</v>
      </c>
      <c r="G1377" s="73"/>
      <c r="H1377" s="76" t="s">
        <v>2145</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2">
        <f t="shared" ref="X1377:AB1378" si="295">W1377</f>
        <v>0.57699999999999996</v>
      </c>
      <c r="Y1377" s="262">
        <f t="shared" si="295"/>
        <v>0.57699999999999996</v>
      </c>
      <c r="Z1377" s="262">
        <f t="shared" si="295"/>
        <v>0.57699999999999996</v>
      </c>
      <c r="AA1377" s="262">
        <f t="shared" si="295"/>
        <v>0.57699999999999996</v>
      </c>
      <c r="AB1377" s="262">
        <f t="shared" si="295"/>
        <v>0.57699999999999996</v>
      </c>
      <c r="AC1377" s="76"/>
      <c r="AD1377" s="97" t="s">
        <v>2146</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2147</v>
      </c>
      <c r="G1378" s="73"/>
      <c r="H1378" s="76" t="s">
        <v>2148</v>
      </c>
      <c r="I1378" s="76"/>
      <c r="J1378" s="76"/>
      <c r="K1378" s="76"/>
      <c r="L1378" s="76"/>
      <c r="M1378" s="76"/>
      <c r="N1378" s="76"/>
      <c r="O1378" s="76"/>
      <c r="P1378" s="76"/>
      <c r="Q1378" s="76"/>
      <c r="R1378" s="76"/>
      <c r="S1378" s="76"/>
      <c r="T1378" s="76"/>
      <c r="U1378" s="97">
        <v>-1.2E-2</v>
      </c>
      <c r="V1378" s="97">
        <v>-1.2E-2</v>
      </c>
      <c r="W1378" s="97">
        <v>-1.2E-2</v>
      </c>
      <c r="X1378" s="262">
        <f t="shared" si="295"/>
        <v>-1.2E-2</v>
      </c>
      <c r="Y1378" s="262">
        <f t="shared" si="295"/>
        <v>-1.2E-2</v>
      </c>
      <c r="Z1378" s="262">
        <f t="shared" si="295"/>
        <v>-1.2E-2</v>
      </c>
      <c r="AA1378" s="262">
        <f t="shared" si="295"/>
        <v>-1.2E-2</v>
      </c>
      <c r="AB1378" s="262">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2149</v>
      </c>
      <c r="G1379" s="73"/>
      <c r="H1379" s="76" t="s">
        <v>2150</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2151</v>
      </c>
      <c r="G1380" s="73"/>
      <c r="H1380" s="390" t="s">
        <v>2574</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2153</v>
      </c>
      <c r="G1381" s="73"/>
      <c r="H1381" s="76" t="s">
        <v>2152</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2579</v>
      </c>
      <c r="G1382" s="73"/>
      <c r="H1382" s="76" t="s">
        <v>2154</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2577</v>
      </c>
      <c r="G1383" s="73"/>
      <c r="H1383" s="390" t="s">
        <v>2575</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2578</v>
      </c>
      <c r="G1384" s="73"/>
      <c r="H1384" s="390" t="s">
        <v>2576</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2849</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2850</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2851</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2852</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2155</v>
      </c>
      <c r="G1389" s="73"/>
      <c r="H1389" s="76" t="s">
        <v>2156</v>
      </c>
      <c r="I1389" s="76"/>
      <c r="J1389" s="76"/>
      <c r="K1389" s="76"/>
      <c r="L1389" s="76"/>
      <c r="M1389" s="76"/>
      <c r="N1389" s="76"/>
      <c r="O1389" s="76"/>
      <c r="P1389" s="76"/>
      <c r="Q1389" s="76"/>
      <c r="R1389" s="76"/>
      <c r="S1389" s="76"/>
      <c r="T1389" s="76"/>
      <c r="U1389" s="97">
        <v>-4.07</v>
      </c>
      <c r="V1389" s="97">
        <v>-4.07</v>
      </c>
      <c r="W1389" s="97">
        <v>-4.07</v>
      </c>
      <c r="X1389" s="262">
        <f>W1389</f>
        <v>-4.07</v>
      </c>
      <c r="Y1389" s="262">
        <f>X1389</f>
        <v>-4.07</v>
      </c>
      <c r="Z1389" s="262">
        <f>Y1389</f>
        <v>-4.07</v>
      </c>
      <c r="AA1389" s="262">
        <f>Z1389</f>
        <v>-4.07</v>
      </c>
      <c r="AB1389" s="262">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2157</v>
      </c>
      <c r="G1390" s="73"/>
      <c r="H1390" s="76" t="s">
        <v>672</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2159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2163</v>
      </c>
      <c r="G1403" s="73"/>
      <c r="H1403" s="76" t="s">
        <v>2869</v>
      </c>
      <c r="I1403" s="76"/>
      <c r="J1403" s="76"/>
      <c r="K1403" s="76"/>
      <c r="L1403" s="76"/>
      <c r="M1403" s="76"/>
      <c r="N1403" s="76"/>
      <c r="O1403" s="76"/>
      <c r="P1403" s="76"/>
      <c r="Q1403" s="76"/>
      <c r="R1403" s="76"/>
      <c r="S1403" s="76"/>
      <c r="T1403" s="76"/>
      <c r="U1403" s="97">
        <v>-8.4959000000000007</v>
      </c>
      <c r="V1403" s="268">
        <f t="shared" ref="V1403:AB1404" si="299">U1403</f>
        <v>-8.4959000000000007</v>
      </c>
      <c r="W1403" s="268">
        <f t="shared" si="299"/>
        <v>-8.4959000000000007</v>
      </c>
      <c r="X1403" s="268">
        <f t="shared" si="299"/>
        <v>-8.4959000000000007</v>
      </c>
      <c r="Y1403" s="268">
        <f t="shared" si="299"/>
        <v>-8.4959000000000007</v>
      </c>
      <c r="Z1403" s="268">
        <f t="shared" si="299"/>
        <v>-8.4959000000000007</v>
      </c>
      <c r="AA1403" s="268">
        <f t="shared" si="299"/>
        <v>-8.4959000000000007</v>
      </c>
      <c r="AB1403" s="268">
        <f t="shared" si="299"/>
        <v>-8.4959000000000007</v>
      </c>
      <c r="AC1403" s="76"/>
      <c r="AD1403" s="97" t="s">
        <v>2870</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2164</v>
      </c>
      <c r="G1404" s="73"/>
      <c r="H1404" s="76" t="s">
        <v>2586</v>
      </c>
      <c r="I1404" s="76"/>
      <c r="J1404" s="76"/>
      <c r="K1404" s="76"/>
      <c r="L1404" s="76"/>
      <c r="M1404" s="76"/>
      <c r="N1404" s="76"/>
      <c r="O1404" s="76"/>
      <c r="P1404" s="76"/>
      <c r="Q1404" s="76"/>
      <c r="R1404" s="76"/>
      <c r="S1404" s="76"/>
      <c r="T1404" s="76"/>
      <c r="U1404" s="97">
        <v>1.38185</v>
      </c>
      <c r="V1404" s="268">
        <f t="shared" si="299"/>
        <v>1.38185</v>
      </c>
      <c r="W1404" s="268">
        <f t="shared" si="299"/>
        <v>1.38185</v>
      </c>
      <c r="X1404" s="268">
        <f t="shared" si="299"/>
        <v>1.38185</v>
      </c>
      <c r="Y1404" s="268">
        <f t="shared" si="299"/>
        <v>1.38185</v>
      </c>
      <c r="Z1404" s="268">
        <f t="shared" si="299"/>
        <v>1.38185</v>
      </c>
      <c r="AA1404" s="268">
        <f t="shared" si="299"/>
        <v>1.38185</v>
      </c>
      <c r="AB1404" s="268">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2165</v>
      </c>
      <c r="G1405" s="73"/>
      <c r="H1405" s="390" t="s">
        <v>2597</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2166</v>
      </c>
      <c r="G1406" s="73"/>
      <c r="H1406" s="390" t="s">
        <v>2598</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2167</v>
      </c>
      <c r="G1407" s="73"/>
      <c r="H1407" s="390" t="s">
        <v>2599</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2495</v>
      </c>
      <c r="G1408" s="73"/>
      <c r="H1408" s="390" t="s">
        <v>2600</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2496</v>
      </c>
      <c r="G1409" s="73"/>
      <c r="H1409" s="390" t="s">
        <v>2601</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2497</v>
      </c>
      <c r="G1410" s="73"/>
      <c r="H1410" s="390" t="s">
        <v>2602</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2849</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2850</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2851</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2852</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2168</v>
      </c>
      <c r="G1415" s="73"/>
      <c r="H1415" s="76" t="s">
        <v>2753</v>
      </c>
      <c r="I1415" s="76"/>
      <c r="J1415" s="76"/>
      <c r="K1415" s="76"/>
      <c r="L1415" s="76"/>
      <c r="M1415" s="76"/>
      <c r="N1415" s="76"/>
      <c r="O1415" s="76"/>
      <c r="P1415" s="76"/>
      <c r="Q1415" s="76"/>
      <c r="R1415" s="76"/>
      <c r="S1415" s="76"/>
      <c r="T1415" s="76"/>
      <c r="U1415" s="97">
        <v>7.50061</v>
      </c>
      <c r="V1415" s="268">
        <f t="shared" ref="V1415" si="301">U1415</f>
        <v>7.50061</v>
      </c>
      <c r="W1415" s="268">
        <f t="shared" ref="W1415" si="302">V1415</f>
        <v>7.50061</v>
      </c>
      <c r="X1415" s="268">
        <f t="shared" ref="X1415" si="303">W1415</f>
        <v>7.50061</v>
      </c>
      <c r="Y1415" s="268">
        <f t="shared" ref="Y1415" si="304">X1415</f>
        <v>7.50061</v>
      </c>
      <c r="Z1415" s="268">
        <f t="shared" ref="Z1415" si="305">Y1415</f>
        <v>7.50061</v>
      </c>
      <c r="AA1415" s="268">
        <f t="shared" ref="AA1415" si="306">Z1415</f>
        <v>7.50061</v>
      </c>
      <c r="AB1415" s="268">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2498</v>
      </c>
      <c r="G1416" s="73"/>
      <c r="H1416" s="76" t="s">
        <v>2872</v>
      </c>
      <c r="I1416" s="76"/>
      <c r="J1416" s="76"/>
      <c r="K1416" s="76"/>
      <c r="L1416" s="76"/>
      <c r="M1416" s="76"/>
      <c r="N1416" s="76"/>
      <c r="O1416" s="76"/>
      <c r="P1416" s="76"/>
      <c r="Q1416" s="76"/>
      <c r="R1416" s="76"/>
      <c r="S1416" s="76"/>
      <c r="T1416" s="76"/>
      <c r="U1416" s="97">
        <v>-0.30890000000000001</v>
      </c>
      <c r="V1416" s="262">
        <f t="shared" ref="V1416" si="309">U1416</f>
        <v>-0.30890000000000001</v>
      </c>
      <c r="W1416" s="262">
        <f t="shared" ref="W1416" si="310">V1416</f>
        <v>-0.30890000000000001</v>
      </c>
      <c r="X1416" s="262">
        <f t="shared" ref="X1416" si="311">Y1416</f>
        <v>-0.30890000000000001</v>
      </c>
      <c r="Y1416" s="97">
        <v>-0.30890000000000001</v>
      </c>
      <c r="Z1416" s="262">
        <f t="shared" ref="Z1416" si="312">Y1416</f>
        <v>-0.30890000000000001</v>
      </c>
      <c r="AA1416" s="262">
        <f t="shared" ref="AA1416" si="313">Z1416</f>
        <v>-0.30890000000000001</v>
      </c>
      <c r="AB1416" s="262">
        <f t="shared" ref="AB1416" si="314">AA1416</f>
        <v>-0.30890000000000001</v>
      </c>
      <c r="AC1416" s="76"/>
      <c r="AD1416" s="97" t="s">
        <v>2871</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2499</v>
      </c>
      <c r="G1417" s="73"/>
      <c r="H1417" s="76" t="s">
        <v>2586</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ref="C1418:C1427" si="315">INT($C$29)+3</f>
        <v>4</v>
      </c>
      <c r="D1418" s="73"/>
      <c r="E1418" s="70"/>
      <c r="F1418" s="70" t="s">
        <v>2500</v>
      </c>
      <c r="G1418" s="73"/>
      <c r="H1418" s="391" t="s">
        <v>2873</v>
      </c>
      <c r="I1418" s="76"/>
      <c r="J1418" s="76"/>
      <c r="K1418" s="76"/>
      <c r="L1418" s="76"/>
      <c r="M1418" s="76"/>
      <c r="N1418" s="76"/>
      <c r="O1418" s="76"/>
      <c r="P1418" s="76"/>
      <c r="Q1418" s="76"/>
      <c r="R1418" s="76"/>
      <c r="S1418" s="76"/>
      <c r="T1418" s="76"/>
      <c r="U1418" s="97">
        <v>-0.15570000000000001</v>
      </c>
      <c r="V1418" s="262">
        <f t="shared" ref="V1418" si="316">U1418</f>
        <v>-0.15570000000000001</v>
      </c>
      <c r="W1418" s="262">
        <f t="shared" ref="W1418" si="317">V1418</f>
        <v>-0.15570000000000001</v>
      </c>
      <c r="X1418" s="262">
        <f t="shared" ref="X1418" si="318">Y1418</f>
        <v>-0.15570000000000001</v>
      </c>
      <c r="Y1418" s="97">
        <v>-0.15570000000000001</v>
      </c>
      <c r="Z1418" s="262">
        <f t="shared" ref="Z1418" si="319">Y1418</f>
        <v>-0.15570000000000001</v>
      </c>
      <c r="AA1418" s="262">
        <f t="shared" ref="AA1418" si="320">Z1418</f>
        <v>-0.15570000000000001</v>
      </c>
      <c r="AB1418" s="262">
        <f t="shared" ref="AB1418" si="321">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15"/>
        <v>4</v>
      </c>
      <c r="D1419" s="73"/>
      <c r="E1419" s="70"/>
      <c r="F1419" s="70" t="s">
        <v>2501</v>
      </c>
      <c r="G1419" s="73"/>
      <c r="H1419" s="391" t="s">
        <v>2874</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15"/>
        <v>4</v>
      </c>
      <c r="D1420" s="73"/>
      <c r="E1420" s="70"/>
      <c r="F1420" s="70" t="s">
        <v>2502</v>
      </c>
      <c r="G1420" s="73"/>
      <c r="H1420" s="390" t="s">
        <v>2599</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15"/>
        <v>4</v>
      </c>
      <c r="D1421" s="73"/>
      <c r="E1421" s="70"/>
      <c r="F1421" s="70" t="s">
        <v>2503</v>
      </c>
      <c r="G1421" s="73"/>
      <c r="H1421" s="390" t="s">
        <v>2600</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15"/>
        <v>4</v>
      </c>
      <c r="D1422" s="73"/>
      <c r="E1422" s="70"/>
      <c r="F1422" s="70" t="s">
        <v>2504</v>
      </c>
      <c r="G1422" s="73"/>
      <c r="H1422" s="390" t="s">
        <v>2601</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15"/>
        <v>4</v>
      </c>
      <c r="D1423" s="73"/>
      <c r="E1423" s="70"/>
      <c r="F1423" s="70" t="s">
        <v>2505</v>
      </c>
      <c r="G1423" s="73"/>
      <c r="H1423" s="390" t="s">
        <v>2602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15"/>
        <v>4</v>
      </c>
      <c r="D1424" s="73"/>
      <c r="E1424" s="70"/>
      <c r="F1424" s="70" t="str">
        <f>SUBSTITUTE(F1420,",4)",",8)")</f>
        <v>C(U2,23,8)</v>
      </c>
      <c r="G1424" s="73"/>
      <c r="H1424" s="390" t="s">
        <v>2876</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5"/>
        <v>4</v>
      </c>
      <c r="D1425" s="73"/>
      <c r="E1425" s="70"/>
      <c r="F1425" s="70" t="str">
        <f>SUBSTITUTE(F1421,",5)",",9)")</f>
        <v>C(U2,23,9)</v>
      </c>
      <c r="G1425" s="73"/>
      <c r="H1425" s="390" t="s">
        <v>2877</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5"/>
        <v>4</v>
      </c>
      <c r="D1426" s="73"/>
      <c r="E1426" s="70"/>
      <c r="F1426" s="70" t="str">
        <f>SUBSTITUTE(F1422,",6)",",10)")</f>
        <v>C(U2,23,10)</v>
      </c>
      <c r="G1426" s="73"/>
      <c r="H1426" s="390" t="s">
        <v>2878</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5"/>
        <v>4</v>
      </c>
      <c r="D1427" s="73"/>
      <c r="E1427" s="70"/>
      <c r="F1427" s="70" t="str">
        <f>SUBSTITUTE(F1423,",7)",",11)")</f>
        <v>C(U2,23,11)</v>
      </c>
      <c r="G1427" s="73"/>
      <c r="H1427" s="390" t="s">
        <v>2879</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2">INT($C$29)+2</f>
        <v>3</v>
      </c>
      <c r="D1428" s="73"/>
      <c r="E1428" s="70"/>
      <c r="F1428" s="70" t="s">
        <v>2506</v>
      </c>
      <c r="G1428" s="73"/>
      <c r="H1428" s="76" t="s">
        <v>2875</v>
      </c>
      <c r="I1428" s="76"/>
      <c r="J1428" s="76"/>
      <c r="K1428" s="76"/>
      <c r="L1428" s="76"/>
      <c r="M1428" s="76"/>
      <c r="N1428" s="76"/>
      <c r="O1428" s="76"/>
      <c r="P1428" s="76"/>
      <c r="Q1428" s="76"/>
      <c r="R1428" s="76"/>
      <c r="S1428" s="76"/>
      <c r="T1428" s="76"/>
      <c r="U1428" s="97">
        <f>-(2.87924+1.61859)</f>
        <v>-4.4978299999999996</v>
      </c>
      <c r="V1428" s="262">
        <f t="shared" ref="V1428" si="323">U1428</f>
        <v>-4.4978299999999996</v>
      </c>
      <c r="W1428" s="262">
        <f t="shared" ref="W1428" si="324">V1428</f>
        <v>-4.4978299999999996</v>
      </c>
      <c r="X1428" s="262">
        <f t="shared" ref="X1428" si="325">Y1428</f>
        <v>-2.8792399999999998</v>
      </c>
      <c r="Y1428" s="97">
        <f>-2.87924</f>
        <v>-2.8792399999999998</v>
      </c>
      <c r="Z1428" s="262">
        <f t="shared" ref="Z1428" si="326">Y1428</f>
        <v>-2.8792399999999998</v>
      </c>
      <c r="AA1428" s="262">
        <f t="shared" ref="AA1428" si="327">Z1428</f>
        <v>-2.8792399999999998</v>
      </c>
      <c r="AB1428" s="262">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2507</v>
      </c>
      <c r="G1429" s="73"/>
      <c r="H1429" s="76" t="s">
        <v>2573</v>
      </c>
      <c r="I1429" s="76"/>
      <c r="J1429" s="76"/>
      <c r="K1429" s="76"/>
      <c r="L1429" s="76"/>
      <c r="M1429" s="76"/>
      <c r="N1429" s="76"/>
      <c r="O1429" s="76"/>
      <c r="P1429" s="76"/>
      <c r="Q1429" s="76"/>
      <c r="R1429" s="76"/>
      <c r="S1429" s="76"/>
      <c r="T1429" s="76"/>
      <c r="U1429" s="97">
        <v>-0.43659999999999999</v>
      </c>
      <c r="V1429" s="262">
        <f t="shared" ref="V1429:W1433" si="329">U1429</f>
        <v>-0.43659999999999999</v>
      </c>
      <c r="W1429" s="262">
        <f t="shared" si="329"/>
        <v>-0.43659999999999999</v>
      </c>
      <c r="X1429" s="262">
        <f t="shared" ref="X1429:X1433" si="330">Y1429</f>
        <v>-0.54688000000000003</v>
      </c>
      <c r="Y1429" s="97">
        <v>-0.54688000000000003</v>
      </c>
      <c r="Z1429" s="262">
        <f t="shared" ref="Z1429:AB1429" si="331">Y1429</f>
        <v>-0.54688000000000003</v>
      </c>
      <c r="AA1429" s="262">
        <f t="shared" si="331"/>
        <v>-0.54688000000000003</v>
      </c>
      <c r="AB1429" s="262">
        <f t="shared" si="331"/>
        <v>-0.54688000000000003</v>
      </c>
      <c r="AC1429" s="76"/>
      <c r="AD1429" s="97" t="s">
        <v>2680</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2508</v>
      </c>
      <c r="G1430" s="73"/>
      <c r="H1430" s="76" t="s">
        <v>2587</v>
      </c>
      <c r="I1430" s="76"/>
      <c r="J1430" s="76"/>
      <c r="K1430" s="76"/>
      <c r="L1430" s="76"/>
      <c r="M1430" s="76"/>
      <c r="N1430" s="76"/>
      <c r="O1430" s="76"/>
      <c r="P1430" s="76"/>
      <c r="Q1430" s="76"/>
      <c r="R1430" s="76"/>
      <c r="S1430" s="76"/>
      <c r="T1430" s="76"/>
      <c r="U1430" s="97">
        <v>3.7200000000000002E-3</v>
      </c>
      <c r="V1430" s="262">
        <f t="shared" si="329"/>
        <v>3.7200000000000002E-3</v>
      </c>
      <c r="W1430" s="262">
        <f t="shared" si="329"/>
        <v>3.7200000000000002E-3</v>
      </c>
      <c r="X1430" s="262">
        <f t="shared" si="330"/>
        <v>5.4739999999999997E-3</v>
      </c>
      <c r="Y1430" s="97">
        <v>5.4739999999999997E-3</v>
      </c>
      <c r="Z1430" s="262">
        <f t="shared" ref="Z1430:AB1430" si="332">Y1430</f>
        <v>5.4739999999999997E-3</v>
      </c>
      <c r="AA1430" s="262">
        <f t="shared" si="332"/>
        <v>5.4739999999999997E-3</v>
      </c>
      <c r="AB1430" s="262">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2509</v>
      </c>
      <c r="G1431" s="73"/>
      <c r="H1431" s="391" t="s">
        <v>2588</v>
      </c>
      <c r="I1431" s="76"/>
      <c r="J1431" s="76"/>
      <c r="K1431" s="76"/>
      <c r="L1431" s="76"/>
      <c r="M1431" s="76"/>
      <c r="N1431" s="76"/>
      <c r="O1431" s="76"/>
      <c r="P1431" s="76"/>
      <c r="Q1431" s="76"/>
      <c r="R1431" s="76"/>
      <c r="S1431" s="76"/>
      <c r="T1431" s="76"/>
      <c r="U1431" s="97">
        <v>-5.1499999999999997E-2</v>
      </c>
      <c r="V1431" s="262">
        <f t="shared" si="329"/>
        <v>-5.1499999999999997E-2</v>
      </c>
      <c r="W1431" s="262">
        <f t="shared" si="329"/>
        <v>-5.1499999999999997E-2</v>
      </c>
      <c r="X1431" s="262">
        <f t="shared" si="330"/>
        <v>-2.75E-2</v>
      </c>
      <c r="Y1431" s="97">
        <v>-2.75E-2</v>
      </c>
      <c r="Z1431" s="262">
        <f t="shared" ref="Z1431:AB1431" si="334">Y1431</f>
        <v>-2.75E-2</v>
      </c>
      <c r="AA1431" s="262">
        <f t="shared" si="334"/>
        <v>-2.75E-2</v>
      </c>
      <c r="AB1431" s="262">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2510</v>
      </c>
      <c r="G1432" s="73"/>
      <c r="H1432" s="391" t="s">
        <v>2677</v>
      </c>
      <c r="I1432" s="76"/>
      <c r="J1432" s="76"/>
      <c r="K1432" s="76"/>
      <c r="L1432" s="76"/>
      <c r="M1432" s="76"/>
      <c r="N1432" s="76"/>
      <c r="O1432" s="76"/>
      <c r="P1432" s="76"/>
      <c r="Q1432" s="76"/>
      <c r="R1432" s="76"/>
      <c r="S1432" s="76"/>
      <c r="T1432" s="76"/>
      <c r="U1432" s="97">
        <f>-U1431/(2*9.5*30.4)</f>
        <v>8.916204986149583E-5</v>
      </c>
      <c r="V1432" s="262">
        <f t="shared" si="329"/>
        <v>8.916204986149583E-5</v>
      </c>
      <c r="W1432" s="262">
        <f t="shared" si="329"/>
        <v>8.916204986149583E-5</v>
      </c>
      <c r="X1432" s="262">
        <f t="shared" si="330"/>
        <v>4.7610803324099718E-5</v>
      </c>
      <c r="Y1432" s="97">
        <f>-Y1431/(2*9.5*30.4)</f>
        <v>4.7610803324099718E-5</v>
      </c>
      <c r="Z1432" s="262">
        <f t="shared" ref="Z1432" si="335">Y1432</f>
        <v>4.7610803324099718E-5</v>
      </c>
      <c r="AA1432" s="262">
        <f t="shared" ref="AA1432" si="336">Z1432</f>
        <v>4.7610803324099718E-5</v>
      </c>
      <c r="AB1432" s="262">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2511</v>
      </c>
      <c r="G1433" s="73"/>
      <c r="H1433" s="391" t="s">
        <v>2589</v>
      </c>
      <c r="I1433" s="76"/>
      <c r="J1433" s="76"/>
      <c r="K1433" s="76"/>
      <c r="L1433" s="76"/>
      <c r="M1433" s="76"/>
      <c r="N1433" s="76"/>
      <c r="O1433" s="76"/>
      <c r="P1433" s="76"/>
      <c r="Q1433" s="76"/>
      <c r="R1433" s="76"/>
      <c r="S1433" s="76"/>
      <c r="T1433" s="76"/>
      <c r="U1433" s="97">
        <v>-4.0000000000000001E-3</v>
      </c>
      <c r="V1433" s="262">
        <f t="shared" si="329"/>
        <v>-4.0000000000000001E-3</v>
      </c>
      <c r="W1433" s="262">
        <f t="shared" si="329"/>
        <v>-4.0000000000000001E-3</v>
      </c>
      <c r="X1433" s="262">
        <f t="shared" si="330"/>
        <v>-4.0000000000000001E-3</v>
      </c>
      <c r="Y1433" s="97">
        <v>-4.0000000000000001E-3</v>
      </c>
      <c r="Z1433" s="262">
        <f t="shared" ref="Z1433:AB1433" si="338">Y1433</f>
        <v>-4.0000000000000001E-3</v>
      </c>
      <c r="AA1433" s="262">
        <f t="shared" si="338"/>
        <v>-4.0000000000000001E-3</v>
      </c>
      <c r="AB1433" s="262">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2512</v>
      </c>
      <c r="G1434" s="73"/>
      <c r="H1434" s="390" t="s">
        <v>2678</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2513</v>
      </c>
      <c r="G1435" s="73"/>
      <c r="H1435" s="391" t="s">
        <v>2590</v>
      </c>
      <c r="I1435" s="76"/>
      <c r="J1435" s="76"/>
      <c r="K1435" s="76"/>
      <c r="L1435" s="76"/>
      <c r="M1435" s="76"/>
      <c r="N1435" s="76"/>
      <c r="O1435" s="76"/>
      <c r="P1435" s="76"/>
      <c r="Q1435" s="76"/>
      <c r="R1435" s="76"/>
      <c r="S1435" s="76"/>
      <c r="T1435" s="76"/>
      <c r="U1435" s="97">
        <v>-2.75E-2</v>
      </c>
      <c r="V1435" s="262">
        <f t="shared" ref="V1435:W1435" si="339">U1435</f>
        <v>-2.75E-2</v>
      </c>
      <c r="W1435" s="262">
        <f t="shared" si="339"/>
        <v>-2.75E-2</v>
      </c>
      <c r="X1435" s="262">
        <f t="shared" ref="X1435" si="340">Y1435</f>
        <v>-2.5499999999999998E-2</v>
      </c>
      <c r="Y1435" s="97">
        <v>-2.5499999999999998E-2</v>
      </c>
      <c r="Z1435" s="262">
        <f t="shared" ref="Z1435:AB1435" si="341">Y1435</f>
        <v>-2.5499999999999998E-2</v>
      </c>
      <c r="AA1435" s="262">
        <f t="shared" si="341"/>
        <v>-2.5499999999999998E-2</v>
      </c>
      <c r="AB1435" s="262">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2514</v>
      </c>
      <c r="G1436" s="73"/>
      <c r="H1436" s="390" t="s">
        <v>2679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2849</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2852</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2515</v>
      </c>
      <c r="G1441" s="73"/>
      <c r="H1441" s="76" t="s">
        <v>2591</v>
      </c>
      <c r="I1441" s="76"/>
      <c r="J1441" s="76"/>
      <c r="K1441" s="76"/>
      <c r="L1441" s="76"/>
      <c r="M1441" s="76"/>
      <c r="N1441" s="76"/>
      <c r="O1441" s="76"/>
      <c r="P1441" s="76"/>
      <c r="Q1441" s="76"/>
      <c r="R1441" s="76"/>
      <c r="S1441" s="76"/>
      <c r="T1441" s="76"/>
      <c r="U1441" s="97">
        <f>19.4829</f>
        <v>19.482900000000001</v>
      </c>
      <c r="V1441" s="262">
        <f t="shared" ref="V1441:W1444" si="343">U1441</f>
        <v>19.482900000000001</v>
      </c>
      <c r="W1441" s="262">
        <f t="shared" si="343"/>
        <v>19.482900000000001</v>
      </c>
      <c r="X1441" s="262">
        <f t="shared" ref="X1441:X1444" si="344">Y1441</f>
        <v>16.702999999999999</v>
      </c>
      <c r="Y1441" s="97">
        <v>16.702999999999999</v>
      </c>
      <c r="Z1441" s="262">
        <f t="shared" ref="Z1441:AB1441" si="345">Y1441</f>
        <v>16.702999999999999</v>
      </c>
      <c r="AA1441" s="262">
        <f t="shared" si="345"/>
        <v>16.702999999999999</v>
      </c>
      <c r="AB1441" s="262">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2564</v>
      </c>
      <c r="G1442" s="73"/>
      <c r="H1442" s="76" t="s">
        <v>2632</v>
      </c>
      <c r="I1442" s="76"/>
      <c r="J1442" s="76"/>
      <c r="K1442" s="76"/>
      <c r="L1442" s="76"/>
      <c r="M1442" s="76"/>
      <c r="N1442" s="76"/>
      <c r="O1442" s="76"/>
      <c r="P1442" s="76"/>
      <c r="Q1442" s="76"/>
      <c r="R1442" s="76"/>
      <c r="S1442" s="76"/>
      <c r="T1442" s="76"/>
      <c r="U1442" s="97">
        <v>-2.988E-2</v>
      </c>
      <c r="V1442" s="262">
        <f t="shared" si="343"/>
        <v>-2.988E-2</v>
      </c>
      <c r="W1442" s="262">
        <f t="shared" si="343"/>
        <v>-2.988E-2</v>
      </c>
      <c r="X1442" s="262">
        <f t="shared" si="344"/>
        <v>-9.2300000000000004E-3</v>
      </c>
      <c r="Y1442" s="97">
        <v>-9.2300000000000004E-3</v>
      </c>
      <c r="Z1442" s="262">
        <f t="shared" ref="Z1442:AB1442" si="346">Y1442</f>
        <v>-9.2300000000000004E-3</v>
      </c>
      <c r="AA1442" s="262">
        <f t="shared" si="346"/>
        <v>-9.2300000000000004E-3</v>
      </c>
      <c r="AB1442" s="262">
        <f t="shared" si="346"/>
        <v>-9.2300000000000004E-3</v>
      </c>
      <c r="AC1442" s="76"/>
      <c r="AD1442" s="97" t="s">
        <v>2859</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2565</v>
      </c>
      <c r="G1443" s="73"/>
      <c r="H1443" s="76" t="s">
        <v>2592</v>
      </c>
      <c r="I1443" s="76"/>
      <c r="J1443" s="76"/>
      <c r="K1443" s="76"/>
      <c r="L1443" s="76"/>
      <c r="M1443" s="76"/>
      <c r="N1443" s="76"/>
      <c r="O1443" s="76"/>
      <c r="P1443" s="76"/>
      <c r="Q1443" s="76"/>
      <c r="R1443" s="76"/>
      <c r="S1443" s="76"/>
      <c r="T1443" s="76"/>
      <c r="U1443" s="97">
        <v>0</v>
      </c>
      <c r="V1443" s="262">
        <f t="shared" si="343"/>
        <v>0</v>
      </c>
      <c r="W1443" s="262">
        <f t="shared" si="343"/>
        <v>0</v>
      </c>
      <c r="X1443" s="262">
        <f t="shared" si="344"/>
        <v>0</v>
      </c>
      <c r="Y1443" s="97">
        <v>0</v>
      </c>
      <c r="Z1443" s="262">
        <f t="shared" ref="Z1443:AB1443" si="347">Y1443</f>
        <v>0</v>
      </c>
      <c r="AA1443" s="262">
        <f t="shared" si="347"/>
        <v>0</v>
      </c>
      <c r="AB1443" s="262">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2566</v>
      </c>
      <c r="G1444" s="73"/>
      <c r="H1444" s="391" t="s">
        <v>2593</v>
      </c>
      <c r="I1444" s="76"/>
      <c r="J1444" s="76"/>
      <c r="K1444" s="76"/>
      <c r="L1444" s="76"/>
      <c r="M1444" s="76"/>
      <c r="N1444" s="76"/>
      <c r="O1444" s="76"/>
      <c r="P1444" s="76"/>
      <c r="Q1444" s="76"/>
      <c r="R1444" s="76"/>
      <c r="S1444" s="76"/>
      <c r="T1444" s="76"/>
      <c r="U1444" s="97">
        <v>0</v>
      </c>
      <c r="V1444" s="262">
        <f t="shared" si="343"/>
        <v>0</v>
      </c>
      <c r="W1444" s="262">
        <f t="shared" si="343"/>
        <v>0</v>
      </c>
      <c r="X1444" s="262">
        <f t="shared" si="344"/>
        <v>0</v>
      </c>
      <c r="Y1444" s="97">
        <v>0</v>
      </c>
      <c r="Z1444" s="262">
        <f t="shared" ref="Z1444:AB1444" si="349">Y1444</f>
        <v>0</v>
      </c>
      <c r="AA1444" s="262">
        <f t="shared" si="349"/>
        <v>0</v>
      </c>
      <c r="AB1444" s="262">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2567</v>
      </c>
      <c r="G1445" s="73"/>
      <c r="H1445" s="391" t="s">
        <v>2862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2568</v>
      </c>
      <c r="G1446" s="73"/>
      <c r="H1446" s="391" t="s">
        <v>2594</v>
      </c>
      <c r="I1446" s="76"/>
      <c r="J1446" s="76"/>
      <c r="K1446" s="76"/>
      <c r="L1446" s="76"/>
      <c r="M1446" s="76"/>
      <c r="N1446" s="76"/>
      <c r="O1446" s="76"/>
      <c r="P1446" s="76"/>
      <c r="Q1446" s="76"/>
      <c r="R1446" s="76"/>
      <c r="S1446" s="76"/>
      <c r="T1446" s="76"/>
      <c r="U1446" s="97">
        <v>0</v>
      </c>
      <c r="V1446" s="262">
        <f t="shared" ref="V1446:W1446" si="350">U1446</f>
        <v>0</v>
      </c>
      <c r="W1446" s="262">
        <f t="shared" si="350"/>
        <v>0</v>
      </c>
      <c r="X1446" s="262">
        <f t="shared" ref="X1446" si="351">Y1446</f>
        <v>0</v>
      </c>
      <c r="Y1446" s="97">
        <v>0</v>
      </c>
      <c r="Z1446" s="262">
        <f t="shared" ref="Z1446:AB1446" si="352">Y1446</f>
        <v>0</v>
      </c>
      <c r="AA1446" s="262">
        <f t="shared" si="352"/>
        <v>0</v>
      </c>
      <c r="AB1446" s="262">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2569</v>
      </c>
      <c r="G1447" s="73"/>
      <c r="H1447" s="390" t="s">
        <v>2861</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2570</v>
      </c>
      <c r="G1448" s="73"/>
      <c r="H1448" s="391" t="s">
        <v>2595</v>
      </c>
      <c r="I1448" s="76"/>
      <c r="J1448" s="76"/>
      <c r="K1448" s="76"/>
      <c r="L1448" s="76"/>
      <c r="M1448" s="76"/>
      <c r="N1448" s="76"/>
      <c r="O1448" s="76"/>
      <c r="P1448" s="76"/>
      <c r="Q1448" s="76"/>
      <c r="R1448" s="76"/>
      <c r="S1448" s="76"/>
      <c r="T1448" s="76"/>
      <c r="U1448" s="97">
        <v>-3.7749999999999999E-2</v>
      </c>
      <c r="V1448" s="262">
        <f t="shared" ref="V1448:W1448" si="353">U1448</f>
        <v>-3.7749999999999999E-2</v>
      </c>
      <c r="W1448" s="262">
        <f t="shared" si="353"/>
        <v>-3.7749999999999999E-2</v>
      </c>
      <c r="X1448" s="262">
        <f t="shared" ref="X1448" si="354">Y1448</f>
        <v>-2.775E-2</v>
      </c>
      <c r="Y1448" s="97">
        <v>-2.775E-2</v>
      </c>
      <c r="Z1448" s="262">
        <f t="shared" ref="Z1448:AB1448" si="355">Y1448</f>
        <v>-2.775E-2</v>
      </c>
      <c r="AA1448" s="262">
        <f t="shared" si="355"/>
        <v>-2.775E-2</v>
      </c>
      <c r="AB1448" s="262">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2571</v>
      </c>
      <c r="G1449" s="73"/>
      <c r="H1449" s="390" t="s">
        <v>2863</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1" t="s">
        <v>2857</v>
      </c>
      <c r="I1450" s="96"/>
      <c r="J1450" s="76"/>
      <c r="K1450" s="76"/>
      <c r="L1450" s="76"/>
      <c r="M1450" s="76"/>
      <c r="N1450" s="76"/>
      <c r="O1450" s="76"/>
      <c r="P1450" s="76"/>
      <c r="Q1450" s="76"/>
      <c r="R1450" s="76"/>
      <c r="S1450" s="76"/>
      <c r="T1450" s="76"/>
      <c r="U1450" s="97">
        <v>-4.6519999999999999E-2</v>
      </c>
      <c r="V1450" s="262">
        <f t="shared" ref="V1450" si="356">U1450</f>
        <v>-4.6519999999999999E-2</v>
      </c>
      <c r="W1450" s="262">
        <f t="shared" ref="W1450" si="357">V1450</f>
        <v>-4.6519999999999999E-2</v>
      </c>
      <c r="X1450" s="262">
        <f t="shared" ref="X1450" si="358">Y1450</f>
        <v>-1.436E-2</v>
      </c>
      <c r="Y1450" s="97">
        <v>-1.436E-2</v>
      </c>
      <c r="Z1450" s="262">
        <f t="shared" ref="Z1450" si="359">Y1450</f>
        <v>-1.436E-2</v>
      </c>
      <c r="AA1450" s="262">
        <f t="shared" ref="AA1450" si="360">Z1450</f>
        <v>-1.436E-2</v>
      </c>
      <c r="AB1450" s="262">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0" t="s">
        <v>2864</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1" t="s">
        <v>2860</v>
      </c>
      <c r="I1452" s="96"/>
      <c r="J1452" s="76"/>
      <c r="K1452" s="76"/>
      <c r="L1452" s="76"/>
      <c r="M1452" s="76"/>
      <c r="N1452" s="76"/>
      <c r="O1452" s="76"/>
      <c r="P1452" s="76"/>
      <c r="Q1452" s="76"/>
      <c r="R1452" s="76"/>
      <c r="S1452" s="76"/>
      <c r="T1452" s="76"/>
      <c r="U1452" s="97">
        <v>1.3325</v>
      </c>
      <c r="V1452" s="262">
        <f t="shared" ref="V1452" si="362">U1452</f>
        <v>1.3325</v>
      </c>
      <c r="W1452" s="262">
        <f t="shared" ref="W1452" si="363">V1452</f>
        <v>1.3325</v>
      </c>
      <c r="X1452" s="262">
        <f t="shared" ref="X1452" si="364">Y1452</f>
        <v>2.2885</v>
      </c>
      <c r="Y1452" s="97">
        <v>2.2885</v>
      </c>
      <c r="Z1452" s="262">
        <f t="shared" ref="Z1452" si="365">Y1452</f>
        <v>2.2885</v>
      </c>
      <c r="AA1452" s="262">
        <f t="shared" ref="AA1452" si="366">Z1452</f>
        <v>2.2885</v>
      </c>
      <c r="AB1452" s="262">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0" t="s">
        <v>2865</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2572</v>
      </c>
      <c r="G1454" s="73"/>
      <c r="H1454" s="76" t="s">
        <v>2596</v>
      </c>
      <c r="I1454" s="76"/>
      <c r="J1454" s="76"/>
      <c r="K1454" s="76"/>
      <c r="L1454" s="76"/>
      <c r="M1454" s="76"/>
      <c r="N1454" s="76"/>
      <c r="O1454" s="76"/>
      <c r="P1454" s="76"/>
      <c r="Q1454" s="76"/>
      <c r="R1454" s="76"/>
      <c r="S1454" s="76"/>
      <c r="T1454" s="76"/>
      <c r="U1454" s="97">
        <v>-0.62617</v>
      </c>
      <c r="V1454" s="262">
        <f t="shared" ref="V1454:W1454" si="369">U1454</f>
        <v>-0.62617</v>
      </c>
      <c r="W1454" s="262">
        <f t="shared" si="369"/>
        <v>-0.62617</v>
      </c>
      <c r="X1454" s="262">
        <f t="shared" ref="X1454" si="370">Y1454</f>
        <v>-1.0436000000000001</v>
      </c>
      <c r="Y1454" s="97">
        <v>-1.0436000000000001</v>
      </c>
      <c r="Z1454" s="262">
        <f t="shared" ref="Z1454:AB1454" si="371">Y1454</f>
        <v>-1.0436000000000001</v>
      </c>
      <c r="AA1454" s="262">
        <f t="shared" si="371"/>
        <v>-1.0436000000000001</v>
      </c>
      <c r="AB1454" s="262">
        <f t="shared" si="371"/>
        <v>-1.0436000000000001</v>
      </c>
      <c r="AC1454" s="76"/>
      <c r="AD1454" s="97" t="s">
        <v>2859</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0" t="s">
        <v>479</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460" t="s">
        <v>2463</v>
      </c>
      <c r="K11" s="456"/>
      <c r="L11" s="456"/>
      <c r="M11" s="456"/>
      <c r="N11" s="456"/>
      <c r="O11" s="456"/>
      <c r="P11" s="456"/>
      <c r="Q11" s="456"/>
      <c r="R11" s="456"/>
      <c r="S11" s="456"/>
      <c r="T11" s="456"/>
      <c r="U11" s="456"/>
      <c r="V11" s="456"/>
      <c r="W11" s="456"/>
      <c r="X11" s="456"/>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57" t="s">
        <v>2474</v>
      </c>
      <c r="K12" s="458"/>
      <c r="L12" s="458"/>
      <c r="M12" s="458"/>
      <c r="N12" s="458"/>
      <c r="O12" s="458"/>
      <c r="P12" s="458"/>
      <c r="Q12" s="458"/>
      <c r="R12" s="458"/>
      <c r="S12" s="458"/>
      <c r="T12" s="458"/>
      <c r="U12" s="458"/>
      <c r="V12" s="458"/>
      <c r="W12" s="458"/>
      <c r="X12" s="459"/>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2337</v>
      </c>
      <c r="L35" s="72"/>
      <c r="M35" s="72"/>
      <c r="N35" s="72"/>
      <c r="O35" s="72"/>
      <c r="P35" s="72"/>
      <c r="Q35" s="72"/>
      <c r="R35" s="72" t="s">
        <v>2170</v>
      </c>
      <c r="S35" s="246" t="s">
        <v>2465</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2172</v>
      </c>
      <c r="I41" s="76" t="s">
        <v>2173</v>
      </c>
      <c r="J41" s="76"/>
      <c r="K41" s="97">
        <f>30/1000</f>
        <v>0.03</v>
      </c>
      <c r="L41" s="76"/>
      <c r="M41" s="76"/>
      <c r="N41" s="76"/>
      <c r="O41" s="76"/>
      <c r="P41" s="76"/>
      <c r="Q41" s="76"/>
      <c r="R41" s="97" t="s">
        <v>2448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2449</v>
      </c>
      <c r="I42" s="76" t="s">
        <v>2450</v>
      </c>
      <c r="J42" s="76"/>
      <c r="K42" s="97">
        <v>200</v>
      </c>
      <c r="L42" s="76"/>
      <c r="M42" s="76"/>
      <c r="N42" s="76"/>
      <c r="O42" s="76"/>
      <c r="P42" s="76"/>
      <c r="Q42" s="76"/>
      <c r="R42" s="97" t="s">
        <v>2473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1801</v>
      </c>
      <c r="G47" s="73"/>
      <c r="H47" s="315" t="s">
        <v>2175</v>
      </c>
      <c r="I47" s="110">
        <v>2</v>
      </c>
      <c r="J47" s="316" t="s">
        <v>1124</v>
      </c>
      <c r="K47" s="110">
        <v>3</v>
      </c>
      <c r="L47" s="110">
        <v>10</v>
      </c>
      <c r="M47" s="162"/>
      <c r="N47" s="162"/>
      <c r="O47" s="162"/>
      <c r="P47" s="162"/>
      <c r="Q47" s="162"/>
      <c r="R47" s="160" t="s">
        <v>2176</v>
      </c>
      <c r="S47" s="162"/>
      <c r="T47" s="162"/>
      <c r="U47" s="162"/>
      <c r="V47" s="162"/>
      <c r="W47" s="162"/>
      <c r="X47" s="162"/>
      <c r="Y47" s="162"/>
      <c r="Z47" s="73"/>
      <c r="AA47" s="57"/>
      <c r="AB47" s="45"/>
      <c r="AC47" s="45"/>
      <c r="AD47" s="45"/>
    </row>
    <row r="48" spans="1:30" outlineLevel="2" x14ac:dyDescent="0.25">
      <c r="A48" s="45"/>
      <c r="B48" s="54"/>
      <c r="C48" s="87">
        <f>INT($C$29)+2</f>
        <v>3</v>
      </c>
      <c r="D48" s="73"/>
      <c r="E48" s="70" t="s">
        <v>2177</v>
      </c>
      <c r="F48" s="70" t="s">
        <v>2178</v>
      </c>
      <c r="G48" s="73"/>
      <c r="H48" s="317" t="s">
        <v>2451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2179</v>
      </c>
      <c r="G49" s="73"/>
      <c r="H49" s="76" t="s">
        <v>2333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2180</v>
      </c>
      <c r="G50" s="73"/>
      <c r="H50" s="76" t="s">
        <v>2181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2182</v>
      </c>
      <c r="G51" s="73"/>
      <c r="H51" s="76" t="s">
        <v>2334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2183</v>
      </c>
      <c r="G52" s="73"/>
      <c r="H52" s="76" t="s">
        <v>2184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2185</v>
      </c>
      <c r="G53" s="73"/>
      <c r="H53" s="76" t="s">
        <v>2335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2183</v>
      </c>
      <c r="G54" s="73"/>
      <c r="H54" s="76" t="s">
        <v>2374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2185</v>
      </c>
      <c r="G55" s="73"/>
      <c r="H55" s="76" t="s">
        <v>2336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2183</v>
      </c>
      <c r="G56" s="73"/>
      <c r="H56" s="76" t="s">
        <v>2374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2185</v>
      </c>
      <c r="G57" s="73"/>
      <c r="H57" s="225" t="s">
        <v>2336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2186</v>
      </c>
      <c r="G58" s="73"/>
      <c r="H58" s="317" t="s">
        <v>2452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2187</v>
      </c>
      <c r="G59" s="73"/>
      <c r="H59" s="76" t="s">
        <v>2333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2188</v>
      </c>
      <c r="G60" s="73"/>
      <c r="H60" s="76" t="s">
        <v>2181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2189</v>
      </c>
      <c r="G61" s="73"/>
      <c r="H61" s="76" t="s">
        <v>2334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2190</v>
      </c>
      <c r="G62" s="73"/>
      <c r="H62" s="76" t="s">
        <v>2184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2191</v>
      </c>
      <c r="G63" s="73"/>
      <c r="H63" s="76" t="s">
        <v>2335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2183</v>
      </c>
      <c r="G64" s="73"/>
      <c r="H64" s="76" t="s">
        <v>2374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2185</v>
      </c>
      <c r="G65" s="73"/>
      <c r="H65" s="76" t="s">
        <v>2336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2183</v>
      </c>
      <c r="G66" s="73"/>
      <c r="H66" s="76" t="s">
        <v>2374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2185</v>
      </c>
      <c r="G67" s="73"/>
      <c r="H67" s="225" t="s">
        <v>2336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2192</v>
      </c>
      <c r="G68" s="73"/>
      <c r="H68" s="317" t="s">
        <v>2453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2193</v>
      </c>
      <c r="G69" s="73"/>
      <c r="H69" s="76" t="s">
        <v>2333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2194</v>
      </c>
      <c r="G70" s="73"/>
      <c r="H70" s="76" t="s">
        <v>2181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2195</v>
      </c>
      <c r="G71" s="73"/>
      <c r="H71" s="76" t="s">
        <v>2334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2196</v>
      </c>
      <c r="G72" s="73"/>
      <c r="H72" s="76" t="s">
        <v>2184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2197</v>
      </c>
      <c r="G73" s="73"/>
      <c r="H73" s="76" t="s">
        <v>2335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2196</v>
      </c>
      <c r="G74" s="73"/>
      <c r="H74" s="76" t="s">
        <v>2374</v>
      </c>
      <c r="I74" s="76"/>
      <c r="J74" s="76"/>
      <c r="K74" s="97">
        <v>-200</v>
      </c>
      <c r="L74" s="97"/>
      <c r="M74" s="97"/>
      <c r="N74" s="97"/>
      <c r="O74" s="76"/>
      <c r="P74" s="76"/>
      <c r="Q74" s="76"/>
      <c r="R74" s="97" t="s">
        <v>2375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2197</v>
      </c>
      <c r="G75" s="73"/>
      <c r="H75" s="76" t="s">
        <v>2336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2196</v>
      </c>
      <c r="G76" s="73"/>
      <c r="H76" s="76" t="s">
        <v>2377</v>
      </c>
      <c r="I76" s="76"/>
      <c r="J76" s="76"/>
      <c r="K76" s="97">
        <v>-100</v>
      </c>
      <c r="L76" s="97"/>
      <c r="M76" s="97"/>
      <c r="N76" s="97"/>
      <c r="O76" s="76"/>
      <c r="P76" s="76"/>
      <c r="Q76" s="76"/>
      <c r="R76" s="97" t="s">
        <v>2376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2197</v>
      </c>
      <c r="G77" s="73"/>
      <c r="H77" s="225" t="s">
        <v>2336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1801</v>
      </c>
      <c r="G78" s="73"/>
      <c r="H78" s="274" t="s">
        <v>2198</v>
      </c>
      <c r="I78" s="136"/>
      <c r="J78" s="136" t="s">
        <v>1124</v>
      </c>
      <c r="K78" s="79">
        <v>6</v>
      </c>
      <c r="L78" s="79">
        <v>10</v>
      </c>
      <c r="M78" s="76"/>
      <c r="N78" s="76"/>
      <c r="O78" s="76"/>
      <c r="P78" s="76"/>
      <c r="Q78" s="76"/>
      <c r="R78" s="97" t="s">
        <v>2176</v>
      </c>
      <c r="S78" s="76" t="s">
        <v>2460</v>
      </c>
      <c r="T78" s="76"/>
      <c r="U78" s="76" t="s">
        <v>2461</v>
      </c>
      <c r="V78" s="76" t="s">
        <v>2462</v>
      </c>
      <c r="W78" s="76"/>
      <c r="X78" s="76"/>
      <c r="Y78" s="76"/>
      <c r="Z78" s="73"/>
      <c r="AA78" s="57"/>
      <c r="AB78" s="45"/>
      <c r="AC78" s="45"/>
      <c r="AD78" s="45"/>
    </row>
    <row r="79" spans="1:30" outlineLevel="3" x14ac:dyDescent="0.25">
      <c r="A79" s="45"/>
      <c r="B79" s="54"/>
      <c r="C79" s="87">
        <f t="shared" si="0"/>
        <v>4</v>
      </c>
      <c r="D79" s="73"/>
      <c r="E79" s="70" t="s">
        <v>2199</v>
      </c>
      <c r="F79" s="70" t="s">
        <v>2200</v>
      </c>
      <c r="G79" s="73"/>
      <c r="H79" s="317" t="s">
        <v>2454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2201</v>
      </c>
      <c r="G80" s="73"/>
      <c r="H80" s="76" t="s">
        <v>2333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2202</v>
      </c>
      <c r="G81" s="73"/>
      <c r="H81" s="76" t="s">
        <v>2181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2203</v>
      </c>
      <c r="G82" s="73"/>
      <c r="H82" s="76" t="s">
        <v>2334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2464</v>
      </c>
      <c r="Y82" s="76" t="s">
        <v>2466</v>
      </c>
      <c r="Z82" s="73"/>
      <c r="AA82" s="57"/>
      <c r="AB82" s="45"/>
      <c r="AC82" s="45"/>
      <c r="AD82" s="45"/>
    </row>
    <row r="83" spans="1:30" outlineLevel="3" x14ac:dyDescent="0.25">
      <c r="A83" s="45"/>
      <c r="B83" s="54"/>
      <c r="C83" s="87">
        <f t="shared" si="0"/>
        <v>4</v>
      </c>
      <c r="D83" s="73"/>
      <c r="E83" s="70"/>
      <c r="F83" s="70" t="s">
        <v>2204</v>
      </c>
      <c r="G83" s="73"/>
      <c r="H83" s="76" t="s">
        <v>2184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2205</v>
      </c>
      <c r="G84" s="73"/>
      <c r="H84" s="76" t="s">
        <v>2335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2196</v>
      </c>
      <c r="G85" s="73"/>
      <c r="H85" s="76" t="s">
        <v>2374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2205</v>
      </c>
      <c r="G86" s="73"/>
      <c r="H86" s="76" t="s">
        <v>2335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2196</v>
      </c>
      <c r="G87" s="73"/>
      <c r="H87" s="76" t="s">
        <v>2377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2197</v>
      </c>
      <c r="G88" s="73"/>
      <c r="H88" s="225" t="s">
        <v>2336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2206</v>
      </c>
      <c r="G89" s="73"/>
      <c r="H89" s="317" t="s">
        <v>2455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2207</v>
      </c>
      <c r="G90" s="73"/>
      <c r="H90" s="76" t="s">
        <v>2333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2208</v>
      </c>
      <c r="G91" s="73"/>
      <c r="H91" s="76" t="s">
        <v>2181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2209</v>
      </c>
      <c r="G92" s="73"/>
      <c r="H92" s="76" t="s">
        <v>2334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2210</v>
      </c>
      <c r="G93" s="73"/>
      <c r="H93" s="76" t="s">
        <v>2184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2211</v>
      </c>
      <c r="G94" s="73"/>
      <c r="H94" s="76" t="s">
        <v>2335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2196</v>
      </c>
      <c r="G95" s="73"/>
      <c r="H95" s="76" t="s">
        <v>2374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2205</v>
      </c>
      <c r="G96" s="73"/>
      <c r="H96" s="76" t="s">
        <v>2335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2196</v>
      </c>
      <c r="G97" s="73"/>
      <c r="H97" s="76" t="s">
        <v>2377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2197</v>
      </c>
      <c r="G98" s="73"/>
      <c r="H98" s="225" t="s">
        <v>2336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2212</v>
      </c>
      <c r="G99" s="73"/>
      <c r="H99" s="317" t="s">
        <v>2456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2213</v>
      </c>
      <c r="G100" s="73"/>
      <c r="H100" s="76" t="s">
        <v>2333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2214</v>
      </c>
      <c r="G101" s="73"/>
      <c r="H101" s="76" t="s">
        <v>2181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2215</v>
      </c>
      <c r="G102" s="73"/>
      <c r="H102" s="76" t="s">
        <v>2334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2216</v>
      </c>
      <c r="G103" s="73"/>
      <c r="H103" s="76" t="s">
        <v>2184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2217</v>
      </c>
      <c r="G104" s="73"/>
      <c r="H104" s="76" t="s">
        <v>2335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2196</v>
      </c>
      <c r="G105" s="73"/>
      <c r="H105" s="76" t="s">
        <v>2374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2205</v>
      </c>
      <c r="G106" s="73"/>
      <c r="H106" s="76" t="s">
        <v>2335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2196</v>
      </c>
      <c r="G107" s="73"/>
      <c r="H107" s="76" t="s">
        <v>2377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2197</v>
      </c>
      <c r="G108" s="73"/>
      <c r="H108" s="225" t="s">
        <v>2336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2218</v>
      </c>
      <c r="G109" s="73"/>
      <c r="H109" s="317" t="s">
        <v>2457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2219</v>
      </c>
      <c r="G110" s="73"/>
      <c r="H110" s="76" t="s">
        <v>2333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2220</v>
      </c>
      <c r="G111" s="73"/>
      <c r="H111" s="76" t="s">
        <v>2181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2221</v>
      </c>
      <c r="G112" s="73"/>
      <c r="H112" s="76" t="s">
        <v>2334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2222</v>
      </c>
      <c r="G113" s="73"/>
      <c r="H113" s="76" t="s">
        <v>2184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2223</v>
      </c>
      <c r="G114" s="73"/>
      <c r="H114" s="76" t="s">
        <v>2335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2196</v>
      </c>
      <c r="G115" s="73"/>
      <c r="H115" s="76" t="s">
        <v>2374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2205</v>
      </c>
      <c r="G116" s="73"/>
      <c r="H116" s="76" t="s">
        <v>2335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2196</v>
      </c>
      <c r="G117" s="73"/>
      <c r="H117" s="76" t="s">
        <v>2377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2197</v>
      </c>
      <c r="G118" s="73"/>
      <c r="H118" s="225" t="s">
        <v>2336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2224</v>
      </c>
      <c r="G119" s="73"/>
      <c r="H119" s="317" t="s">
        <v>2458</v>
      </c>
      <c r="I119" s="317" t="s">
        <v>2225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2226</v>
      </c>
      <c r="G120" s="73"/>
      <c r="H120" s="76" t="s">
        <v>2333</v>
      </c>
      <c r="I120" s="76" t="s">
        <v>2225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2227</v>
      </c>
      <c r="G121" s="73"/>
      <c r="H121" s="76" t="s">
        <v>2181</v>
      </c>
      <c r="I121" s="76" t="s">
        <v>2225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2228</v>
      </c>
      <c r="G122" s="73"/>
      <c r="H122" s="76" t="s">
        <v>2334</v>
      </c>
      <c r="I122" s="76" t="s">
        <v>2225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2229</v>
      </c>
      <c r="G123" s="73"/>
      <c r="H123" s="76" t="s">
        <v>2184</v>
      </c>
      <c r="I123" s="76" t="s">
        <v>2225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2230</v>
      </c>
      <c r="G124" s="73"/>
      <c r="H124" s="76" t="s">
        <v>2335</v>
      </c>
      <c r="I124" s="76" t="s">
        <v>2225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2196</v>
      </c>
      <c r="G125" s="73"/>
      <c r="H125" s="76" t="s">
        <v>2374</v>
      </c>
      <c r="I125" s="76" t="s">
        <v>2225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2205</v>
      </c>
      <c r="G126" s="73"/>
      <c r="H126" s="76" t="s">
        <v>2335</v>
      </c>
      <c r="I126" s="76" t="s">
        <v>2225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2196</v>
      </c>
      <c r="G127" s="73"/>
      <c r="H127" s="76" t="s">
        <v>2377</v>
      </c>
      <c r="I127" s="76" t="s">
        <v>2225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2197</v>
      </c>
      <c r="G128" s="73"/>
      <c r="H128" s="225" t="s">
        <v>2336</v>
      </c>
      <c r="I128" s="225" t="s">
        <v>2225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2231</v>
      </c>
      <c r="G129" s="73"/>
      <c r="H129" s="317" t="s">
        <v>2459</v>
      </c>
      <c r="I129" s="317" t="s">
        <v>2232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2233</v>
      </c>
      <c r="G130" s="73"/>
      <c r="H130" s="76" t="s">
        <v>2333</v>
      </c>
      <c r="I130" s="76" t="s">
        <v>2232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2234</v>
      </c>
      <c r="G131" s="73"/>
      <c r="H131" s="76" t="s">
        <v>2181</v>
      </c>
      <c r="I131" s="76" t="s">
        <v>2232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2235</v>
      </c>
      <c r="G132" s="73"/>
      <c r="H132" s="76" t="s">
        <v>2334</v>
      </c>
      <c r="I132" s="76" t="s">
        <v>2232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2236</v>
      </c>
      <c r="G133" s="73"/>
      <c r="H133" s="76" t="s">
        <v>2184</v>
      </c>
      <c r="I133" s="76" t="s">
        <v>2232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2237</v>
      </c>
      <c r="G134" s="73"/>
      <c r="H134" s="76" t="s">
        <v>2335</v>
      </c>
      <c r="I134" s="76" t="s">
        <v>2232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2236</v>
      </c>
      <c r="G135" s="73"/>
      <c r="H135" s="76" t="s">
        <v>2374</v>
      </c>
      <c r="I135" s="76" t="s">
        <v>2232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2205</v>
      </c>
      <c r="G136" s="73"/>
      <c r="H136" s="76" t="s">
        <v>2335</v>
      </c>
      <c r="I136" s="76" t="s">
        <v>2232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2196</v>
      </c>
      <c r="G137" s="73"/>
      <c r="H137" s="76" t="s">
        <v>2377</v>
      </c>
      <c r="I137" s="76" t="s">
        <v>2232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2237</v>
      </c>
      <c r="G138" s="73"/>
      <c r="H138" s="225" t="s">
        <v>2336</v>
      </c>
      <c r="I138" s="225" t="s">
        <v>2232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2902</v>
      </c>
      <c r="B16">
        <v>188000</v>
      </c>
      <c r="C16" s="44">
        <v>1</v>
      </c>
      <c r="D16" s="44">
        <v>0</v>
      </c>
      <c r="E16" s="44">
        <f>1-C16-D16</f>
        <v>0</v>
      </c>
    </row>
    <row r="17" spans="1:5" x14ac:dyDescent="0.25">
      <c r="A17" t="s">
        <v>2900</v>
      </c>
      <c r="B17">
        <v>87000</v>
      </c>
      <c r="C17" s="44">
        <v>1</v>
      </c>
      <c r="D17" s="44">
        <v>0</v>
      </c>
      <c r="E17" s="44">
        <f t="shared" ref="E17:E30" si="0">1-C17-D17</f>
        <v>0</v>
      </c>
    </row>
    <row r="18" spans="1:5" x14ac:dyDescent="0.25">
      <c r="A18" t="s">
        <v>2901</v>
      </c>
      <c r="B18">
        <v>297000</v>
      </c>
      <c r="C18" s="44">
        <v>0</v>
      </c>
      <c r="D18" s="44">
        <v>1</v>
      </c>
      <c r="E18" s="44">
        <f t="shared" si="0"/>
        <v>0</v>
      </c>
    </row>
    <row r="19" spans="1:5" x14ac:dyDescent="0.25">
      <c r="A19" t="s">
        <v>162</v>
      </c>
      <c r="B19">
        <v>30000</v>
      </c>
      <c r="C19" s="44">
        <v>0</v>
      </c>
      <c r="D19" s="44">
        <v>1</v>
      </c>
      <c r="E19" s="44">
        <f t="shared" si="0"/>
        <v>0</v>
      </c>
    </row>
    <row r="20" spans="1:5" x14ac:dyDescent="0.25">
      <c r="A20" t="s">
        <v>2903</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2905</v>
      </c>
      <c r="B27">
        <v>78000</v>
      </c>
      <c r="C27" s="44">
        <v>0</v>
      </c>
      <c r="D27" s="44">
        <v>0</v>
      </c>
      <c r="E27" s="44">
        <f t="shared" si="0"/>
        <v>1</v>
      </c>
    </row>
    <row r="28" spans="1:5" x14ac:dyDescent="0.25">
      <c r="A28" t="s">
        <v>34</v>
      </c>
      <c r="B28">
        <v>22000</v>
      </c>
      <c r="C28" s="44">
        <v>0</v>
      </c>
      <c r="D28" s="44">
        <v>0</v>
      </c>
      <c r="E28" s="44">
        <f t="shared" si="0"/>
        <v>1</v>
      </c>
    </row>
    <row r="29" spans="1:5" x14ac:dyDescent="0.25">
      <c r="A29" t="s">
        <v>2904</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400</vt:i4>
      </vt:variant>
    </vt:vector>
  </HeadingPairs>
  <TitlesOfParts>
    <vt:vector size="411"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2023-06-16T05:08:59Z</dcterms:modified>
</cp:coreProperties>
</file>