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A83A2C44-4B65-4D76-BBB7-589BC3613D40}" xr6:coauthVersionLast="47" xr6:coauthVersionMax="47" xr10:uidLastSave="{00000000-0000-0000-0000-000000000000}"/>
  <bookViews>
    <workbookView xWindow="-7275" yWindow="-16320" windowWidth="29040" windowHeight="15720" tabRatio="625" firstSheet="3" activeTab="3"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Emissions" sheetId="20" r:id="rId7"/>
    <sheet name="Sheep" sheetId="13"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 r:id="rId16"/>
  </externalReferences>
  <definedNames>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Parameters!$E$36:$AH$1523</definedName>
    <definedName name="_xlnm._FilterDatabase" localSheetId="9" hidden="1">PastParameters!$E$9:$Y$20</definedName>
    <definedName name="_xlnm._FilterDatabase" localSheetId="7" hidden="1">Sheep!$E$9:$AC$20</definedName>
    <definedName name="a_c2_c0t" localSheetId="4">CropResidue!$J$248:$AK$250</definedName>
    <definedName name="animal_age_t" localSheetId="4">CropResidue!$J$204:$AK$204</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CropResidue!$J$16</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Price!$I$49:$R$68</definedName>
    <definedName name="grain_price_info" localSheetId="1">Price!$A$50:$G$68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CropResidue!$J$299:$AK$299</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CropResidue!$J$300:$AK$300</definedName>
    <definedName name="i_b0_len">Parameters!$V$687</definedName>
    <definedName name="i_b0_pos">Parameters!$W$687</definedName>
    <definedName name="i_b0_propn_b0t" localSheetId="4">CropResidue!$J$229:$AK$234</definedName>
    <definedName name="i_b1_pos">Parameters!$W$907</definedName>
    <definedName name="i_b1_propn_b1t" localSheetId="4">CropResidue!$J$217:$AK$227</definedName>
    <definedName name="i_biomass_scalar_ks2" localSheetId="4">CropResidue!$H$77:$J$94</definedName>
    <definedName name="i_c_t" localSheetId="4">CropResidue!$J$301:$AK$301</definedName>
    <definedName name="i_c1_variation_included" localSheetId="0">General!$G$16</definedName>
    <definedName name="i_ca_c2">Parameters!$U$241:$AC$250</definedName>
    <definedName name="i_ca_len">Parameters!$U$240</definedName>
    <definedName name="i_ca_pos">Parameters!$W$240</definedName>
    <definedName name="i_ca_y">Parameters!$AF$241:$AG$250</definedName>
    <definedName name="i_calibration_offest_t" localSheetId="4">CropResidue!$J$194:$AK$194</definedName>
    <definedName name="i_cara_risk_coef" localSheetId="0">General!$L$24</definedName>
    <definedName name="i_cb0_c2">Parameters!$U$688:$AC$801</definedName>
    <definedName name="i_cb0_len">Parameters!$U$687</definedName>
    <definedName name="i_cb0_len2">Parameters!$V$687</definedName>
    <definedName name="i_cb0_pos">Parameters!$W$687</definedName>
    <definedName name="i_cb0_y">Parameters!$AF$688:$AG$801</definedName>
    <definedName name="i_cc_c2">Parameters!$U$323:$AC$339</definedName>
    <definedName name="i_cc_len">Parameters!$U$322</definedName>
    <definedName name="i_cc_pos">Parameters!$W$322</definedName>
    <definedName name="i_cc_y">Parameters!$AF$323:$AG$339</definedName>
    <definedName name="i_CCa" localSheetId="6">Emissions!$L$67</definedName>
    <definedName name="i_cd_c2">Parameters!$U$394:$AC$420</definedName>
    <definedName name="i_cd_len">Parameters!$U$393</definedName>
    <definedName name="i_cd_pos">Parameters!$W$393</definedName>
    <definedName name="i_cd_y">Parameters!$AF$394:$AG$420</definedName>
    <definedName name="i_ce_c2">Parameters!$U$422:$AC$613</definedName>
    <definedName name="i_ce_len">Parameters!$U$421</definedName>
    <definedName name="i_ce_len2">Parameters!$V$421</definedName>
    <definedName name="i_ce_pos">Parameters!$W$421</definedName>
    <definedName name="i_ce_y">Parameters!$AF$422:$AG$613</definedName>
    <definedName name="i_cf_c2">Parameters!$U$387:$AC$392</definedName>
    <definedName name="i_cf_ch4" localSheetId="6">Emissions!$K$13</definedName>
    <definedName name="i_cf_co2" localSheetId="6">Emissions!$K$17</definedName>
    <definedName name="i_cf_len">Parameters!$U$386</definedName>
    <definedName name="i_cf_n2o" localSheetId="6">Emissions!$K$15</definedName>
    <definedName name="i_cf_pos">Parameters!$W$386</definedName>
    <definedName name="i_cf_y">Parameters!$AF$387:$AG$392</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Parameters!$U$341:$AC$378</definedName>
    <definedName name="i_cg_len">Parameters!$U$340</definedName>
    <definedName name="i_cg_pos">Parameters!$W$340</definedName>
    <definedName name="i_cg_y">Parameters!$AF$341:$AG$378</definedName>
    <definedName name="i_ch_c2">Parameters!$U$380:$AC$385</definedName>
    <definedName name="i_ch_len">Parameters!$U$379</definedName>
    <definedName name="i_ch_pos">Parameters!$W$379</definedName>
    <definedName name="i_ch_y">Parameters!$AF$380:$AG$385</definedName>
    <definedName name="i_ch4_gwp_factor" localSheetId="6">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Parameters!$U$273:$AC$298</definedName>
    <definedName name="i_cl_len">Parameters!$U$272</definedName>
    <definedName name="i_cl_pos">Parameters!$W$272</definedName>
    <definedName name="i_cl_y">Parameters!$AF$273:$AG$298</definedName>
    <definedName name="i_cl0_c2">Parameters!$U$803:$AC$906</definedName>
    <definedName name="i_cl0_len">Parameters!$U$802</definedName>
    <definedName name="i_cl0_len2">Parameters!$V$802</definedName>
    <definedName name="i_cl0_pos">Parameters!$W$802</definedName>
    <definedName name="i_cl0_y">Parameters!$AF$803:$AG$906</definedName>
    <definedName name="i_cl1_c2">Parameters!$U$908:$AC$1011</definedName>
    <definedName name="i_cl1_len">Parameters!$U$907</definedName>
    <definedName name="i_cl1_len2">Parameters!$V$907</definedName>
    <definedName name="i_cl1_pos">Parameters!$W$907</definedName>
    <definedName name="i_cl1_y">Parameters!$AF$908:$AG$1011</definedName>
    <definedName name="i_cm_c2">Parameters!$U$204:$AC$230</definedName>
    <definedName name="i_cm_len">Parameters!$U$203</definedName>
    <definedName name="i_cm_pos">Parameters!$W$203</definedName>
    <definedName name="i_cm_y">Parameters!$AF$204:$AG$230</definedName>
    <definedName name="i_cn_c2">Parameters!$U$103:$AC$125</definedName>
    <definedName name="i_cn_len">Parameters!$U$102</definedName>
    <definedName name="i_cn_pos">Parameters!$W$102</definedName>
    <definedName name="i_cn_y">Parameters!$AF$103:$AG$125</definedName>
    <definedName name="i_co2_gwp_factor" localSheetId="6">Emissions!$I$17</definedName>
    <definedName name="i_confinement_feeding_cost_factor" localSheetId="3">'Sup Feed'!$J$25</definedName>
    <definedName name="i_confinement_feeding_labour_factor" localSheetId="3">'Sup Feed'!$L$25</definedName>
    <definedName name="i_cp_c2">Parameters!$U$252:$AC$271</definedName>
    <definedName name="i_cp_len">Parameters!$U$251</definedName>
    <definedName name="i_cp_pos">Parameters!$W$251</definedName>
    <definedName name="i_cp_y">Parameters!$AF$252:$AG$271</definedName>
    <definedName name="i_cr_c2">Parameters!$U$150:$AC$172</definedName>
    <definedName name="i_cr_len">Parameters!$U$149</definedName>
    <definedName name="i_cr_pos">Parameters!$W$149</definedName>
    <definedName name="i_cr_y">Parameters!$AF$150:$AG$172</definedName>
    <definedName name="i_crd_c2">Parameters!$U$232:$AC$239</definedName>
    <definedName name="i_crd_len">Parameters!$U$231</definedName>
    <definedName name="i_crd_pos">Parameters!$W$231</definedName>
    <definedName name="i_crd_y">Parameters!$AF$232:$AG$239</definedName>
    <definedName name="i_crra_initial_wealth" localSheetId="0">General!$Q$25</definedName>
    <definedName name="i_crra_risk_coef" localSheetId="0">General!$Q$24</definedName>
    <definedName name="i_cu0_c2">Parameters!$U$1013:$AC$1017</definedName>
    <definedName name="i_cu0_len">Parameters!$U$1012</definedName>
    <definedName name="i_cu0_pos">Parameters!$W$1012</definedName>
    <definedName name="i_cu0_y">Parameters!$AF$1013:$AG$1017</definedName>
    <definedName name="i_cu1_c2">Parameters!$U$1019:$AC$1170</definedName>
    <definedName name="i_cu1_len">Parameters!$U$1018</definedName>
    <definedName name="i_cu1_len2">Parameters!$V$1018</definedName>
    <definedName name="i_cu1_pos">Parameters!$W$1018</definedName>
    <definedName name="i_cu1_y">Parameters!$AF$1019:$AG$1170</definedName>
    <definedName name="i_cu2_c2">Parameters!$U$1172:$AC$1509</definedName>
    <definedName name="i_cu2_len">Parameters!$U$1171</definedName>
    <definedName name="i_cu2_len2">Parameters!$V$1171</definedName>
    <definedName name="i_cu2_pos">Parameters!$W$1171</definedName>
    <definedName name="i_cu2_y">Parameters!$AF$1172:$AG$1509</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Parameters!$U$300:$AC$321</definedName>
    <definedName name="i_cw_len">Parameters!$U$299</definedName>
    <definedName name="i_cw_pos">Parameters!$W$299</definedName>
    <definedName name="i_cw_y">Parameters!$AF$300:$AG$321</definedName>
    <definedName name="i_cx_c2">Parameters!$U$615:$AC$686</definedName>
    <definedName name="i_cx_len">Parameters!$U$614</definedName>
    <definedName name="i_cx_len2">Parameters!$V$614</definedName>
    <definedName name="i_cx_pos">Parameters!$W$614</definedName>
    <definedName name="i_cx_y">Parameters!$AF$615:$AG$686</definedName>
    <definedName name="i_d_len">Parameters!$V$421</definedName>
    <definedName name="i_d_pos">Parameters!$W$421</definedName>
    <definedName name="i_dams_in_trial_t" localSheetId="4">CropResidue!$J$214:$AK$214</definedName>
    <definedName name="i_dressp_adj_c2">Parameters!$U$94:$AC$94</definedName>
    <definedName name="i_dressp_adj_y">Parameters!$AF$94:$AG$94</definedName>
    <definedName name="i_ef_atmos_deposition_manure" localSheetId="6">Emissions!$L$37</definedName>
    <definedName name="i_ef_ch4_burning" localSheetId="6">Emissions!$L$42</definedName>
    <definedName name="i_ef_diesel_ch4" localSheetId="6">Emissions!$L$46</definedName>
    <definedName name="i_ef_diesel_co2" localSheetId="6">Emissions!$L$45</definedName>
    <definedName name="i_ef_diesel_n2o" localSheetId="6">Emissions!$L$47</definedName>
    <definedName name="i_ef_dolomite" localSheetId="6">Emissions!$L$53</definedName>
    <definedName name="i_ef_fert" localSheetId="6">Emissions!$L$50</definedName>
    <definedName name="i_ef_leach_runoff" localSheetId="6">Emissions!$L$36</definedName>
    <definedName name="i_ef_limestone" localSheetId="6">Emissions!$L$52</definedName>
    <definedName name="i_ef_n2o_burning" localSheetId="6">Emissions!$L$41</definedName>
    <definedName name="i_ef_residue" localSheetId="6">Emissions!$L$40</definedName>
    <definedName name="i_ef_urea" localSheetId="6">Emissions!$L$51</definedName>
    <definedName name="i_eff" localSheetId="6">Emissions!$L$34</definedName>
    <definedName name="i_eft" localSheetId="6">Emissions!$L$33</definedName>
    <definedName name="i_efu" localSheetId="6">Emissions!$L$35</definedName>
    <definedName name="i_eqn_compare">Sheep!$I$382</definedName>
    <definedName name="i_eqn_cvh">Sheep!$J$60</definedName>
    <definedName name="i_eqn_exists_q0q1">Sheep!$J$384:$L$402</definedName>
    <definedName name="i_eqn_ph">Sheep!$I$60</definedName>
    <definedName name="i_eqn_reportvars_q1">Sheep!$M$384:$M$402</definedName>
    <definedName name="i_eqn_romaine">Sheep!$K$60</definedName>
    <definedName name="i_eqn_used_g0_q1p7">Sheep!$N$384:$O$402</definedName>
    <definedName name="i_eqn_used_g1_q1p7">Sheep!$P$384:$Q$402</definedName>
    <definedName name="i_eqn_used_g2_q1p7">Sheep!$R$384:$S$402</definedName>
    <definedName name="i_eqn_used_g3_q1p7">Sheep!$T$384:$U$402</definedName>
    <definedName name="i_fat_birth_y">Parameters!$AF$52:$AG$52</definedName>
    <definedName name="i_fat_propn_birth_c2">Parameters!$U$52:$AC$52</definedName>
    <definedName name="i_fat_propn_wean_c2">Parameters!$U$55:$AC$55</definedName>
    <definedName name="i_fat_t" localSheetId="4">CropResidue!$J$208:$AK$208</definedName>
    <definedName name="i_fat_wean_y">Parameters!$AF$55:$AG$55</definedName>
    <definedName name="i_fat_yatf_t" localSheetId="4">CropResidue!$J$241:$AK$241</definedName>
    <definedName name="i_fd_initial_c2">Parameters!$U$99:$AC$99</definedName>
    <definedName name="i_fd_initial_y">Parameters!$AF$99:$AG$99</definedName>
    <definedName name="i_fd_t" localSheetId="4">CropResidue!$J$206:$AK$206</definedName>
    <definedName name="i_fd_yatf_t" localSheetId="4">CropResidue!$J$239:$AK$239</definedName>
    <definedName name="i_feedbud_labourreq_l2h3">Sheep!$L$358:$N$360</definedName>
    <definedName name="i_feedbud_requisites_prob_h6h3">Sheep!$T$358:$AG$360</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CropResidue!$J$207:$AK$207</definedName>
    <definedName name="i_fl_yatf_t" localSheetId="4">CropResidue!$J$240:$AK$240</definedName>
    <definedName name="i_foo_t" localSheetId="4">CropResidue!$J$274:$AK$274</definedName>
    <definedName name="i_FracGASM_fert" localSheetId="6">Emissions!$N$99</definedName>
    <definedName name="i_FracGASM_manure" localSheetId="6">Emissions!$L$99</definedName>
    <definedName name="i_FracLEACH_fert" localSheetId="6">Emissions!$N$103</definedName>
    <definedName name="i_FracLEACH_manure" localSheetId="6">Emissions!$L$103</definedName>
    <definedName name="i_FracLEACH_residue" localSheetId="6">Emissions!$P$103</definedName>
    <definedName name="i_FracLime" localSheetId="6">Emissions!$N$107</definedName>
    <definedName name="i_FracRENEWAL" localSheetId="6">Emissions!$AA$67</definedName>
    <definedName name="i_FracWET_fert" localSheetId="6">Emissions!$N$102</definedName>
    <definedName name="i_FracWET_manure" localSheetId="6">Emissions!$L$102</definedName>
    <definedName name="i_FracWET_residue" localSheetId="6">Emissions!$P$102</definedName>
    <definedName name="i_g3_inc_g3t" localSheetId="4">CropResidue!$J$253:$AK$256</definedName>
    <definedName name="i_gfw_t" localSheetId="4">CropResidue!$J$205:$AK$205</definedName>
    <definedName name="i_gfw_yatf_t" localSheetId="4">CropResidue!$J$238:$AK$238</definedName>
    <definedName name="i_growth_scalar_k" localSheetId="4">CropResidue!$I$38:$I$55</definedName>
    <definedName name="i_h1_idx">Sheep!$Q$326:$R$326</definedName>
    <definedName name="i_h4_len">Sheep!$J$355</definedName>
    <definedName name="i_h6_fuel_slice" localSheetId="7">Sheep!$M$309</definedName>
    <definedName name="i_harvest_index_ks2" localSheetId="4">CropResidue!$H$99:$J$116</definedName>
    <definedName name="i_hd_std">PastParameters!$K$41</definedName>
    <definedName name="i_head_adjust_dams">Sheep!$L$290</definedName>
    <definedName name="i_head_adjust_offs">Sheep!$M$290</definedName>
    <definedName name="i_head_adjust_sire">Sheep!$K$290</definedName>
    <definedName name="i_hr" localSheetId="4">CropResidue!$J$15</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dx_s2" localSheetId="4">CropResidue!$H$75:$J$75</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Parameters!$U$1014:$AC$1014</definedName>
    <definedName name="i_kgcs_y">Parameters!$AF$1014:$AG$1014</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CropResidue!$J$237:$AK$237</definedName>
    <definedName name="i_mask_s7g" localSheetId="7">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CropResidue!$J$212:$AK$212</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CropResidue!$J$210:$AK$210</definedName>
    <definedName name="i_muscle_target_c2">Parameters!$U$45:$AC$45</definedName>
    <definedName name="i_muscle_target_y">Parameters!$AF$45:$AG$45</definedName>
    <definedName name="i_muscle_wean_y">Parameters!$AF$57:$AG$57</definedName>
    <definedName name="i_muscle_yatf_t" localSheetId="4">CropResidue!$J$243:$AK$243</definedName>
    <definedName name="i_n_pasture_stage">PastParameters!$I$47</definedName>
    <definedName name="i_n2o_gwp_factor" localSheetId="6">Emissions!$I$15</definedName>
    <definedName name="i_NCa" localSheetId="6">Emissions!$I$67</definedName>
    <definedName name="i_NCAG_t" localSheetId="6">Emissions!$W$67:$W$70</definedName>
    <definedName name="i_NCb" localSheetId="6">Emissions!$G$67</definedName>
    <definedName name="i_NCBG_t" localSheetId="6">Emissions!$Y$67:$Y$70</definedName>
    <definedName name="i_nlb_c2">Parameters!$U$59:$AC$59</definedName>
    <definedName name="i_nlb_y">Parameters!$AF$59:$AG$59</definedName>
    <definedName name="i_offs_in_trial_t" localSheetId="4">CropResidue!$J$215:$AK$215</definedName>
    <definedName name="i_propn_baled_k" localSheetId="4">CropResidue!$K$38:$K$55</definedName>
    <definedName name="i_propn_conserved_k" localSheetId="4">CropResidue!$L$38:$L$55</definedName>
    <definedName name="i_propn_grain_harv_ks2" localSheetId="4">CropResidue!$H$120:$J$137</definedName>
    <definedName name="i_purity_dolomite" localSheetId="6">Emissions!$N$109</definedName>
    <definedName name="i_purity_limestone" localSheetId="6">Emissions!$N$108</definedName>
    <definedName name="i_rain_t" localSheetId="4">CropResidue!$J$267:$AK$267</definedName>
    <definedName name="i_Rbg" localSheetId="6">Emissions!$Q$67:$Q$84</definedName>
    <definedName name="i_RBG_t" localSheetId="6">Emissions!$U$67:$U$70</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7">Sheep!$P$166:$P$173</definedName>
    <definedName name="i_sale_ffcfw_min" localSheetId="7">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CropResidue!$J$197:$AK$197</definedName>
    <definedName name="i_srw_c2">Parameters!$U$44:$AC$44</definedName>
    <definedName name="i_srw_y">Parameters!$AF$44:$AG$44</definedName>
    <definedName name="i_stub_cat_cp_s1" localSheetId="4">CropResidue!$H$166:$Q$166</definedName>
    <definedName name="i_stub_cat_dmd_s1" localSheetId="4">CropResidue!$H$165:$Q$165</definedName>
    <definedName name="i_stub_cat_idx" localSheetId="4">CropResidue!$H$164:$Q$164</definedName>
    <definedName name="i_stub_me_eff_gainlose" localSheetId="4">CropResidue!$M$18</definedName>
    <definedName name="i_sup_intake_t" localSheetId="4">CropResidue!$J$275:$AK$275</definedName>
    <definedName name="i_sup_s2_ks2" localSheetId="3">'Sup Feed'!$I$73:$L$91</definedName>
    <definedName name="i_sup_selectivity_included" localSheetId="3">'Sup Feed'!$J$11</definedName>
    <definedName name="i_t_inc_s2kt" localSheetId="4">CropResidue!$J$304:$AK$357</definedName>
    <definedName name="i_temp_ave_t" localSheetId="4">CropResidue!$J$270:$AK$270</definedName>
    <definedName name="i_temp_max_t" localSheetId="4">CropResidue!$J$268:$AK$268</definedName>
    <definedName name="i_temp_min_t" localSheetId="4">CropResidue!$J$269:$AK$269</definedName>
    <definedName name="i_trial_biomass_use_t" localSheetId="4">CropResidue!$J$199:$AK$199</definedName>
    <definedName name="i_trial_crop_t" localSheetId="4">CropResidue!$J$200:$AK$200</definedName>
    <definedName name="i_trial_inc_t" localSheetId="4">CropResidue!$J$190:$AK$190</definedName>
    <definedName name="i_trial_yield_t" localSheetId="4">CropResidue!$J$202:$AK$202</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CropResidue!$J$209:$AK$209</definedName>
    <definedName name="i_viscera_wean_y">Parameters!$AF$56:$AG$56</definedName>
    <definedName name="i_viscera_yatf_t" localSheetId="4">CropResidue!$J$242:$AK$242</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working_capital_constraint_included" localSheetId="2">Finance!$B$19</definedName>
    <definedName name="i_ws_t" localSheetId="4">CropResidue!$J$266:$AK$266</definedName>
    <definedName name="i_x_pos">Parameters!$W$614</definedName>
    <definedName name="i_y_idx_dams">Parameters!$AF$36:$AG$36</definedName>
    <definedName name="i_y_idx_offs">Parameters!$AF$36:$AG$36</definedName>
    <definedName name="i_y_idx_sire">Parameters!$AF$36:$AG$36</definedName>
    <definedName name="i_y_pos">Parameters!$AF$41</definedName>
    <definedName name="i_Z" localSheetId="6">Emissions!$N$67</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General'!$B$34</definedName>
    <definedName name="lambing_date_t" localSheetId="4">CropResidue!$J$260:$AK$260</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Parameters!$E$73:$P$882</definedName>
    <definedName name="quality_deterioration" localSheetId="4">CropResidue!$I$141:$I$158</definedName>
    <definedName name="quantity_decay" localSheetId="4">CropResidue!$H$141:$H$158</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CropResidue!$J$262:$AK$262</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CropResidue!$J$193:$AK$193</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CropResidue!$J$141:$J$158</definedName>
    <definedName name="trial_length_t" localSheetId="4">CropResidue!$J$195:$AK$195</definedName>
    <definedName name="w_foetus_start_t" localSheetId="4">CropResidue!$J$211:$AK$211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3" i="18" l="1"/>
  <c r="J106" i="22"/>
  <c r="I106" i="22"/>
  <c r="A165" i="21" l="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47" i="22"/>
  <c r="K347" i="22"/>
  <c r="L347" i="22"/>
  <c r="M347" i="22"/>
  <c r="N347" i="22"/>
  <c r="O347" i="22"/>
  <c r="P347" i="22"/>
  <c r="Q347" i="22"/>
  <c r="R347" i="22"/>
  <c r="S347" i="22"/>
  <c r="T347" i="22"/>
  <c r="U347" i="22"/>
  <c r="V347" i="22"/>
  <c r="W347" i="22"/>
  <c r="X347" i="22"/>
  <c r="Y347" i="22"/>
  <c r="Z347" i="22"/>
  <c r="AA347" i="22"/>
  <c r="AB347" i="22"/>
  <c r="AC347" i="22"/>
  <c r="AD347" i="22"/>
  <c r="AE347" i="22"/>
  <c r="AF347" i="22"/>
  <c r="AG347" i="22"/>
  <c r="AH347" i="22"/>
  <c r="AI347" i="22"/>
  <c r="AJ347" i="22"/>
  <c r="AK347" i="22"/>
  <c r="J84" i="22"/>
  <c r="G78" i="22"/>
  <c r="G79" i="22"/>
  <c r="G80" i="22"/>
  <c r="G81" i="22"/>
  <c r="G82" i="22"/>
  <c r="G83" i="22"/>
  <c r="G84" i="22"/>
  <c r="G85" i="22"/>
  <c r="G86" i="22"/>
  <c r="G87" i="22"/>
  <c r="G88" i="22"/>
  <c r="G89" i="22"/>
  <c r="G90" i="22"/>
  <c r="G91" i="22"/>
  <c r="G92" i="22"/>
  <c r="G93" i="22"/>
  <c r="G94" i="22"/>
  <c r="G116" i="22"/>
  <c r="G100" i="22"/>
  <c r="G101" i="22"/>
  <c r="G102" i="22"/>
  <c r="G103" i="22"/>
  <c r="G104" i="22"/>
  <c r="G105" i="22"/>
  <c r="G106" i="22"/>
  <c r="G107" i="22"/>
  <c r="G108" i="22"/>
  <c r="G109" i="22"/>
  <c r="G110" i="22"/>
  <c r="G111" i="22"/>
  <c r="G112" i="22"/>
  <c r="G113" i="22"/>
  <c r="G114" i="22"/>
  <c r="G115" i="22"/>
  <c r="G121" i="22"/>
  <c r="G122" i="22"/>
  <c r="G123" i="22"/>
  <c r="G124" i="22"/>
  <c r="G125" i="22"/>
  <c r="G126" i="22"/>
  <c r="G127" i="22"/>
  <c r="G128" i="22"/>
  <c r="G129" i="22"/>
  <c r="G130" i="22"/>
  <c r="G131" i="22"/>
  <c r="G132" i="22"/>
  <c r="G133" i="22"/>
  <c r="G134" i="22"/>
  <c r="G135" i="22"/>
  <c r="G136" i="22"/>
  <c r="G137" i="22"/>
  <c r="G142" i="22"/>
  <c r="G143" i="22"/>
  <c r="G144" i="22"/>
  <c r="G145" i="22"/>
  <c r="G146" i="22"/>
  <c r="G147" i="22"/>
  <c r="G148" i="22"/>
  <c r="G149" i="22"/>
  <c r="G150" i="22"/>
  <c r="G151" i="22"/>
  <c r="G152" i="22"/>
  <c r="G153" i="22"/>
  <c r="G154" i="22"/>
  <c r="G155" i="22"/>
  <c r="G156" i="22"/>
  <c r="G157" i="22"/>
  <c r="G158" i="22"/>
  <c r="I347" i="22"/>
  <c r="I348" i="22"/>
  <c r="I349" i="22"/>
  <c r="I350" i="22"/>
  <c r="I351" i="22"/>
  <c r="I352" i="22"/>
  <c r="I353" i="22"/>
  <c r="I354" i="22"/>
  <c r="I355" i="22"/>
  <c r="I356" i="22"/>
  <c r="I357" i="22"/>
  <c r="I341" i="22"/>
  <c r="I342" i="22"/>
  <c r="I343" i="22"/>
  <c r="I344" i="22"/>
  <c r="I345" i="22"/>
  <c r="I346" i="22"/>
  <c r="I323" i="22"/>
  <c r="I324" i="22"/>
  <c r="I325" i="22"/>
  <c r="I326" i="22"/>
  <c r="I327" i="22"/>
  <c r="I328" i="22"/>
  <c r="I329" i="22"/>
  <c r="I330" i="22"/>
  <c r="I331" i="22"/>
  <c r="I332" i="22"/>
  <c r="I333" i="22"/>
  <c r="I334" i="22"/>
  <c r="I335" i="22"/>
  <c r="I336" i="22"/>
  <c r="I337" i="22"/>
  <c r="I338" i="22"/>
  <c r="I339" i="22"/>
  <c r="I340" i="22"/>
  <c r="I322" i="22"/>
  <c r="I305" i="22"/>
  <c r="I306" i="22"/>
  <c r="I307" i="22"/>
  <c r="I308" i="22"/>
  <c r="I309" i="22"/>
  <c r="I310" i="22"/>
  <c r="I311" i="22"/>
  <c r="I312" i="22"/>
  <c r="I313" i="22"/>
  <c r="I314" i="22"/>
  <c r="I315" i="22"/>
  <c r="I316" i="22"/>
  <c r="I317" i="22"/>
  <c r="I318" i="22"/>
  <c r="I319" i="22"/>
  <c r="I320" i="22"/>
  <c r="I321" i="22"/>
  <c r="I304" i="22"/>
  <c r="G141" i="22"/>
  <c r="G120" i="22"/>
  <c r="G99" i="22"/>
  <c r="G77" i="22"/>
  <c r="H39" i="22"/>
  <c r="H40" i="22"/>
  <c r="H41" i="22"/>
  <c r="H42" i="22"/>
  <c r="H43" i="22"/>
  <c r="H44" i="22"/>
  <c r="H45" i="22"/>
  <c r="H46" i="22"/>
  <c r="H47" i="22"/>
  <c r="H48" i="22"/>
  <c r="H49" i="22"/>
  <c r="H50" i="22"/>
  <c r="H51" i="22"/>
  <c r="H52" i="22"/>
  <c r="H53" i="22"/>
  <c r="H54" i="22"/>
  <c r="H55" i="22"/>
  <c r="H38" i="22"/>
  <c r="I81" i="6"/>
  <c r="M81" i="6"/>
  <c r="A16" i="1"/>
  <c r="D58" i="1"/>
  <c r="G58" i="1"/>
  <c r="A58" i="1"/>
  <c r="I58" i="1" s="1"/>
  <c r="P229" i="14" l="1"/>
  <c r="O229" i="14"/>
  <c r="N229" i="14"/>
  <c r="M229" i="14"/>
  <c r="L229" i="14"/>
  <c r="AA229" i="14" s="1"/>
  <c r="K229" i="14"/>
  <c r="V229" i="14" s="1"/>
  <c r="AB230" i="14"/>
  <c r="AA230" i="14"/>
  <c r="Z230" i="14"/>
  <c r="Y230" i="14"/>
  <c r="X230" i="14"/>
  <c r="W230" i="14"/>
  <c r="V230" i="14"/>
  <c r="U230" i="14"/>
  <c r="C230" i="14"/>
  <c r="AB229" i="14"/>
  <c r="Z229" i="14"/>
  <c r="Y229" i="14"/>
  <c r="X229" i="14"/>
  <c r="C229" i="14"/>
  <c r="AB228" i="14"/>
  <c r="AA228" i="14"/>
  <c r="Z228" i="14"/>
  <c r="Y228" i="14"/>
  <c r="X228" i="14"/>
  <c r="W228" i="14"/>
  <c r="V228" i="14"/>
  <c r="U228" i="14"/>
  <c r="C228" i="14"/>
  <c r="AB227" i="14"/>
  <c r="AA227" i="14"/>
  <c r="Z227" i="14"/>
  <c r="Y227" i="14"/>
  <c r="X227" i="14"/>
  <c r="W227" i="14"/>
  <c r="V227" i="14"/>
  <c r="U227" i="14"/>
  <c r="C227" i="14"/>
  <c r="W229" i="14" l="1"/>
  <c r="U22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AK260" i="22" l="1"/>
  <c r="AK262" i="22"/>
  <c r="G361" i="22"/>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K356" i="22"/>
  <c r="AJ356" i="22"/>
  <c r="AI356" i="22"/>
  <c r="AH356" i="22"/>
  <c r="AG356" i="22"/>
  <c r="AF356" i="22"/>
  <c r="AE356" i="22"/>
  <c r="AD356" i="22"/>
  <c r="AC356" i="22"/>
  <c r="AB356" i="22"/>
  <c r="AA356" i="22"/>
  <c r="Z356" i="22"/>
  <c r="Y356" i="22"/>
  <c r="X356" i="22"/>
  <c r="W356" i="22"/>
  <c r="V356" i="22"/>
  <c r="U356" i="22"/>
  <c r="T356" i="22"/>
  <c r="S356" i="22"/>
  <c r="R356" i="22"/>
  <c r="Q356" i="22"/>
  <c r="P356" i="22"/>
  <c r="O356" i="22"/>
  <c r="N356" i="22"/>
  <c r="M356" i="22"/>
  <c r="L356" i="22"/>
  <c r="K356" i="22"/>
  <c r="J356" i="22"/>
  <c r="AK355" i="22"/>
  <c r="AJ355" i="22"/>
  <c r="AI355" i="22"/>
  <c r="AH355" i="22"/>
  <c r="AG355" i="22"/>
  <c r="AF355" i="22"/>
  <c r="AE355" i="22"/>
  <c r="AD355" i="22"/>
  <c r="AC355" i="22"/>
  <c r="AB355" i="22"/>
  <c r="AA355" i="22"/>
  <c r="Z355" i="22"/>
  <c r="Y355" i="22"/>
  <c r="X355" i="22"/>
  <c r="W355" i="22"/>
  <c r="V355" i="22"/>
  <c r="U355" i="22"/>
  <c r="T355" i="22"/>
  <c r="S355" i="22"/>
  <c r="R355" i="22"/>
  <c r="Q355" i="22"/>
  <c r="P355" i="22"/>
  <c r="O355" i="22"/>
  <c r="N355" i="22"/>
  <c r="M355" i="22"/>
  <c r="L355" i="22"/>
  <c r="K355" i="22"/>
  <c r="J355" i="22"/>
  <c r="AK354" i="22"/>
  <c r="AJ354" i="22"/>
  <c r="AI354" i="22"/>
  <c r="AH354" i="22"/>
  <c r="AG354" i="22"/>
  <c r="AF354" i="22"/>
  <c r="AE354" i="22"/>
  <c r="AD354" i="22"/>
  <c r="AC354" i="22"/>
  <c r="AB354" i="22"/>
  <c r="AA354" i="22"/>
  <c r="Z354" i="22"/>
  <c r="Y354" i="22"/>
  <c r="X354" i="22"/>
  <c r="W354" i="22"/>
  <c r="V354" i="22"/>
  <c r="U354" i="22"/>
  <c r="T354" i="22"/>
  <c r="S354" i="22"/>
  <c r="R354" i="22"/>
  <c r="Q354" i="22"/>
  <c r="P354" i="22"/>
  <c r="O354" i="22"/>
  <c r="N354" i="22"/>
  <c r="M354" i="22"/>
  <c r="L354" i="22"/>
  <c r="K354" i="22"/>
  <c r="J354" i="22"/>
  <c r="AK353" i="22"/>
  <c r="AJ353" i="22"/>
  <c r="AI353" i="22"/>
  <c r="AH353" i="22"/>
  <c r="AG353" i="22"/>
  <c r="AF353" i="22"/>
  <c r="AE353" i="22"/>
  <c r="AD353" i="22"/>
  <c r="AC353" i="22"/>
  <c r="AB353" i="22"/>
  <c r="AA353" i="22"/>
  <c r="Z353" i="22"/>
  <c r="Y353" i="22"/>
  <c r="X353" i="22"/>
  <c r="W353" i="22"/>
  <c r="V353" i="22"/>
  <c r="U353" i="22"/>
  <c r="T353" i="22"/>
  <c r="S353" i="22"/>
  <c r="R353" i="22"/>
  <c r="Q353" i="22"/>
  <c r="P353" i="22"/>
  <c r="O353" i="22"/>
  <c r="N353" i="22"/>
  <c r="M353" i="22"/>
  <c r="L353" i="22"/>
  <c r="K353" i="22"/>
  <c r="J353" i="22"/>
  <c r="AK352" i="22"/>
  <c r="AJ352" i="22"/>
  <c r="AI352" i="22"/>
  <c r="AH352" i="22"/>
  <c r="AG352" i="22"/>
  <c r="AF352" i="22"/>
  <c r="AE352" i="22"/>
  <c r="AD352" i="22"/>
  <c r="AC352" i="22"/>
  <c r="AB352" i="22"/>
  <c r="AA352" i="22"/>
  <c r="Z352" i="22"/>
  <c r="Y352" i="22"/>
  <c r="X352" i="22"/>
  <c r="W352" i="22"/>
  <c r="V352" i="22"/>
  <c r="U352" i="22"/>
  <c r="T352" i="22"/>
  <c r="S352" i="22"/>
  <c r="R352" i="22"/>
  <c r="Q352" i="22"/>
  <c r="P352" i="22"/>
  <c r="O352" i="22"/>
  <c r="N352" i="22"/>
  <c r="M352" i="22"/>
  <c r="L352" i="22"/>
  <c r="K352" i="22"/>
  <c r="J352" i="22"/>
  <c r="AK351" i="22"/>
  <c r="AJ351" i="22"/>
  <c r="AI351" i="22"/>
  <c r="AH351" i="22"/>
  <c r="AG351" i="22"/>
  <c r="AF351" i="22"/>
  <c r="AE351" i="22"/>
  <c r="AD351" i="22"/>
  <c r="AC351" i="22"/>
  <c r="AB351" i="22"/>
  <c r="AA351" i="22"/>
  <c r="Z351" i="22"/>
  <c r="Y351" i="22"/>
  <c r="X351" i="22"/>
  <c r="W351" i="22"/>
  <c r="V351" i="22"/>
  <c r="U351" i="22"/>
  <c r="T351" i="22"/>
  <c r="S351" i="22"/>
  <c r="R351" i="22"/>
  <c r="Q351" i="22"/>
  <c r="P351" i="22"/>
  <c r="O351" i="22"/>
  <c r="N351" i="22"/>
  <c r="M351" i="22"/>
  <c r="L351" i="22"/>
  <c r="K351" i="22"/>
  <c r="J351" i="22"/>
  <c r="AK350" i="22"/>
  <c r="AJ350" i="22"/>
  <c r="AI350" i="22"/>
  <c r="AH350" i="22"/>
  <c r="AG350" i="22"/>
  <c r="AF350" i="22"/>
  <c r="AE350" i="22"/>
  <c r="AD350" i="22"/>
  <c r="AC350" i="22"/>
  <c r="AB350" i="22"/>
  <c r="AA350" i="22"/>
  <c r="Z350" i="22"/>
  <c r="Y350" i="22"/>
  <c r="X350" i="22"/>
  <c r="W350" i="22"/>
  <c r="V350" i="22"/>
  <c r="U350" i="22"/>
  <c r="T350" i="22"/>
  <c r="S350" i="22"/>
  <c r="R350" i="22"/>
  <c r="Q350" i="22"/>
  <c r="P350" i="22"/>
  <c r="O350" i="22"/>
  <c r="N350" i="22"/>
  <c r="M350" i="22"/>
  <c r="L350" i="22"/>
  <c r="K350" i="22"/>
  <c r="J350" i="22"/>
  <c r="AK349" i="22"/>
  <c r="AJ349" i="22"/>
  <c r="AI349" i="22"/>
  <c r="AH349" i="22"/>
  <c r="AG349" i="22"/>
  <c r="AF349" i="22"/>
  <c r="AE349" i="22"/>
  <c r="AD349" i="22"/>
  <c r="AC349" i="22"/>
  <c r="AB349" i="22"/>
  <c r="AA349" i="22"/>
  <c r="Z349" i="22"/>
  <c r="Y349" i="22"/>
  <c r="X349" i="22"/>
  <c r="W349" i="22"/>
  <c r="V349" i="22"/>
  <c r="U349" i="22"/>
  <c r="T349" i="22"/>
  <c r="S349" i="22"/>
  <c r="R349" i="22"/>
  <c r="Q349" i="22"/>
  <c r="P349" i="22"/>
  <c r="O349" i="22"/>
  <c r="N349" i="22"/>
  <c r="M349" i="22"/>
  <c r="L349" i="22"/>
  <c r="K349" i="22"/>
  <c r="J349" i="22"/>
  <c r="AK348" i="22"/>
  <c r="AJ348" i="22"/>
  <c r="AI348" i="22"/>
  <c r="AH348" i="22"/>
  <c r="AG348" i="22"/>
  <c r="AF348" i="22"/>
  <c r="AE348" i="22"/>
  <c r="AD348" i="22"/>
  <c r="AC348" i="22"/>
  <c r="AB348" i="22"/>
  <c r="AA348" i="22"/>
  <c r="Z348" i="22"/>
  <c r="Y348" i="22"/>
  <c r="X348" i="22"/>
  <c r="W348" i="22"/>
  <c r="V348" i="22"/>
  <c r="U348" i="22"/>
  <c r="T348" i="22"/>
  <c r="S348" i="22"/>
  <c r="R348" i="22"/>
  <c r="Q348" i="22"/>
  <c r="P348" i="22"/>
  <c r="O348" i="22"/>
  <c r="N348" i="22"/>
  <c r="M348" i="22"/>
  <c r="L348" i="22"/>
  <c r="K348" i="22"/>
  <c r="J348" i="22"/>
  <c r="AK346" i="22"/>
  <c r="AJ346" i="22"/>
  <c r="AI346" i="22"/>
  <c r="AH346" i="22"/>
  <c r="AG346" i="22"/>
  <c r="AF346" i="22"/>
  <c r="AE346" i="22"/>
  <c r="AD346" i="22"/>
  <c r="AC346" i="22"/>
  <c r="AB346" i="22"/>
  <c r="AA346" i="22"/>
  <c r="Z346" i="22"/>
  <c r="Y346" i="22"/>
  <c r="X346" i="22"/>
  <c r="W346" i="22"/>
  <c r="V346" i="22"/>
  <c r="U346" i="22"/>
  <c r="T346" i="22"/>
  <c r="S346" i="22"/>
  <c r="R346" i="22"/>
  <c r="Q346" i="22"/>
  <c r="P346" i="22"/>
  <c r="O346" i="22"/>
  <c r="N346" i="22"/>
  <c r="M346" i="22"/>
  <c r="L346" i="22"/>
  <c r="K346" i="22"/>
  <c r="J346" i="22"/>
  <c r="AK345" i="22"/>
  <c r="AJ345" i="22"/>
  <c r="AI345" i="22"/>
  <c r="AH345" i="22"/>
  <c r="AG345" i="22"/>
  <c r="AF345" i="22"/>
  <c r="AE345" i="22"/>
  <c r="AD345" i="22"/>
  <c r="AC345" i="22"/>
  <c r="AB345" i="22"/>
  <c r="AA345" i="22"/>
  <c r="Z345" i="22"/>
  <c r="Y345" i="22"/>
  <c r="X345" i="22"/>
  <c r="W345" i="22"/>
  <c r="V345" i="22"/>
  <c r="U345" i="22"/>
  <c r="T345" i="22"/>
  <c r="S345" i="22"/>
  <c r="R345" i="22"/>
  <c r="Q345" i="22"/>
  <c r="P345" i="22"/>
  <c r="O345" i="22"/>
  <c r="N345" i="22"/>
  <c r="M345" i="22"/>
  <c r="L345" i="22"/>
  <c r="K345" i="22"/>
  <c r="J345" i="22"/>
  <c r="AK344" i="22"/>
  <c r="AJ344" i="22"/>
  <c r="AI344" i="22"/>
  <c r="AH344" i="22"/>
  <c r="AG344" i="22"/>
  <c r="AF344" i="22"/>
  <c r="AE344" i="22"/>
  <c r="AD344" i="22"/>
  <c r="AC344" i="22"/>
  <c r="AB344" i="22"/>
  <c r="AA344" i="22"/>
  <c r="Z344" i="22"/>
  <c r="Y344" i="22"/>
  <c r="X344" i="22"/>
  <c r="W344" i="22"/>
  <c r="V344" i="22"/>
  <c r="U344" i="22"/>
  <c r="T344" i="22"/>
  <c r="S344" i="22"/>
  <c r="R344" i="22"/>
  <c r="Q344" i="22"/>
  <c r="P344" i="22"/>
  <c r="O344" i="22"/>
  <c r="N344" i="22"/>
  <c r="M344" i="22"/>
  <c r="L344" i="22"/>
  <c r="K344" i="22"/>
  <c r="J344" i="22"/>
  <c r="AK343" i="22"/>
  <c r="AJ343" i="22"/>
  <c r="AI343" i="22"/>
  <c r="AH343" i="22"/>
  <c r="AG343" i="22"/>
  <c r="AF343" i="22"/>
  <c r="AE343" i="22"/>
  <c r="AD343" i="22"/>
  <c r="AC343" i="22"/>
  <c r="AB343" i="22"/>
  <c r="AA343" i="22"/>
  <c r="Z343" i="22"/>
  <c r="Y343" i="22"/>
  <c r="X343" i="22"/>
  <c r="W343" i="22"/>
  <c r="V343" i="22"/>
  <c r="U343" i="22"/>
  <c r="T343" i="22"/>
  <c r="S343" i="22"/>
  <c r="R343" i="22"/>
  <c r="Q343" i="22"/>
  <c r="P343" i="22"/>
  <c r="O343" i="22"/>
  <c r="N343" i="22"/>
  <c r="M343" i="22"/>
  <c r="L343" i="22"/>
  <c r="K343" i="22"/>
  <c r="J343" i="22"/>
  <c r="AK342" i="22"/>
  <c r="AJ342" i="22"/>
  <c r="AI342" i="22"/>
  <c r="AH342" i="22"/>
  <c r="AG342" i="22"/>
  <c r="AF342" i="22"/>
  <c r="AE342" i="22"/>
  <c r="AD342" i="22"/>
  <c r="AC342" i="22"/>
  <c r="AB342" i="22"/>
  <c r="AA342" i="22"/>
  <c r="Z342" i="22"/>
  <c r="Y342" i="22"/>
  <c r="X342" i="22"/>
  <c r="W342" i="22"/>
  <c r="V342" i="22"/>
  <c r="U342" i="22"/>
  <c r="T342" i="22"/>
  <c r="S342" i="22"/>
  <c r="R342" i="22"/>
  <c r="Q342" i="22"/>
  <c r="P342" i="22"/>
  <c r="O342" i="22"/>
  <c r="N342" i="22"/>
  <c r="M342" i="22"/>
  <c r="L342" i="22"/>
  <c r="K342" i="22"/>
  <c r="J342" i="22"/>
  <c r="AK341" i="22"/>
  <c r="AJ341" i="22"/>
  <c r="AI341" i="22"/>
  <c r="AH341" i="22"/>
  <c r="AG341" i="22"/>
  <c r="AF341" i="22"/>
  <c r="AE341" i="22"/>
  <c r="AD341" i="22"/>
  <c r="AC341" i="22"/>
  <c r="AB341" i="22"/>
  <c r="AA341" i="22"/>
  <c r="Z341" i="22"/>
  <c r="Y341" i="22"/>
  <c r="X341" i="22"/>
  <c r="W341" i="22"/>
  <c r="V341" i="22"/>
  <c r="U341" i="22"/>
  <c r="T341" i="22"/>
  <c r="S341" i="22"/>
  <c r="R341" i="22"/>
  <c r="Q341" i="22"/>
  <c r="P341" i="22"/>
  <c r="O341" i="22"/>
  <c r="N341" i="22"/>
  <c r="M341" i="22"/>
  <c r="L341" i="22"/>
  <c r="K341" i="22"/>
  <c r="J341" i="22"/>
  <c r="AK340" i="22"/>
  <c r="AJ340" i="22"/>
  <c r="AI340" i="22"/>
  <c r="AH340" i="22"/>
  <c r="AG340" i="22"/>
  <c r="AF340" i="22"/>
  <c r="AE340" i="22"/>
  <c r="AD340" i="22"/>
  <c r="AC340" i="22"/>
  <c r="AB340" i="22"/>
  <c r="AA340" i="22"/>
  <c r="Z340" i="22"/>
  <c r="Y340" i="22"/>
  <c r="X340" i="22"/>
  <c r="W340" i="22"/>
  <c r="V340" i="22"/>
  <c r="U340" i="22"/>
  <c r="T340" i="22"/>
  <c r="S340" i="22"/>
  <c r="R340" i="22"/>
  <c r="Q340" i="22"/>
  <c r="P340" i="22"/>
  <c r="O340" i="22"/>
  <c r="N340" i="22"/>
  <c r="M340" i="22"/>
  <c r="L340" i="22"/>
  <c r="K340" i="22"/>
  <c r="J340" i="22"/>
  <c r="AN339" i="22"/>
  <c r="AN338" i="22"/>
  <c r="AN337" i="22"/>
  <c r="AN336" i="22"/>
  <c r="AN335" i="22"/>
  <c r="AN334" i="22"/>
  <c r="AN333" i="22"/>
  <c r="AN332" i="22"/>
  <c r="AN331" i="22"/>
  <c r="AN330" i="22"/>
  <c r="AN328" i="22"/>
  <c r="AN327" i="22"/>
  <c r="AN326" i="22"/>
  <c r="AN325" i="22"/>
  <c r="AN324" i="22"/>
  <c r="AN323" i="22"/>
  <c r="AN322" i="22"/>
  <c r="AN321" i="22"/>
  <c r="AN320" i="22"/>
  <c r="AN319" i="22"/>
  <c r="AN318" i="22"/>
  <c r="AN317" i="22"/>
  <c r="AN316" i="22"/>
  <c r="AN315" i="22"/>
  <c r="AN314" i="22"/>
  <c r="AN313" i="22"/>
  <c r="AN312" i="22"/>
  <c r="AN310" i="22"/>
  <c r="AN309" i="22"/>
  <c r="AN308" i="22"/>
  <c r="AN307" i="22"/>
  <c r="AN306" i="22"/>
  <c r="AN305" i="22"/>
  <c r="AN304" i="22"/>
  <c r="AH294" i="22"/>
  <c r="AH293" i="22"/>
  <c r="AH292" i="22"/>
  <c r="AH291" i="22"/>
  <c r="AH290" i="22"/>
  <c r="AH289" i="22"/>
  <c r="AH288" i="22"/>
  <c r="AH287" i="22"/>
  <c r="AI286" i="22"/>
  <c r="AH286" i="22"/>
  <c r="AG286" i="22"/>
  <c r="AH285" i="22"/>
  <c r="AH284" i="22"/>
  <c r="AH283" i="22"/>
  <c r="AH282" i="22"/>
  <c r="AH281" i="22"/>
  <c r="AH280" i="22"/>
  <c r="AI279" i="22"/>
  <c r="AH279" i="22"/>
  <c r="AG279" i="22"/>
  <c r="AH278" i="22"/>
  <c r="AG278" i="22"/>
  <c r="AH277" i="22"/>
  <c r="AH276" i="22"/>
  <c r="AG276" i="22"/>
  <c r="AQ275" i="22"/>
  <c r="AQ276" i="22" s="1"/>
  <c r="AQ277" i="22" s="1"/>
  <c r="AQ278" i="22" s="1"/>
  <c r="AQ279" i="22" s="1"/>
  <c r="AQ280" i="22" s="1"/>
  <c r="AQ281" i="22" s="1"/>
  <c r="AQ282" i="22" s="1"/>
  <c r="AQ283" i="22" s="1"/>
  <c r="AQ284" i="22" s="1"/>
  <c r="AQ285" i="22" s="1"/>
  <c r="AQ286" i="22" s="1"/>
  <c r="AQ287" i="22" s="1"/>
  <c r="AK270" i="22"/>
  <c r="AK269" i="22"/>
  <c r="AK268" i="22"/>
  <c r="AK267" i="22"/>
  <c r="AK266" i="22"/>
  <c r="AJ262" i="22"/>
  <c r="AI262" i="22"/>
  <c r="AH262" i="22"/>
  <c r="AG262" i="22"/>
  <c r="AF262" i="22"/>
  <c r="AE262" i="22"/>
  <c r="AD262" i="22"/>
  <c r="AC262" i="22"/>
  <c r="AB262" i="22"/>
  <c r="AA262" i="22"/>
  <c r="Z262" i="22"/>
  <c r="Y262" i="22"/>
  <c r="X262" i="22"/>
  <c r="W262" i="22"/>
  <c r="V262" i="22"/>
  <c r="U262" i="22"/>
  <c r="T262" i="22"/>
  <c r="S262" i="22"/>
  <c r="R262" i="22"/>
  <c r="Q262" i="22"/>
  <c r="P262" i="22"/>
  <c r="O262" i="22"/>
  <c r="N262" i="22"/>
  <c r="M262" i="22"/>
  <c r="L262" i="22"/>
  <c r="K262" i="22"/>
  <c r="J262"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J260" i="22"/>
  <c r="AK243" i="22"/>
  <c r="AJ243" i="22"/>
  <c r="AI243" i="22"/>
  <c r="AH243" i="22"/>
  <c r="AG243" i="22"/>
  <c r="AF243" i="22"/>
  <c r="AE243" i="22"/>
  <c r="AD243" i="22"/>
  <c r="AC243" i="22"/>
  <c r="AB243" i="22"/>
  <c r="AA243" i="22"/>
  <c r="Z243" i="22"/>
  <c r="Y243" i="22"/>
  <c r="X243" i="22"/>
  <c r="W243" i="22"/>
  <c r="V243" i="22"/>
  <c r="U243" i="22"/>
  <c r="T243" i="22"/>
  <c r="S243" i="22"/>
  <c r="R243" i="22"/>
  <c r="Q243" i="22"/>
  <c r="P243" i="22"/>
  <c r="O243" i="22"/>
  <c r="N243" i="22"/>
  <c r="M243" i="22"/>
  <c r="L243" i="22"/>
  <c r="K243" i="22"/>
  <c r="J243" i="22"/>
  <c r="AK215"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2" i="22"/>
  <c r="AK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08" i="22"/>
  <c r="AK210" i="22" s="1"/>
  <c r="AK207" i="22"/>
  <c r="AK206" i="22"/>
  <c r="AK205" i="22"/>
  <c r="AK204" i="22"/>
  <c r="AK202" i="22"/>
  <c r="AI202" i="22"/>
  <c r="AH202" i="22"/>
  <c r="AG202" i="22"/>
  <c r="AF202" i="22"/>
  <c r="AE202" i="22"/>
  <c r="AD202" i="22"/>
  <c r="AK197" i="22"/>
  <c r="AK195" i="22"/>
  <c r="AK194" i="22"/>
  <c r="W194" i="22"/>
  <c r="V194" i="22"/>
  <c r="Q194" i="22"/>
  <c r="P194" i="22"/>
  <c r="O194" i="22"/>
  <c r="N194" i="22"/>
  <c r="M194" i="22"/>
  <c r="L194" i="22"/>
  <c r="K194" i="22"/>
  <c r="J194" i="22"/>
  <c r="AJ193" i="22"/>
  <c r="AI193" i="22"/>
  <c r="AH193" i="22"/>
  <c r="AG193" i="22"/>
  <c r="AF193" i="22"/>
  <c r="AE193" i="22"/>
  <c r="AD193" i="22"/>
  <c r="AC193" i="22"/>
  <c r="AB193" i="22"/>
  <c r="AA193" i="22"/>
  <c r="Z193" i="22"/>
  <c r="Y193" i="22"/>
  <c r="X193" i="22"/>
  <c r="W193" i="22"/>
  <c r="V193" i="22"/>
  <c r="U193" i="22"/>
  <c r="T193" i="22"/>
  <c r="S193" i="22"/>
  <c r="R193" i="22"/>
  <c r="Q193" i="22"/>
  <c r="P193" i="22"/>
  <c r="O193" i="22"/>
  <c r="N193" i="22"/>
  <c r="M193" i="22"/>
  <c r="L193" i="22"/>
  <c r="K193" i="22"/>
  <c r="J193" i="22"/>
  <c r="AK192" i="22"/>
  <c r="AK193" i="22" s="1"/>
  <c r="G174" i="22"/>
  <c r="I165" i="22"/>
  <c r="J165" i="22" s="1"/>
  <c r="K165" i="22" s="1"/>
  <c r="L165" i="22" s="1"/>
  <c r="M165" i="22" s="1"/>
  <c r="N165" i="22" s="1"/>
  <c r="O165" i="22" s="1"/>
  <c r="P165" i="22" s="1"/>
  <c r="Q165" i="22" s="1"/>
  <c r="R202" i="22"/>
  <c r="I116" i="22"/>
  <c r="I115" i="22"/>
  <c r="I114" i="22"/>
  <c r="I113" i="22"/>
  <c r="I112" i="22"/>
  <c r="I111" i="22"/>
  <c r="I110" i="22"/>
  <c r="I109" i="22"/>
  <c r="I108" i="22"/>
  <c r="I107" i="22"/>
  <c r="I105" i="22"/>
  <c r="I104" i="22"/>
  <c r="I103" i="22"/>
  <c r="I102" i="22"/>
  <c r="I101" i="22"/>
  <c r="I100" i="22"/>
  <c r="I99" i="22"/>
  <c r="J94" i="22"/>
  <c r="J116" i="22" s="1"/>
  <c r="J93" i="22"/>
  <c r="J115" i="22" s="1"/>
  <c r="J92" i="22"/>
  <c r="J114" i="22" s="1"/>
  <c r="J91" i="22"/>
  <c r="J113" i="22" s="1"/>
  <c r="J90" i="22"/>
  <c r="J112" i="22" s="1"/>
  <c r="J89" i="22"/>
  <c r="J111" i="22" s="1"/>
  <c r="J88" i="22"/>
  <c r="J110" i="22" s="1"/>
  <c r="J87" i="22"/>
  <c r="J109" i="22" s="1"/>
  <c r="J86" i="22"/>
  <c r="J108" i="22" s="1"/>
  <c r="J85" i="22"/>
  <c r="J107" i="22" s="1"/>
  <c r="J83" i="22"/>
  <c r="J105" i="22" s="1"/>
  <c r="J82" i="22"/>
  <c r="J104" i="22" s="1"/>
  <c r="J81" i="22"/>
  <c r="J103" i="22" s="1"/>
  <c r="J80" i="22"/>
  <c r="J102" i="22" s="1"/>
  <c r="J79" i="22"/>
  <c r="J101" i="22" s="1"/>
  <c r="J78" i="22"/>
  <c r="J100" i="22" s="1"/>
  <c r="J77" i="22"/>
  <c r="J99" i="22" s="1"/>
  <c r="G59" i="22"/>
  <c r="G22"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M309" i="13"/>
  <c r="W202" i="22" l="1"/>
  <c r="AJ202" i="22"/>
  <c r="S202" i="22"/>
  <c r="AN344" i="22"/>
  <c r="AN357" i="22"/>
  <c r="AN345" i="22"/>
  <c r="AN355" i="22"/>
  <c r="AN343" i="22"/>
  <c r="AN353" i="22"/>
  <c r="AN352" i="22"/>
  <c r="AN348" i="22"/>
  <c r="AN341" i="22"/>
  <c r="AN354" i="22"/>
  <c r="AN350" i="22"/>
  <c r="AN351" i="22"/>
  <c r="AN346" i="22"/>
  <c r="AN356" i="22"/>
  <c r="AN342" i="22"/>
  <c r="O202" i="22"/>
  <c r="AN340" i="22"/>
  <c r="N202" i="22"/>
  <c r="AN349" i="22"/>
  <c r="AQ291" i="22"/>
  <c r="AQ288" i="22"/>
  <c r="Q202" i="22"/>
  <c r="V202" i="22"/>
  <c r="P202" i="22"/>
  <c r="Z202" i="22"/>
  <c r="AA202" i="22"/>
  <c r="AB202" i="22"/>
  <c r="K202" i="22"/>
  <c r="X202" i="22"/>
  <c r="Y202" i="22"/>
  <c r="AC202" i="22"/>
  <c r="J202" i="22"/>
  <c r="L202" i="22"/>
  <c r="M202" i="22"/>
  <c r="T202" i="22"/>
  <c r="U202" i="22"/>
  <c r="J329" i="13"/>
  <c r="AG316" i="13"/>
  <c r="AG351" i="13"/>
  <c r="G87" i="20"/>
  <c r="G113" i="20"/>
  <c r="AQ292" i="22" l="1"/>
  <c r="AQ289" i="22"/>
  <c r="AG312" i="13"/>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Q293" i="22" l="1"/>
  <c r="AQ290" i="22"/>
  <c r="AQ294" i="22" s="1"/>
  <c r="N303" i="13"/>
  <c r="M303" i="13"/>
  <c r="N302" i="13"/>
  <c r="M302" i="13"/>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85" i="14"/>
  <c r="AA385" i="14"/>
  <c r="Z385" i="14"/>
  <c r="Y385" i="14"/>
  <c r="X385" i="14"/>
  <c r="W385" i="14"/>
  <c r="V385" i="14"/>
  <c r="U385" i="14"/>
  <c r="C385" i="14"/>
  <c r="G56" i="20"/>
  <c r="K17" i="20"/>
  <c r="K13" i="20"/>
  <c r="K15" i="20"/>
  <c r="G21" i="20"/>
  <c r="C397" i="13"/>
  <c r="K196" i="14" l="1"/>
  <c r="L196" i="14" s="1"/>
  <c r="M196" i="14" s="1"/>
  <c r="N196" i="14" s="1"/>
  <c r="O196" i="14" s="1"/>
  <c r="P196" i="14" s="1"/>
  <c r="K195" i="14"/>
  <c r="L195" i="14" s="1"/>
  <c r="M195" i="14" s="1"/>
  <c r="N195" i="14" s="1"/>
  <c r="O195" i="14" s="1"/>
  <c r="P195" i="14" s="1"/>
  <c r="K197" i="14"/>
  <c r="L197" i="14" s="1"/>
  <c r="X321" i="14" l="1"/>
  <c r="Y321" i="14" s="1"/>
  <c r="Z321" i="14" s="1"/>
  <c r="AA321" i="14" s="1"/>
  <c r="AB321" i="14" s="1"/>
  <c r="W321" i="14"/>
  <c r="V321" i="14"/>
  <c r="U321" i="14"/>
  <c r="V320" i="14"/>
  <c r="W320" i="14" s="1"/>
  <c r="X320" i="14" s="1"/>
  <c r="Y320" i="14" s="1"/>
  <c r="Z320" i="14" s="1"/>
  <c r="AA320" i="14" s="1"/>
  <c r="AB320" i="14" s="1"/>
  <c r="C320" i="14"/>
  <c r="U251" i="14"/>
  <c r="AB270" i="14"/>
  <c r="AA270" i="14"/>
  <c r="Z270" i="14"/>
  <c r="Y270" i="14"/>
  <c r="X270" i="14"/>
  <c r="W270" i="14"/>
  <c r="V270" i="14"/>
  <c r="U270" i="14"/>
  <c r="C270" i="14"/>
  <c r="AB271" i="14"/>
  <c r="AA271" i="14"/>
  <c r="Z271" i="14"/>
  <c r="Y271" i="14"/>
  <c r="X271" i="14"/>
  <c r="W271" i="14"/>
  <c r="V271" i="14"/>
  <c r="U271" i="14"/>
  <c r="AB269" i="14"/>
  <c r="AA269" i="14"/>
  <c r="Z269" i="14"/>
  <c r="Y269" i="14"/>
  <c r="X269" i="14"/>
  <c r="W269" i="14"/>
  <c r="V269" i="14"/>
  <c r="U269" i="14"/>
  <c r="AB268" i="14"/>
  <c r="AA268" i="14"/>
  <c r="Z268" i="14"/>
  <c r="Y268" i="14"/>
  <c r="X268" i="14"/>
  <c r="W268" i="14"/>
  <c r="V268" i="14"/>
  <c r="U268" i="14"/>
  <c r="C269" i="14"/>
  <c r="C268" i="14"/>
  <c r="C267" i="14"/>
  <c r="X319" i="14"/>
  <c r="Y319" i="14" s="1"/>
  <c r="Z319" i="14" s="1"/>
  <c r="AA319" i="14" s="1"/>
  <c r="AB319" i="14" s="1"/>
  <c r="C319" i="14"/>
  <c r="AB378" i="14" l="1"/>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B374" i="14"/>
  <c r="AA374" i="14"/>
  <c r="Z374" i="14"/>
  <c r="Y374" i="14"/>
  <c r="X374" i="14"/>
  <c r="W374" i="14"/>
  <c r="V374" i="14"/>
  <c r="U374" i="14"/>
  <c r="AB373" i="14"/>
  <c r="AA373" i="14"/>
  <c r="Z373" i="14"/>
  <c r="Y373" i="14"/>
  <c r="X373" i="14"/>
  <c r="W373" i="14"/>
  <c r="V373" i="14"/>
  <c r="U373" i="14"/>
  <c r="C377" i="14"/>
  <c r="C376" i="14"/>
  <c r="C375" i="14"/>
  <c r="C374" i="14"/>
  <c r="C373" i="14"/>
  <c r="C372" i="14"/>
  <c r="C371" i="14"/>
  <c r="C370"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8" i="14"/>
  <c r="C369" i="14"/>
  <c r="C368" i="14"/>
  <c r="C400" i="13"/>
  <c r="C402" i="13"/>
  <c r="AB364" i="14" l="1"/>
  <c r="AA364" i="14"/>
  <c r="Z364" i="14"/>
  <c r="Y364" i="14"/>
  <c r="X364" i="14"/>
  <c r="W364" i="14"/>
  <c r="V364" i="14"/>
  <c r="U364" i="14"/>
  <c r="C367" i="14"/>
  <c r="C366" i="14"/>
  <c r="C365" i="14"/>
  <c r="AB363" i="14"/>
  <c r="AA363" i="14"/>
  <c r="Z363" i="14"/>
  <c r="Y363" i="14"/>
  <c r="X363" i="14"/>
  <c r="W363" i="14"/>
  <c r="V363" i="14"/>
  <c r="U363" i="14"/>
  <c r="C364" i="14"/>
  <c r="C45" i="14"/>
  <c r="U897" i="14"/>
  <c r="Y1472" i="14"/>
  <c r="Y1471" i="14"/>
  <c r="Y613" i="14"/>
  <c r="U613" i="14" s="1"/>
  <c r="Y612" i="14"/>
  <c r="U612" i="14" s="1"/>
  <c r="Y611" i="14"/>
  <c r="U611" i="14" s="1"/>
  <c r="Y610" i="14"/>
  <c r="U610" i="14" s="1"/>
  <c r="Y609" i="14"/>
  <c r="U609" i="14" s="1"/>
  <c r="Y608" i="14"/>
  <c r="U608" i="14" s="1"/>
  <c r="Y607" i="14"/>
  <c r="U607" i="14" s="1"/>
  <c r="Y606" i="14"/>
  <c r="U606" i="14" s="1"/>
  <c r="Y1483" i="14"/>
  <c r="U1483" i="14" s="1"/>
  <c r="Y1482" i="14" l="1"/>
  <c r="Z1506" i="14"/>
  <c r="AA1506" i="14" s="1"/>
  <c r="AB1506" i="14" s="1"/>
  <c r="Z1508" i="14"/>
  <c r="AA1508" i="14" s="1"/>
  <c r="AB1508" i="14" s="1"/>
  <c r="X1508" i="14"/>
  <c r="V1508" i="14"/>
  <c r="W1508" i="14" s="1"/>
  <c r="X1506" i="14"/>
  <c r="V1506" i="14"/>
  <c r="W1506" i="14" s="1"/>
  <c r="Y1473" i="14"/>
  <c r="U1473" i="14" s="1"/>
  <c r="Y896" i="14"/>
  <c r="U896" i="14" s="1"/>
  <c r="Z1472" i="14"/>
  <c r="AA1472" i="14" s="1"/>
  <c r="AB1472" i="14" s="1"/>
  <c r="X1472" i="14"/>
  <c r="U1472" i="14"/>
  <c r="V1472" i="14" s="1"/>
  <c r="W1472" i="14" s="1"/>
  <c r="U1471" i="14"/>
  <c r="Z213" i="13"/>
  <c r="Z214" i="13"/>
  <c r="Z215" i="13"/>
  <c r="Z216" i="13"/>
  <c r="Z217" i="13"/>
  <c r="Z218" i="13"/>
  <c r="Z219" i="13"/>
  <c r="U1482"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8" i="14"/>
  <c r="U898" i="14" s="1"/>
  <c r="V898" i="14" s="1"/>
  <c r="W898" i="14" s="1"/>
  <c r="V611" i="14"/>
  <c r="W611" i="14" s="1"/>
  <c r="V610" i="14"/>
  <c r="W610" i="14" s="1"/>
  <c r="V609" i="14"/>
  <c r="W609" i="14" s="1"/>
  <c r="V608" i="14"/>
  <c r="W608" i="14" s="1"/>
  <c r="V607" i="14"/>
  <c r="W607" i="14" s="1"/>
  <c r="Z610" i="14"/>
  <c r="AA610" i="14" s="1"/>
  <c r="AB610" i="14" s="1"/>
  <c r="Z607" i="14"/>
  <c r="AA607" i="14" s="1"/>
  <c r="AB607" i="14" s="1"/>
  <c r="C613" i="14"/>
  <c r="C612" i="14"/>
  <c r="C611" i="14"/>
  <c r="C610" i="14"/>
  <c r="C609" i="14"/>
  <c r="C608" i="14"/>
  <c r="C607" i="14"/>
  <c r="C606" i="14"/>
  <c r="Z897" i="14"/>
  <c r="AA897" i="14" s="1"/>
  <c r="AB897" i="14" s="1"/>
  <c r="X897" i="14"/>
  <c r="V897" i="14"/>
  <c r="W897" i="14" s="1"/>
  <c r="Z896" i="14"/>
  <c r="AA896" i="14" s="1"/>
  <c r="AB896" i="14" s="1"/>
  <c r="X896" i="14"/>
  <c r="V896" i="14"/>
  <c r="W896" i="14" s="1"/>
  <c r="Z1483" i="14"/>
  <c r="AA1483" i="14" s="1"/>
  <c r="AB1483" i="14" s="1"/>
  <c r="V1483" i="14"/>
  <c r="W1483" i="14" s="1"/>
  <c r="V1470" i="14"/>
  <c r="W1470" i="14" s="1"/>
  <c r="X1470" i="14" s="1"/>
  <c r="Y1470" i="14" s="1"/>
  <c r="Z1470" i="14" s="1"/>
  <c r="AA1470" i="14" s="1"/>
  <c r="AB1470" i="14" s="1"/>
  <c r="Z1471" i="14"/>
  <c r="X1471" i="14"/>
  <c r="X1482" i="14" s="1"/>
  <c r="V1471" i="14"/>
  <c r="Z1473" i="14"/>
  <c r="AA1473" i="14" s="1"/>
  <c r="AB1473" i="14" s="1"/>
  <c r="X1473" i="14"/>
  <c r="V1473" i="14"/>
  <c r="W1473" i="14" s="1"/>
  <c r="Z898" i="14" l="1"/>
  <c r="AA898" i="14" s="1"/>
  <c r="AB898" i="14" s="1"/>
  <c r="X898" i="14"/>
  <c r="AA1471" i="14"/>
  <c r="Z1482" i="14"/>
  <c r="W1471" i="14"/>
  <c r="W1482" i="14" s="1"/>
  <c r="V1482" i="14"/>
  <c r="X608" i="14"/>
  <c r="X607" i="14"/>
  <c r="Z608" i="14"/>
  <c r="AA608" i="14" s="1"/>
  <c r="AB608" i="14" s="1"/>
  <c r="X609" i="14"/>
  <c r="Z609" i="14"/>
  <c r="AA609" i="14" s="1"/>
  <c r="AB609" i="14" s="1"/>
  <c r="Z611" i="14"/>
  <c r="AA611" i="14" s="1"/>
  <c r="AB611" i="14" s="1"/>
  <c r="Z606" i="14"/>
  <c r="AA606" i="14" s="1"/>
  <c r="AB606" i="14" s="1"/>
  <c r="V606" i="14"/>
  <c r="W606" i="14" s="1"/>
  <c r="X612" i="14"/>
  <c r="V612" i="14"/>
  <c r="W612" i="14" s="1"/>
  <c r="Z613" i="14"/>
  <c r="AA613" i="14" s="1"/>
  <c r="AB613" i="14" s="1"/>
  <c r="V613" i="14"/>
  <c r="W613" i="14" s="1"/>
  <c r="X606" i="14"/>
  <c r="X613" i="14"/>
  <c r="X610" i="14"/>
  <c r="X611" i="14"/>
  <c r="Z612" i="14"/>
  <c r="AA612" i="14" s="1"/>
  <c r="AB612" i="14" s="1"/>
  <c r="X1483" i="14"/>
  <c r="AB1471" i="14" l="1"/>
  <c r="AB1482" i="14" s="1"/>
  <c r="AA1482" i="14"/>
  <c r="AB67" i="14"/>
  <c r="AA67" i="14"/>
  <c r="Z67" i="14"/>
  <c r="Y67" i="14"/>
  <c r="X67" i="14"/>
  <c r="W67" i="14"/>
  <c r="V67" i="14"/>
  <c r="U67" i="14"/>
  <c r="V1505" i="14" l="1"/>
  <c r="W1505" i="14" s="1"/>
  <c r="X1505" i="14"/>
  <c r="Z1505" i="14"/>
  <c r="AA1505" i="14" s="1"/>
  <c r="AB1505" i="14" s="1"/>
  <c r="V1507" i="14"/>
  <c r="W1507" i="14" s="1"/>
  <c r="X1507" i="14"/>
  <c r="Z1507" i="14"/>
  <c r="AA1507" i="14" s="1"/>
  <c r="AB1507" i="14" s="1"/>
  <c r="F1508" i="14"/>
  <c r="C1508" i="14"/>
  <c r="F1507" i="14"/>
  <c r="C1507" i="14"/>
  <c r="F1506" i="14"/>
  <c r="C1506" i="14"/>
  <c r="F1505" i="14"/>
  <c r="C1505" i="14"/>
  <c r="F1495" i="14"/>
  <c r="C1495" i="14"/>
  <c r="F1494" i="14"/>
  <c r="C1494" i="14"/>
  <c r="F1493" i="14"/>
  <c r="C1493" i="14"/>
  <c r="F1492" i="14"/>
  <c r="C1492" i="14"/>
  <c r="F1482" i="14"/>
  <c r="C1482" i="14"/>
  <c r="F1481" i="14"/>
  <c r="C1481" i="14"/>
  <c r="F1480" i="14"/>
  <c r="C1480" i="14"/>
  <c r="F1479" i="14"/>
  <c r="C1479" i="14"/>
  <c r="F1469" i="14"/>
  <c r="C1469" i="14"/>
  <c r="F1468" i="14"/>
  <c r="C1468" i="14"/>
  <c r="F1467" i="14"/>
  <c r="C1467" i="14"/>
  <c r="F1466" i="14"/>
  <c r="C1466" i="14"/>
  <c r="F1456" i="14"/>
  <c r="C1456" i="14"/>
  <c r="F1455" i="14"/>
  <c r="C1455" i="14"/>
  <c r="F1454" i="14"/>
  <c r="C1454" i="14"/>
  <c r="F1453" i="14"/>
  <c r="C1453" i="14"/>
  <c r="F1443" i="14"/>
  <c r="C1443" i="14"/>
  <c r="F1442" i="14"/>
  <c r="C1442" i="14"/>
  <c r="F1441" i="14"/>
  <c r="C1441" i="14"/>
  <c r="F1440" i="14"/>
  <c r="C1440" i="14"/>
  <c r="F1430" i="14"/>
  <c r="C1430" i="14"/>
  <c r="F1429" i="14"/>
  <c r="C1429" i="14"/>
  <c r="F1428" i="14"/>
  <c r="C1428" i="14"/>
  <c r="F1427" i="14"/>
  <c r="C1427" i="14"/>
  <c r="F1417" i="14"/>
  <c r="C1417" i="14"/>
  <c r="F1416" i="14"/>
  <c r="C1416" i="14"/>
  <c r="F1415" i="14"/>
  <c r="C1415" i="14"/>
  <c r="F1414" i="14"/>
  <c r="C1414" i="14"/>
  <c r="F1404" i="14"/>
  <c r="C1404" i="14"/>
  <c r="F1403" i="14"/>
  <c r="C1403" i="14"/>
  <c r="F1402" i="14"/>
  <c r="C1402" i="14"/>
  <c r="F1401" i="14"/>
  <c r="C1401" i="14"/>
  <c r="F1391" i="14"/>
  <c r="C1391" i="14"/>
  <c r="F1390" i="14"/>
  <c r="C1390" i="14"/>
  <c r="F1389" i="14"/>
  <c r="C1389" i="14"/>
  <c r="F1388" i="14"/>
  <c r="C1388" i="14"/>
  <c r="F1378" i="14"/>
  <c r="C1378" i="14"/>
  <c r="F1377" i="14"/>
  <c r="C1377" i="14"/>
  <c r="F1376" i="14"/>
  <c r="C1376" i="14"/>
  <c r="F1375" i="14"/>
  <c r="C1375" i="14"/>
  <c r="F1365" i="14"/>
  <c r="C1365" i="14"/>
  <c r="F1364" i="14"/>
  <c r="C1364" i="14"/>
  <c r="F1363" i="14"/>
  <c r="C1363" i="14"/>
  <c r="F1362" i="14"/>
  <c r="C1362" i="14"/>
  <c r="F1352" i="14"/>
  <c r="C1352" i="14"/>
  <c r="F1351" i="14"/>
  <c r="C1351" i="14"/>
  <c r="F1350" i="14"/>
  <c r="C1350" i="14"/>
  <c r="F1349" i="14"/>
  <c r="C1349" i="14"/>
  <c r="F1339" i="14"/>
  <c r="C1339" i="14"/>
  <c r="F1338" i="14"/>
  <c r="C1338" i="14"/>
  <c r="F1337" i="14"/>
  <c r="C1337" i="14"/>
  <c r="F1336" i="14"/>
  <c r="C1336" i="14"/>
  <c r="F1326" i="14"/>
  <c r="C1326" i="14"/>
  <c r="F1325" i="14"/>
  <c r="C1325" i="14"/>
  <c r="F1324" i="14"/>
  <c r="C1324" i="14"/>
  <c r="F1323" i="14"/>
  <c r="C1323" i="14"/>
  <c r="F1313" i="14"/>
  <c r="C1313" i="14"/>
  <c r="F1312" i="14"/>
  <c r="C1312" i="14"/>
  <c r="F1311" i="14"/>
  <c r="C1311" i="14"/>
  <c r="F1310" i="14"/>
  <c r="C1310" i="14"/>
  <c r="F1300" i="14"/>
  <c r="C1300" i="14"/>
  <c r="F1299" i="14"/>
  <c r="C1299" i="14"/>
  <c r="F1298" i="14"/>
  <c r="C1298" i="14"/>
  <c r="F1297" i="14"/>
  <c r="C1297" i="14"/>
  <c r="F1287" i="14"/>
  <c r="C1287" i="14"/>
  <c r="F1286" i="14"/>
  <c r="C1286" i="14"/>
  <c r="F1285" i="14"/>
  <c r="C1285" i="14"/>
  <c r="F1284" i="14"/>
  <c r="C1284" i="14"/>
  <c r="F1274" i="14"/>
  <c r="C1274" i="14"/>
  <c r="F1273" i="14"/>
  <c r="C1273" i="14"/>
  <c r="F1272" i="14"/>
  <c r="C1272" i="14"/>
  <c r="F1271" i="14"/>
  <c r="C1271" i="14"/>
  <c r="F1261" i="14"/>
  <c r="C1261" i="14"/>
  <c r="F1260" i="14"/>
  <c r="C1260" i="14"/>
  <c r="F1259" i="14"/>
  <c r="C1259" i="14"/>
  <c r="F1258" i="14"/>
  <c r="C1258" i="14"/>
  <c r="F1248" i="14"/>
  <c r="C1248" i="14"/>
  <c r="F1247" i="14"/>
  <c r="C1247" i="14"/>
  <c r="F1246" i="14"/>
  <c r="C1246" i="14"/>
  <c r="F1245" i="14"/>
  <c r="C1245" i="14"/>
  <c r="F1235" i="14"/>
  <c r="C1235" i="14"/>
  <c r="F1234" i="14"/>
  <c r="C1234" i="14"/>
  <c r="F1233" i="14"/>
  <c r="C1233" i="14"/>
  <c r="F1232" i="14"/>
  <c r="C1232" i="14"/>
  <c r="F1222" i="14"/>
  <c r="C1222" i="14"/>
  <c r="F1221" i="14"/>
  <c r="C1221" i="14"/>
  <c r="F1220" i="14"/>
  <c r="C1220" i="14"/>
  <c r="F1219" i="14"/>
  <c r="C1219" i="14"/>
  <c r="F1209" i="14"/>
  <c r="C1209" i="14"/>
  <c r="F1208" i="14"/>
  <c r="C1208" i="14"/>
  <c r="F1207" i="14"/>
  <c r="C1207" i="14"/>
  <c r="F1206" i="14"/>
  <c r="C1206" i="14"/>
  <c r="F1196" i="14"/>
  <c r="C1196" i="14"/>
  <c r="F1195" i="14"/>
  <c r="C1195" i="14"/>
  <c r="F1194" i="14"/>
  <c r="C1194" i="14"/>
  <c r="F1193" i="14"/>
  <c r="C1193" i="14"/>
  <c r="F1183" i="14"/>
  <c r="F1182" i="14"/>
  <c r="F1181" i="14"/>
  <c r="F1180" i="14"/>
  <c r="C1183" i="14"/>
  <c r="C1182" i="14"/>
  <c r="C1181" i="14"/>
  <c r="C1180" i="14"/>
  <c r="V905" i="14"/>
  <c r="V904" i="14"/>
  <c r="V903" i="14"/>
  <c r="V1509" i="14"/>
  <c r="V1503" i="14"/>
  <c r="V1501" i="14"/>
  <c r="V1499" i="14"/>
  <c r="V1498" i="14"/>
  <c r="V1497" i="14"/>
  <c r="Z903" i="14" l="1"/>
  <c r="AA903" i="14" s="1"/>
  <c r="AB903" i="14" s="1"/>
  <c r="X903" i="14"/>
  <c r="W903" i="14"/>
  <c r="C65" i="14"/>
  <c r="V840" i="14"/>
  <c r="Y641" i="14"/>
  <c r="U641" i="14"/>
  <c r="P51" i="13" l="1"/>
  <c r="P52" i="13" s="1"/>
  <c r="Z842" i="14" l="1"/>
  <c r="AA842" i="14" s="1"/>
  <c r="AB842" i="14" s="1"/>
  <c r="X842" i="14"/>
  <c r="Z841" i="14"/>
  <c r="AA841" i="14" s="1"/>
  <c r="AB841" i="14" s="1"/>
  <c r="X841" i="14"/>
  <c r="Z840" i="14"/>
  <c r="AA840" i="14" s="1"/>
  <c r="AB840" i="14" s="1"/>
  <c r="X840" i="14"/>
  <c r="V842" i="14"/>
  <c r="W842" i="14" s="1"/>
  <c r="U1280" i="14"/>
  <c r="V1280" i="14" s="1"/>
  <c r="W1280" i="14" s="1"/>
  <c r="U1281" i="14"/>
  <c r="V1281" i="14" s="1"/>
  <c r="W1281" i="14" s="1"/>
  <c r="V838" i="14"/>
  <c r="W838" i="14" s="1"/>
  <c r="V1276" i="14"/>
  <c r="W1276" i="14" s="1"/>
  <c r="V1288" i="14"/>
  <c r="W1288" i="14" s="1"/>
  <c r="V1278" i="14"/>
  <c r="W1278" i="14" s="1"/>
  <c r="V1277" i="14"/>
  <c r="W1277" i="14" s="1"/>
  <c r="V841" i="14"/>
  <c r="W841" i="14" s="1"/>
  <c r="W840" i="14"/>
  <c r="V837" i="14"/>
  <c r="W837" i="14" s="1"/>
  <c r="V836" i="14"/>
  <c r="W836" i="14" s="1"/>
  <c r="V643" i="14"/>
  <c r="W643" i="14" s="1"/>
  <c r="V642" i="14"/>
  <c r="W642" i="14" s="1"/>
  <c r="V640" i="14"/>
  <c r="W640" i="14" s="1"/>
  <c r="V639" i="14"/>
  <c r="V664" i="14"/>
  <c r="W664" i="14" s="1"/>
  <c r="V1150" i="14"/>
  <c r="W1150" i="14" s="1"/>
  <c r="V1149" i="14"/>
  <c r="W1149" i="14" s="1"/>
  <c r="W1148" i="14" s="1"/>
  <c r="V1147" i="14"/>
  <c r="W1147" i="14" s="1"/>
  <c r="V759" i="14"/>
  <c r="V758" i="14"/>
  <c r="V757" i="14"/>
  <c r="V756" i="14"/>
  <c r="V755" i="14"/>
  <c r="V754" i="14"/>
  <c r="W639" i="14" l="1"/>
  <c r="W641" i="14" s="1"/>
  <c r="V641" i="14"/>
  <c r="V1148" i="14"/>
  <c r="AB846" i="14"/>
  <c r="AA846" i="14"/>
  <c r="Z846" i="14"/>
  <c r="Y846" i="14"/>
  <c r="X846" i="14"/>
  <c r="W846" i="14"/>
  <c r="V846" i="14"/>
  <c r="U846" i="14"/>
  <c r="W759" i="14" l="1"/>
  <c r="X759" i="14" s="1"/>
  <c r="Y759" i="14" s="1"/>
  <c r="Z759" i="14" s="1"/>
  <c r="AA759" i="14" s="1"/>
  <c r="AB759" i="14" s="1"/>
  <c r="W758" i="14"/>
  <c r="X758" i="14" s="1"/>
  <c r="Y758" i="14" s="1"/>
  <c r="Z758" i="14" s="1"/>
  <c r="AA758" i="14" s="1"/>
  <c r="AB758" i="14" s="1"/>
  <c r="W757" i="14"/>
  <c r="X757" i="14" s="1"/>
  <c r="Y757" i="14" s="1"/>
  <c r="Z757" i="14" s="1"/>
  <c r="AA757" i="14" s="1"/>
  <c r="AB757" i="14" s="1"/>
  <c r="W756" i="14"/>
  <c r="X756" i="14" s="1"/>
  <c r="Y756" i="14" s="1"/>
  <c r="Z756" i="14" s="1"/>
  <c r="AA756" i="14" s="1"/>
  <c r="AB756" i="14" s="1"/>
  <c r="W755" i="14"/>
  <c r="X755" i="14" s="1"/>
  <c r="Y755" i="14" s="1"/>
  <c r="Z755" i="14" s="1"/>
  <c r="AA755" i="14" s="1"/>
  <c r="AB755" i="14" s="1"/>
  <c r="W754" i="14"/>
  <c r="X754" i="14" s="1"/>
  <c r="Y754" i="14" s="1"/>
  <c r="Z754" i="14" s="1"/>
  <c r="AA754" i="14" s="1"/>
  <c r="AB754" i="14" s="1"/>
  <c r="Y551" i="14" l="1"/>
  <c r="X551" i="14" s="1"/>
  <c r="Z557" i="14"/>
  <c r="Y557" i="14" s="1"/>
  <c r="X557" i="14" s="1"/>
  <c r="Y663" i="14"/>
  <c r="Y664" i="14"/>
  <c r="Z665" i="14"/>
  <c r="Y665" i="14" s="1"/>
  <c r="Y550" i="14"/>
  <c r="X894" i="14" l="1"/>
  <c r="Y894" i="14" s="1"/>
  <c r="Z894" i="14" s="1"/>
  <c r="AA894" i="14" s="1"/>
  <c r="AB894" i="14" s="1"/>
  <c r="X893" i="14"/>
  <c r="Y893" i="14" s="1"/>
  <c r="Z893" i="14" s="1"/>
  <c r="AA893" i="14" s="1"/>
  <c r="AB893" i="14" s="1"/>
  <c r="X892" i="14"/>
  <c r="Y892" i="14" s="1"/>
  <c r="Z892" i="14" s="1"/>
  <c r="AA892" i="14" s="1"/>
  <c r="AB892"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6" i="14"/>
  <c r="V486" i="14" s="1"/>
  <c r="W486" i="14" s="1"/>
  <c r="U1496" i="14"/>
  <c r="C126" i="13"/>
  <c r="C605" i="14" l="1"/>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AB443" i="14"/>
  <c r="AB444" i="14" s="1"/>
  <c r="AB445" i="14" s="1"/>
  <c r="AA443" i="14"/>
  <c r="AA444" i="14" s="1"/>
  <c r="AA445" i="14" s="1"/>
  <c r="Z443" i="14"/>
  <c r="Z444" i="14" s="1"/>
  <c r="Z445" i="14" s="1"/>
  <c r="Y443" i="14"/>
  <c r="Y444" i="14" s="1"/>
  <c r="Y445" i="14" s="1"/>
  <c r="X443" i="14"/>
  <c r="X444" i="14" s="1"/>
  <c r="X445" i="14" s="1"/>
  <c r="W443" i="14"/>
  <c r="W444" i="14" s="1"/>
  <c r="W445" i="14" s="1"/>
  <c r="V443" i="14"/>
  <c r="V444" i="14" s="1"/>
  <c r="V445" i="14" s="1"/>
  <c r="U443" i="14"/>
  <c r="U444" i="14" s="1"/>
  <c r="U445" i="14" s="1"/>
  <c r="V810" i="14"/>
  <c r="V809" i="14"/>
  <c r="V808" i="14"/>
  <c r="Z1154" i="14" l="1"/>
  <c r="AA1154" i="14" s="1"/>
  <c r="AB1154" i="14" s="1"/>
  <c r="X1154" i="14" l="1"/>
  <c r="AC810" i="14"/>
  <c r="AB810" i="14"/>
  <c r="AA810" i="14"/>
  <c r="Z810" i="14"/>
  <c r="Y810" i="14"/>
  <c r="AC809" i="14"/>
  <c r="AB809" i="14"/>
  <c r="AA809" i="14"/>
  <c r="Z809" i="14"/>
  <c r="Y809" i="14"/>
  <c r="AC808" i="14"/>
  <c r="AB808" i="14"/>
  <c r="AA808" i="14"/>
  <c r="Z808" i="14"/>
  <c r="Y808" i="14"/>
  <c r="X810" i="14"/>
  <c r="X809" i="14"/>
  <c r="X808" i="14"/>
  <c r="W810" i="14"/>
  <c r="W809" i="14"/>
  <c r="W808" i="14"/>
  <c r="U810" i="14"/>
  <c r="U809" i="14"/>
  <c r="U808" i="14"/>
  <c r="U1487" i="14"/>
  <c r="Y1487" i="14"/>
  <c r="Z486" i="14"/>
  <c r="AA486" i="14" s="1"/>
  <c r="AB486" i="14" s="1"/>
  <c r="X486" i="14"/>
  <c r="X664" i="14"/>
  <c r="X663" i="14"/>
  <c r="AA550" i="14" l="1"/>
  <c r="AB550" i="14" s="1"/>
  <c r="Z838" i="14"/>
  <c r="AA838" i="14" s="1"/>
  <c r="AB838" i="14" s="1"/>
  <c r="X838" i="14"/>
  <c r="X837" i="14"/>
  <c r="X836" i="14"/>
  <c r="X640" i="14"/>
  <c r="Z644" i="14"/>
  <c r="AA644" i="14" s="1"/>
  <c r="AB644" i="14" s="1"/>
  <c r="Z642" i="14"/>
  <c r="AA642" i="14" s="1"/>
  <c r="AB642" i="14" s="1"/>
  <c r="Z639" i="14"/>
  <c r="X642" i="14"/>
  <c r="X639" i="14"/>
  <c r="X641" i="14" s="1"/>
  <c r="Z1278" i="14"/>
  <c r="AA1278" i="14" s="1"/>
  <c r="AB1278" i="14" s="1"/>
  <c r="X1278" i="14"/>
  <c r="Z1277" i="14"/>
  <c r="AA1277" i="14" s="1"/>
  <c r="AB1277" i="14" s="1"/>
  <c r="X1277" i="14"/>
  <c r="Z1276" i="14"/>
  <c r="AA1276" i="14" s="1"/>
  <c r="AB1276" i="14" s="1"/>
  <c r="X1276" i="14"/>
  <c r="Z1281" i="14"/>
  <c r="AA1281" i="14" s="1"/>
  <c r="AB1281" i="14" s="1"/>
  <c r="X1281" i="14"/>
  <c r="Z1280" i="14"/>
  <c r="AA1280" i="14" s="1"/>
  <c r="AB1280" i="14" s="1"/>
  <c r="X1280" i="14"/>
  <c r="AA639" i="14" l="1"/>
  <c r="Z641" i="14"/>
  <c r="X643" i="14"/>
  <c r="Z1288" i="14"/>
  <c r="AA1288" i="14" s="1"/>
  <c r="AB1288" i="14" s="1"/>
  <c r="Z643" i="14"/>
  <c r="AA643" i="14" s="1"/>
  <c r="AB643" i="14" s="1"/>
  <c r="AB639" i="14" l="1"/>
  <c r="AB641" i="14" s="1"/>
  <c r="AA641" i="14"/>
  <c r="X1288" i="14"/>
  <c r="A47" i="18"/>
  <c r="A46" i="16"/>
  <c r="C45" i="13" l="1"/>
  <c r="C44" i="13"/>
  <c r="C43" i="13"/>
  <c r="I42" i="13"/>
  <c r="C42" i="13"/>
  <c r="C41" i="13"/>
  <c r="X1509" i="14"/>
  <c r="W1509" i="14"/>
  <c r="X1503" i="14"/>
  <c r="W1503" i="14"/>
  <c r="X1501" i="14"/>
  <c r="W1501" i="14"/>
  <c r="X1499" i="14"/>
  <c r="W1499" i="14"/>
  <c r="X1498" i="14"/>
  <c r="W1498" i="14"/>
  <c r="X1497" i="14"/>
  <c r="W1497" i="14"/>
  <c r="X1496" i="14"/>
  <c r="V1496" i="14"/>
  <c r="W1496" i="14" s="1"/>
  <c r="X1490" i="14"/>
  <c r="V1490" i="14"/>
  <c r="W1490" i="14" s="1"/>
  <c r="X1488" i="14"/>
  <c r="V1488" i="14"/>
  <c r="W1488" i="14" s="1"/>
  <c r="X1487" i="14"/>
  <c r="V1487" i="14"/>
  <c r="W1487" i="14" s="1"/>
  <c r="X1486" i="14"/>
  <c r="V1486" i="14"/>
  <c r="W1486" i="14" s="1"/>
  <c r="X1485" i="14"/>
  <c r="V1485" i="14"/>
  <c r="W1485" i="14" s="1"/>
  <c r="X1484" i="14"/>
  <c r="V1484" i="14"/>
  <c r="W1484" i="14" s="1"/>
  <c r="Z1487" i="14"/>
  <c r="AA1487" i="14" s="1"/>
  <c r="AB1487"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5" i="18"/>
  <c r="A64" i="16"/>
  <c r="AD170" i="13" l="1"/>
  <c r="Z173" i="13"/>
  <c r="AA173" i="13"/>
  <c r="AC173" i="13"/>
  <c r="AD171" i="13"/>
  <c r="Z171" i="13"/>
  <c r="AA170" i="13"/>
  <c r="AA171" i="13"/>
  <c r="AC170" i="13"/>
  <c r="AC171" i="13"/>
  <c r="C59" i="14"/>
  <c r="H21" i="17"/>
  <c r="B34" i="4" l="1"/>
  <c r="B45" i="1"/>
  <c r="C1011" i="14" l="1"/>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X906" i="14"/>
  <c r="X905" i="14"/>
  <c r="X904" i="14"/>
  <c r="X902" i="14"/>
  <c r="X901" i="14"/>
  <c r="X900" i="14"/>
  <c r="V906" i="14"/>
  <c r="W906" i="14" s="1"/>
  <c r="W905" i="14"/>
  <c r="W904" i="14"/>
  <c r="V902" i="14"/>
  <c r="W902" i="14" s="1"/>
  <c r="V901" i="14"/>
  <c r="W901" i="14" s="1"/>
  <c r="V900" i="14"/>
  <c r="W900" i="14" s="1"/>
  <c r="Z906" i="14" l="1"/>
  <c r="AA906" i="14" s="1"/>
  <c r="AB906" i="14" s="1"/>
  <c r="Z905" i="14"/>
  <c r="AA905" i="14" s="1"/>
  <c r="AB905" i="14" s="1"/>
  <c r="Z904" i="14"/>
  <c r="AA904" i="14" s="1"/>
  <c r="AB904" i="14" s="1"/>
  <c r="Z1509" i="14"/>
  <c r="AA1509" i="14" s="1"/>
  <c r="AB1509" i="14" s="1"/>
  <c r="Z1503" i="14"/>
  <c r="AA1503" i="14" s="1"/>
  <c r="AB1503" i="14" s="1"/>
  <c r="Z1501" i="14"/>
  <c r="AA1501" i="14" s="1"/>
  <c r="AB1501" i="14" s="1"/>
  <c r="Z1499" i="14"/>
  <c r="AA1499" i="14" s="1"/>
  <c r="AB1499" i="14" s="1"/>
  <c r="Z1498" i="14"/>
  <c r="AA1498" i="14" s="1"/>
  <c r="AB1498" i="14" s="1"/>
  <c r="Z1497" i="14"/>
  <c r="AA1497" i="14" s="1"/>
  <c r="AB1497" i="14" s="1"/>
  <c r="Z1496" i="14"/>
  <c r="AA1496" i="14" s="1"/>
  <c r="AB1496" i="14" s="1"/>
  <c r="Z1490" i="14"/>
  <c r="AA1490" i="14" s="1"/>
  <c r="AB1490" i="14" s="1"/>
  <c r="Z1488" i="14"/>
  <c r="AA1488" i="14" s="1"/>
  <c r="AB1488" i="14" s="1"/>
  <c r="Z1486" i="14"/>
  <c r="AA1486" i="14" s="1"/>
  <c r="AB1486" i="14" s="1"/>
  <c r="Z1485" i="14"/>
  <c r="AA1485" i="14" s="1"/>
  <c r="AB1485" i="14" s="1"/>
  <c r="Z1484" i="14"/>
  <c r="AA1484" i="14" s="1"/>
  <c r="AB1484" i="14" s="1"/>
  <c r="Z902" i="14"/>
  <c r="AA902" i="14" s="1"/>
  <c r="AB902" i="14" s="1"/>
  <c r="Z901" i="14"/>
  <c r="AA901" i="14" s="1"/>
  <c r="AB901" i="14" s="1"/>
  <c r="Z900" i="14"/>
  <c r="AA900" i="14" s="1"/>
  <c r="AB900" i="14" s="1"/>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1283" i="14"/>
  <c r="C1282" i="14"/>
  <c r="C1279" i="14"/>
  <c r="C1439" i="14"/>
  <c r="C1438" i="14"/>
  <c r="C1435" i="14"/>
  <c r="C1496" i="14"/>
  <c r="C1491" i="14"/>
  <c r="C1490" i="14"/>
  <c r="C1489" i="14"/>
  <c r="C1488" i="14"/>
  <c r="C1487" i="14"/>
  <c r="C1486" i="14"/>
  <c r="C1485" i="14"/>
  <c r="C1484" i="14"/>
  <c r="C1509" i="14"/>
  <c r="C1504" i="14"/>
  <c r="C1503" i="14"/>
  <c r="C1502" i="14"/>
  <c r="C1501" i="14"/>
  <c r="C1500" i="14"/>
  <c r="C1499" i="14"/>
  <c r="C1498" i="14"/>
  <c r="C1497" i="14"/>
  <c r="C1483" i="14"/>
  <c r="C1478" i="14"/>
  <c r="C1477" i="14"/>
  <c r="C1476" i="14"/>
  <c r="C1475" i="14"/>
  <c r="C1474" i="14"/>
  <c r="C1473" i="14"/>
  <c r="C1472" i="14"/>
  <c r="C1471" i="14"/>
  <c r="C1465" i="14"/>
  <c r="C1464" i="14"/>
  <c r="C1461" i="14"/>
  <c r="C1179" i="14"/>
  <c r="C1178" i="14"/>
  <c r="C1175" i="14"/>
  <c r="Y1162" i="14"/>
  <c r="X1162" i="14" s="1"/>
  <c r="Y1170" i="14"/>
  <c r="Y1169" i="14"/>
  <c r="Y1168" i="14"/>
  <c r="Y1163" i="14"/>
  <c r="Y1166" i="14" s="1"/>
  <c r="X1161" i="14"/>
  <c r="X1160" i="14"/>
  <c r="X1155" i="14"/>
  <c r="X1147" i="14"/>
  <c r="Y1159" i="14"/>
  <c r="X1159" i="14" s="1"/>
  <c r="Y1158" i="14"/>
  <c r="X1158" i="14" s="1"/>
  <c r="Y1157" i="14"/>
  <c r="X1157" i="14" s="1"/>
  <c r="AB388" i="14"/>
  <c r="AA388" i="14"/>
  <c r="Z388" i="14"/>
  <c r="Y388" i="14"/>
  <c r="X388" i="14"/>
  <c r="W388" i="14"/>
  <c r="V388" i="14"/>
  <c r="U388" i="14"/>
  <c r="Z60" i="14"/>
  <c r="AA60" i="14" s="1"/>
  <c r="AB60" i="14" s="1"/>
  <c r="X60" i="14"/>
  <c r="C60" i="14"/>
  <c r="AB349" i="14"/>
  <c r="Y349" i="14"/>
  <c r="AA350" i="14"/>
  <c r="Z350" i="14"/>
  <c r="B27" i="16"/>
  <c r="B27" i="18"/>
  <c r="Y1167" i="14" l="1"/>
  <c r="Y1165" i="14"/>
  <c r="Y1164"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1" i="1" l="1"/>
  <c r="L52" i="1" s="1"/>
  <c r="J51" i="1"/>
  <c r="J52" i="1" s="1"/>
  <c r="K51" i="1"/>
  <c r="Q68" i="1"/>
  <c r="O68" i="1"/>
  <c r="N68" i="1"/>
  <c r="M68" i="1"/>
  <c r="L68" i="1"/>
  <c r="K68" i="1"/>
  <c r="J68" i="1"/>
  <c r="Q67" i="1"/>
  <c r="O67" i="1"/>
  <c r="N67" i="1"/>
  <c r="M67" i="1"/>
  <c r="L67" i="1"/>
  <c r="K67" i="1"/>
  <c r="J67" i="1"/>
  <c r="Q63" i="1"/>
  <c r="O63" i="1"/>
  <c r="N63" i="1"/>
  <c r="M63" i="1"/>
  <c r="L63" i="1"/>
  <c r="K63" i="1"/>
  <c r="J63" i="1"/>
  <c r="AX166" i="13"/>
  <c r="AY166" i="13" s="1"/>
  <c r="K103" i="13"/>
  <c r="J103" i="13"/>
  <c r="I103" i="13"/>
  <c r="C61" i="1" l="1"/>
  <c r="E61" i="1"/>
  <c r="F61" i="1"/>
  <c r="B61" i="1"/>
  <c r="C52" i="1"/>
  <c r="E52" i="1"/>
  <c r="F52" i="1"/>
  <c r="F60" i="1"/>
  <c r="E60" i="1"/>
  <c r="C60" i="1"/>
  <c r="B60" i="1"/>
  <c r="F66" i="1"/>
  <c r="E66" i="1"/>
  <c r="C66" i="1"/>
  <c r="B66" i="1"/>
  <c r="B52" i="1"/>
  <c r="M52" i="1"/>
  <c r="N52" i="1"/>
  <c r="O52" i="1"/>
  <c r="Q52" i="1"/>
  <c r="K60" i="1"/>
  <c r="M60" i="1"/>
  <c r="N60" i="1"/>
  <c r="O60" i="1"/>
  <c r="Q60" i="1"/>
  <c r="M61" i="1"/>
  <c r="N61" i="1"/>
  <c r="O61" i="1"/>
  <c r="Q61" i="1"/>
  <c r="M66" i="1"/>
  <c r="N66" i="1"/>
  <c r="O66" i="1"/>
  <c r="Q66" i="1"/>
  <c r="K66" i="1"/>
  <c r="K52" i="1"/>
  <c r="K61"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P51" i="1" l="1"/>
  <c r="P52" i="1" s="1"/>
  <c r="R65" i="1"/>
  <c r="R66" i="1" s="1"/>
  <c r="P65" i="1"/>
  <c r="P66" i="1" s="1"/>
  <c r="R64" i="1"/>
  <c r="P64" i="1"/>
  <c r="R62" i="1"/>
  <c r="P62" i="1"/>
  <c r="R59" i="1"/>
  <c r="P59" i="1"/>
  <c r="R57" i="1"/>
  <c r="P57" i="1"/>
  <c r="R56" i="1"/>
  <c r="P56" i="1"/>
  <c r="R55" i="1"/>
  <c r="P55" i="1"/>
  <c r="R54" i="1"/>
  <c r="P54" i="1"/>
  <c r="R53" i="1"/>
  <c r="P53" i="1"/>
  <c r="P68" i="1" l="1"/>
  <c r="P63" i="1"/>
  <c r="P67" i="1"/>
  <c r="R61" i="1"/>
  <c r="R60" i="1"/>
  <c r="R63" i="1"/>
  <c r="R68" i="1"/>
  <c r="R67" i="1"/>
  <c r="P60" i="1"/>
  <c r="P61" i="1"/>
  <c r="R51" i="1"/>
  <c r="R52" i="1" s="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I52" i="1" l="1"/>
  <c r="I53" i="1"/>
  <c r="I54" i="1"/>
  <c r="I55" i="1"/>
  <c r="I56" i="1"/>
  <c r="I57" i="1"/>
  <c r="I59" i="1"/>
  <c r="I60" i="1"/>
  <c r="I61" i="1"/>
  <c r="I62" i="1"/>
  <c r="I63" i="1"/>
  <c r="I64" i="1"/>
  <c r="I65" i="1"/>
  <c r="I66" i="1"/>
  <c r="I67" i="1"/>
  <c r="I68" i="1"/>
  <c r="I51" i="1"/>
  <c r="G67" i="1" l="1"/>
  <c r="D67" i="1"/>
  <c r="G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5" i="14"/>
  <c r="X794" i="14"/>
  <c r="X793" i="14"/>
  <c r="X792" i="14"/>
  <c r="X791" i="14"/>
  <c r="U792" i="14"/>
  <c r="V792" i="14" s="1"/>
  <c r="W792" i="14" s="1"/>
  <c r="Z795" i="14"/>
  <c r="AA795" i="14" s="1"/>
  <c r="AB795" i="14" s="1"/>
  <c r="Z794" i="14"/>
  <c r="AA794" i="14" s="1"/>
  <c r="AB794" i="14" s="1"/>
  <c r="Z792" i="14"/>
  <c r="AA792" i="14" s="1"/>
  <c r="AB792" i="14" s="1"/>
  <c r="U794" i="14" l="1"/>
  <c r="V794" i="14" s="1"/>
  <c r="W794" i="14" s="1"/>
  <c r="U795" i="14"/>
  <c r="V795" i="14" s="1"/>
  <c r="W795" i="14" s="1"/>
  <c r="C399" i="13"/>
  <c r="C409" i="13"/>
  <c r="C408" i="13"/>
  <c r="N48" i="13"/>
  <c r="M48" i="13"/>
  <c r="L48" i="13"/>
  <c r="K48" i="13"/>
  <c r="J48" i="13"/>
  <c r="H29" i="13"/>
  <c r="C40" i="13"/>
  <c r="I222" i="13"/>
  <c r="I221" i="13"/>
  <c r="N337" i="13" l="1"/>
  <c r="N338" i="13"/>
  <c r="N336" i="13"/>
  <c r="N356" i="13"/>
  <c r="L261" i="13"/>
  <c r="K261" i="13"/>
  <c r="J261" i="13"/>
  <c r="U261" i="13"/>
  <c r="T261" i="13"/>
  <c r="X318" i="14"/>
  <c r="Y318" i="14" s="1"/>
  <c r="Z318" i="14" s="1"/>
  <c r="AA318" i="14" s="1"/>
  <c r="AB318" i="14" s="1"/>
  <c r="W317" i="14"/>
  <c r="X317" i="14" s="1"/>
  <c r="Y317" i="14" s="1"/>
  <c r="Z317" i="14" s="1"/>
  <c r="AA317" i="14" s="1"/>
  <c r="AB317" i="14" s="1"/>
  <c r="V317" i="14"/>
  <c r="U317" i="14"/>
  <c r="U318" i="14"/>
  <c r="C318" i="14"/>
  <c r="C317" i="14"/>
  <c r="AB316" i="14"/>
  <c r="AA316" i="14"/>
  <c r="Z316" i="14"/>
  <c r="Y316" i="14"/>
  <c r="X316" i="14"/>
  <c r="W316" i="14"/>
  <c r="V316" i="14"/>
  <c r="U316" i="14"/>
  <c r="C316" i="14"/>
  <c r="K127" i="9"/>
  <c r="K126" i="9"/>
  <c r="C137" i="9"/>
  <c r="C136" i="9"/>
  <c r="C127" i="9"/>
  <c r="C126" i="9"/>
  <c r="C117" i="9"/>
  <c r="C116" i="9"/>
  <c r="C107" i="9"/>
  <c r="C106" i="9"/>
  <c r="C97" i="9"/>
  <c r="C96" i="9"/>
  <c r="C87" i="9"/>
  <c r="C86" i="9"/>
  <c r="C75" i="9"/>
  <c r="C74" i="9"/>
  <c r="C65" i="9"/>
  <c r="C64" i="9"/>
  <c r="C55" i="9"/>
  <c r="C54" i="9"/>
  <c r="C67" i="14"/>
  <c r="C66" i="14"/>
  <c r="C64" i="14"/>
  <c r="L53" i="1"/>
  <c r="L54" i="1"/>
  <c r="L55" i="1"/>
  <c r="L56" i="1"/>
  <c r="L57" i="1"/>
  <c r="L59" i="1"/>
  <c r="L64" i="1"/>
  <c r="L66" i="1"/>
  <c r="J53" i="1"/>
  <c r="J54" i="1"/>
  <c r="J55" i="1"/>
  <c r="J56" i="1"/>
  <c r="J57" i="1"/>
  <c r="J59" i="1"/>
  <c r="J64" i="1"/>
  <c r="J66" i="1"/>
  <c r="K137" i="9" l="1"/>
  <c r="T137" i="9" s="1"/>
  <c r="T127" i="9"/>
  <c r="U87" i="9" s="1"/>
  <c r="K136" i="9"/>
  <c r="T136" i="9" s="1"/>
  <c r="T126" i="9"/>
  <c r="J61" i="1"/>
  <c r="J60" i="1"/>
  <c r="L60" i="1"/>
  <c r="L61"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5" i="14"/>
  <c r="K395"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7" i="14"/>
  <c r="W813" i="14"/>
  <c r="W816" i="14"/>
  <c r="W51" i="14"/>
  <c r="W50" i="14"/>
  <c r="C398" i="13"/>
  <c r="AB416" i="14"/>
  <c r="AA416" i="14"/>
  <c r="Z416" i="14"/>
  <c r="Y416" i="14"/>
  <c r="X416" i="14"/>
  <c r="W416" i="14"/>
  <c r="V416" i="14"/>
  <c r="U416" i="14"/>
  <c r="C420" i="14"/>
  <c r="C419" i="14"/>
  <c r="C418" i="14"/>
  <c r="C417" i="14"/>
  <c r="C416" i="14"/>
  <c r="U76" i="14"/>
  <c r="U75" i="14"/>
  <c r="U74" i="14"/>
  <c r="U73" i="14"/>
  <c r="U72" i="14"/>
  <c r="U71" i="14"/>
  <c r="U70" i="14"/>
  <c r="AB308" i="14"/>
  <c r="AA308" i="14"/>
  <c r="Z308" i="14"/>
  <c r="Y308" i="14"/>
  <c r="X308" i="14"/>
  <c r="W308" i="14"/>
  <c r="V308" i="14"/>
  <c r="U308" i="14"/>
  <c r="AH173" i="13"/>
  <c r="AH172" i="13"/>
  <c r="AH171" i="13"/>
  <c r="U88" i="9" l="1"/>
  <c r="U85" i="9"/>
  <c r="J49" i="10"/>
  <c r="J47" i="10"/>
  <c r="J42" i="10"/>
  <c r="L42" i="10"/>
  <c r="C1523" i="14" l="1"/>
  <c r="C1522" i="14"/>
  <c r="C1521" i="14"/>
  <c r="C1520" i="14"/>
  <c r="C1519" i="14"/>
  <c r="C1518" i="14"/>
  <c r="C1517" i="14"/>
  <c r="C1516" i="14"/>
  <c r="C1515" i="14"/>
  <c r="C1514" i="14"/>
  <c r="C1513" i="14"/>
  <c r="C1512" i="14"/>
  <c r="C1511" i="14"/>
  <c r="C1510" i="14"/>
  <c r="C1470" i="14"/>
  <c r="C1463" i="14"/>
  <c r="C1462" i="14"/>
  <c r="C1460" i="14"/>
  <c r="V1459" i="14"/>
  <c r="W1459" i="14" s="1"/>
  <c r="X1459" i="14" s="1"/>
  <c r="Y1459" i="14" s="1"/>
  <c r="Z1459" i="14" s="1"/>
  <c r="AA1459" i="14" s="1"/>
  <c r="AB1459" i="14" s="1"/>
  <c r="C1459" i="14"/>
  <c r="V1458" i="14"/>
  <c r="W1458" i="14" s="1"/>
  <c r="X1458" i="14" s="1"/>
  <c r="Y1458" i="14" s="1"/>
  <c r="Z1458" i="14" s="1"/>
  <c r="AA1458" i="14" s="1"/>
  <c r="AB1458" i="14" s="1"/>
  <c r="C1458" i="14"/>
  <c r="C1457" i="14"/>
  <c r="C1449" i="14"/>
  <c r="C1448" i="14"/>
  <c r="C1447" i="14"/>
  <c r="C1446" i="14"/>
  <c r="C1445" i="14"/>
  <c r="X1444" i="14"/>
  <c r="Y1444" i="14" s="1"/>
  <c r="Z1444" i="14" s="1"/>
  <c r="AA1444" i="14" s="1"/>
  <c r="AB1444" i="14" s="1"/>
  <c r="C1444" i="14"/>
  <c r="C1437" i="14"/>
  <c r="C1436" i="14"/>
  <c r="C1434" i="14"/>
  <c r="X1433" i="14"/>
  <c r="Y1433" i="14" s="1"/>
  <c r="Z1433" i="14" s="1"/>
  <c r="AA1433" i="14" s="1"/>
  <c r="AB1433" i="14" s="1"/>
  <c r="C1433" i="14"/>
  <c r="X1432" i="14"/>
  <c r="Y1432" i="14" s="1"/>
  <c r="Z1432" i="14" s="1"/>
  <c r="AA1432" i="14" s="1"/>
  <c r="AB1432" i="14" s="1"/>
  <c r="C1432" i="14"/>
  <c r="C1431" i="14"/>
  <c r="C1423" i="14"/>
  <c r="C1422" i="14"/>
  <c r="C1421" i="14"/>
  <c r="C1420" i="14"/>
  <c r="C1419" i="14"/>
  <c r="C1418" i="14"/>
  <c r="C1410" i="14"/>
  <c r="C1409" i="14"/>
  <c r="C1408" i="14"/>
  <c r="C1407" i="14"/>
  <c r="C1406" i="14"/>
  <c r="C1405" i="14"/>
  <c r="C1397" i="14"/>
  <c r="C1396" i="14"/>
  <c r="C1395" i="14"/>
  <c r="C1394" i="14"/>
  <c r="C1393" i="14"/>
  <c r="C1392" i="14"/>
  <c r="C1384" i="14"/>
  <c r="C1383" i="14"/>
  <c r="C1382" i="14"/>
  <c r="C1381" i="14"/>
  <c r="C1380" i="14"/>
  <c r="C1379" i="14"/>
  <c r="C1371" i="14"/>
  <c r="C1370" i="14"/>
  <c r="C1369" i="14"/>
  <c r="C1368" i="14"/>
  <c r="C1367" i="14"/>
  <c r="C1366" i="14"/>
  <c r="C1358" i="14"/>
  <c r="C1357" i="14"/>
  <c r="C1356" i="14"/>
  <c r="C1355" i="14"/>
  <c r="C1354" i="14"/>
  <c r="C1353" i="14"/>
  <c r="C1345" i="14"/>
  <c r="C1344" i="14"/>
  <c r="C1343" i="14"/>
  <c r="C1342" i="14"/>
  <c r="C1341" i="14"/>
  <c r="C1340" i="14"/>
  <c r="C1332" i="14"/>
  <c r="C1331" i="14"/>
  <c r="C1330" i="14"/>
  <c r="C1329" i="14"/>
  <c r="C1328" i="14"/>
  <c r="C1327" i="14"/>
  <c r="C1319" i="14"/>
  <c r="C1318" i="14"/>
  <c r="C1317" i="14"/>
  <c r="C1316" i="14"/>
  <c r="C1315" i="14"/>
  <c r="C1314" i="14"/>
  <c r="C1306" i="14"/>
  <c r="C1305" i="14"/>
  <c r="C1304" i="14"/>
  <c r="C1303" i="14"/>
  <c r="C1302" i="14"/>
  <c r="C1301" i="14"/>
  <c r="C1293" i="14"/>
  <c r="C1292" i="14"/>
  <c r="C1291" i="14"/>
  <c r="C1290" i="14"/>
  <c r="C1289" i="14"/>
  <c r="C1288" i="14"/>
  <c r="C1281" i="14"/>
  <c r="C1280" i="14"/>
  <c r="C1278" i="14"/>
  <c r="C1277" i="14"/>
  <c r="C1276" i="14"/>
  <c r="C1275" i="14"/>
  <c r="C1267" i="14"/>
  <c r="C1266" i="14"/>
  <c r="C1265" i="14"/>
  <c r="C1264" i="14"/>
  <c r="C1263" i="14"/>
  <c r="C1262" i="14"/>
  <c r="C1254" i="14"/>
  <c r="C1253" i="14"/>
  <c r="C1252" i="14"/>
  <c r="C1251" i="14"/>
  <c r="C1250" i="14"/>
  <c r="C1249" i="14"/>
  <c r="C1241" i="14"/>
  <c r="C1240" i="14"/>
  <c r="C1239" i="14"/>
  <c r="C1238" i="14"/>
  <c r="C1237" i="14"/>
  <c r="C1236" i="14"/>
  <c r="C1228" i="14"/>
  <c r="C1227" i="14"/>
  <c r="C1226" i="14"/>
  <c r="C1225" i="14"/>
  <c r="C1224" i="14"/>
  <c r="C1223" i="14"/>
  <c r="C1215" i="14"/>
  <c r="C1214" i="14"/>
  <c r="C1213" i="14"/>
  <c r="C1212" i="14"/>
  <c r="C1211" i="14"/>
  <c r="C1210" i="14"/>
  <c r="C1202" i="14"/>
  <c r="C1201" i="14"/>
  <c r="C1200" i="14"/>
  <c r="C1199" i="14"/>
  <c r="C1198" i="14"/>
  <c r="C1197" i="14"/>
  <c r="C1189" i="14"/>
  <c r="C1188" i="14"/>
  <c r="C1187" i="14"/>
  <c r="C1186" i="14"/>
  <c r="C1185" i="14"/>
  <c r="C1184" i="14"/>
  <c r="C1177" i="14"/>
  <c r="C1176" i="14"/>
  <c r="C1174" i="14"/>
  <c r="C1173" i="14"/>
  <c r="C1172" i="14"/>
  <c r="C1171" i="14"/>
  <c r="W1170" i="14"/>
  <c r="V1170" i="14"/>
  <c r="U1170" i="14"/>
  <c r="C1170" i="14"/>
  <c r="W1169" i="14"/>
  <c r="V1169" i="14"/>
  <c r="U1169" i="14"/>
  <c r="C1169" i="14"/>
  <c r="W1168" i="14"/>
  <c r="V1168" i="14"/>
  <c r="U1168" i="14"/>
  <c r="C1168" i="14"/>
  <c r="C1167" i="14"/>
  <c r="C1166" i="14"/>
  <c r="C1165" i="14"/>
  <c r="AG1164" i="14"/>
  <c r="AF1164" i="14"/>
  <c r="C1164" i="14"/>
  <c r="W1163" i="14"/>
  <c r="V1163" i="14"/>
  <c r="V1167" i="14" s="1"/>
  <c r="U1163" i="14"/>
  <c r="U1167" i="14" s="1"/>
  <c r="C1163" i="14"/>
  <c r="Z1162" i="14"/>
  <c r="AA1162" i="14" s="1"/>
  <c r="AB1162" i="14" s="1"/>
  <c r="C1162" i="14"/>
  <c r="Z1161" i="14"/>
  <c r="AA1161" i="14" s="1"/>
  <c r="AB1161" i="14" s="1"/>
  <c r="C1161" i="14"/>
  <c r="Z1160" i="14"/>
  <c r="AA1160" i="14" s="1"/>
  <c r="AB1160" i="14" s="1"/>
  <c r="C1160" i="14"/>
  <c r="Z1159" i="14"/>
  <c r="AA1159" i="14" s="1"/>
  <c r="AB1159" i="14" s="1"/>
  <c r="W1159" i="14"/>
  <c r="V1159" i="14"/>
  <c r="U1159" i="14"/>
  <c r="C1159" i="14"/>
  <c r="Z1158" i="14"/>
  <c r="AA1158" i="14" s="1"/>
  <c r="AB1158" i="14" s="1"/>
  <c r="W1158" i="14"/>
  <c r="V1158" i="14"/>
  <c r="U1158" i="14"/>
  <c r="C1158" i="14"/>
  <c r="Z1157" i="14"/>
  <c r="W1157" i="14"/>
  <c r="X1156" i="14" s="1"/>
  <c r="V1157" i="14"/>
  <c r="V1156" i="14" s="1"/>
  <c r="U1157" i="14"/>
  <c r="U1156" i="14" s="1"/>
  <c r="C1157" i="14"/>
  <c r="AG1156" i="14"/>
  <c r="AF1156" i="14"/>
  <c r="C1156" i="14"/>
  <c r="Z1155" i="14"/>
  <c r="AA1155" i="14" s="1"/>
  <c r="AB1155" i="14" s="1"/>
  <c r="C1155" i="14"/>
  <c r="C1154" i="14"/>
  <c r="C1153" i="14"/>
  <c r="C1152" i="14"/>
  <c r="C1151" i="14"/>
  <c r="C1150" i="14"/>
  <c r="U1148" i="14"/>
  <c r="C1149" i="14"/>
  <c r="AG1148" i="14"/>
  <c r="AF1148" i="14"/>
  <c r="C1148" i="14"/>
  <c r="Z1147" i="14"/>
  <c r="AA1147" i="14" s="1"/>
  <c r="AB1147" i="14" s="1"/>
  <c r="C1147" i="14"/>
  <c r="C1146" i="14"/>
  <c r="C1145" i="14"/>
  <c r="C1144" i="14"/>
  <c r="C1143" i="14"/>
  <c r="C1142" i="14"/>
  <c r="C1141" i="14"/>
  <c r="C1140" i="14"/>
  <c r="C1139" i="14"/>
  <c r="C1138" i="14"/>
  <c r="C1137" i="14"/>
  <c r="C1136" i="14"/>
  <c r="C1135" i="14"/>
  <c r="C1134" i="14"/>
  <c r="C1133" i="14"/>
  <c r="C1132" i="14"/>
  <c r="C1131" i="14"/>
  <c r="X1130" i="14"/>
  <c r="Y1130" i="14" s="1"/>
  <c r="Z1130" i="14" s="1"/>
  <c r="AA1130" i="14" s="1"/>
  <c r="AB1130" i="14" s="1"/>
  <c r="C1130" i="14"/>
  <c r="C1129" i="14"/>
  <c r="C1128" i="14"/>
  <c r="C1127" i="14"/>
  <c r="W1126" i="14"/>
  <c r="X1126" i="14" s="1"/>
  <c r="Y1126" i="14" s="1"/>
  <c r="Z1126" i="14" s="1"/>
  <c r="AA1126" i="14" s="1"/>
  <c r="AB1126" i="14" s="1"/>
  <c r="V1126" i="14"/>
  <c r="U1126" i="14"/>
  <c r="C1126" i="14"/>
  <c r="W1125" i="14"/>
  <c r="X1125" i="14" s="1"/>
  <c r="V1125" i="14"/>
  <c r="V1124" i="14" s="1"/>
  <c r="U1125" i="14"/>
  <c r="U1124" i="14" s="1"/>
  <c r="C1125" i="14"/>
  <c r="AG1124" i="14"/>
  <c r="AF1124" i="14"/>
  <c r="C1124" i="14"/>
  <c r="X1123" i="14"/>
  <c r="Y1123" i="14" s="1"/>
  <c r="Z1123" i="14" s="1"/>
  <c r="AA1123" i="14" s="1"/>
  <c r="AB1123" i="14" s="1"/>
  <c r="C1123" i="14"/>
  <c r="X1122" i="14"/>
  <c r="Y1122" i="14" s="1"/>
  <c r="Z1122" i="14" s="1"/>
  <c r="AA1122" i="14" s="1"/>
  <c r="AB1122" i="14" s="1"/>
  <c r="C1122" i="14"/>
  <c r="C1121" i="14"/>
  <c r="C1120" i="14"/>
  <c r="C1119" i="14"/>
  <c r="W1118" i="14"/>
  <c r="X1118" i="14" s="1"/>
  <c r="Y1118" i="14" s="1"/>
  <c r="Z1118" i="14" s="1"/>
  <c r="AA1118" i="14" s="1"/>
  <c r="AB1118" i="14" s="1"/>
  <c r="V1118" i="14"/>
  <c r="U1118" i="14"/>
  <c r="C1118" i="14"/>
  <c r="W1117" i="14"/>
  <c r="W1116" i="14" s="1"/>
  <c r="V1117" i="14"/>
  <c r="V1116" i="14" s="1"/>
  <c r="U1117" i="14"/>
  <c r="U1116" i="14" s="1"/>
  <c r="C1117" i="14"/>
  <c r="AG1116" i="14"/>
  <c r="AF1116" i="14"/>
  <c r="C1116" i="14"/>
  <c r="X1115" i="14"/>
  <c r="Y1115" i="14" s="1"/>
  <c r="Z1115" i="14" s="1"/>
  <c r="AA1115" i="14" s="1"/>
  <c r="AB1115" i="14" s="1"/>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X1017" i="14"/>
  <c r="Y1017" i="14" s="1"/>
  <c r="Z1017" i="14" s="1"/>
  <c r="AA1017" i="14" s="1"/>
  <c r="AB1017" i="14" s="1"/>
  <c r="C1017" i="14"/>
  <c r="X1016" i="14"/>
  <c r="Y1016" i="14" s="1"/>
  <c r="Z1016" i="14" s="1"/>
  <c r="AA1016" i="14" s="1"/>
  <c r="AB1016" i="14" s="1"/>
  <c r="C1016" i="14"/>
  <c r="X1015" i="14"/>
  <c r="Y1015" i="14" s="1"/>
  <c r="Z1015" i="14" s="1"/>
  <c r="AA1015" i="14" s="1"/>
  <c r="AB1015" i="14" s="1"/>
  <c r="C1015" i="14"/>
  <c r="C1014" i="14"/>
  <c r="AB1013" i="14"/>
  <c r="AA1013" i="14"/>
  <c r="Z1013" i="14"/>
  <c r="Y1013" i="14"/>
  <c r="X1013" i="14"/>
  <c r="W1013" i="14"/>
  <c r="V1013" i="14"/>
  <c r="U1013" i="14"/>
  <c r="C1013" i="14"/>
  <c r="C1012" i="14"/>
  <c r="AB987" i="14"/>
  <c r="AA987" i="14"/>
  <c r="Z987" i="14"/>
  <c r="Y987" i="14"/>
  <c r="X987" i="14"/>
  <c r="W987" i="14"/>
  <c r="V987" i="14"/>
  <c r="U987" i="14"/>
  <c r="C987" i="14"/>
  <c r="AB986" i="14"/>
  <c r="AA986" i="14"/>
  <c r="Z986" i="14"/>
  <c r="Y986" i="14"/>
  <c r="X986" i="14"/>
  <c r="W986" i="14"/>
  <c r="V986" i="14"/>
  <c r="U986" i="14"/>
  <c r="C986" i="14"/>
  <c r="AB985" i="14"/>
  <c r="AA985" i="14"/>
  <c r="Z985" i="14"/>
  <c r="Y985" i="14"/>
  <c r="X985" i="14"/>
  <c r="W985" i="14"/>
  <c r="V985" i="14"/>
  <c r="U985"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AB911" i="14"/>
  <c r="AA911" i="14"/>
  <c r="Z911" i="14"/>
  <c r="Y911" i="14"/>
  <c r="X911" i="14"/>
  <c r="W911" i="14"/>
  <c r="V911" i="14"/>
  <c r="U911" i="14"/>
  <c r="C911" i="14"/>
  <c r="AB910" i="14"/>
  <c r="AA910" i="14"/>
  <c r="Z910" i="14"/>
  <c r="Y910" i="14"/>
  <c r="X910" i="14"/>
  <c r="W910" i="14"/>
  <c r="V910" i="14"/>
  <c r="U910" i="14"/>
  <c r="C910" i="14"/>
  <c r="AB909" i="14"/>
  <c r="AA909" i="14"/>
  <c r="Z909" i="14"/>
  <c r="Y909" i="14"/>
  <c r="X909" i="14"/>
  <c r="W909" i="14"/>
  <c r="V909" i="14"/>
  <c r="U909" i="14"/>
  <c r="C909" i="14"/>
  <c r="C908" i="14"/>
  <c r="C907" i="14"/>
  <c r="C882" i="14"/>
  <c r="C881" i="14"/>
  <c r="C880" i="14"/>
  <c r="C879" i="14"/>
  <c r="C878" i="14"/>
  <c r="C877" i="14"/>
  <c r="C876" i="14"/>
  <c r="C875" i="14"/>
  <c r="C874" i="14"/>
  <c r="C873" i="14"/>
  <c r="C872" i="14"/>
  <c r="C871" i="14"/>
  <c r="Z870" i="14"/>
  <c r="Z788" i="14" s="1"/>
  <c r="V870" i="14"/>
  <c r="W870" i="14" s="1"/>
  <c r="C870" i="14"/>
  <c r="Z869" i="14"/>
  <c r="AA869" i="14" s="1"/>
  <c r="V869" i="14"/>
  <c r="W869" i="14" s="1"/>
  <c r="C869" i="14"/>
  <c r="Z868" i="14"/>
  <c r="Z784" i="14" s="1"/>
  <c r="V868" i="14"/>
  <c r="W868" i="14" s="1"/>
  <c r="C868" i="14"/>
  <c r="C867" i="14"/>
  <c r="AB866" i="14"/>
  <c r="AB782" i="14" s="1"/>
  <c r="AA866" i="14"/>
  <c r="AA782" i="14" s="1"/>
  <c r="Z866" i="14"/>
  <c r="Z782" i="14" s="1"/>
  <c r="Y866" i="14"/>
  <c r="Y780" i="14" s="1"/>
  <c r="X866" i="14"/>
  <c r="X780" i="14" s="1"/>
  <c r="W866" i="14"/>
  <c r="W783" i="14" s="1"/>
  <c r="V866" i="14"/>
  <c r="V780" i="14" s="1"/>
  <c r="U866" i="14"/>
  <c r="U783" i="14" s="1"/>
  <c r="C866" i="14"/>
  <c r="AB865" i="14"/>
  <c r="AB781" i="14" s="1"/>
  <c r="AA865" i="14"/>
  <c r="AA781" i="14" s="1"/>
  <c r="Z865" i="14"/>
  <c r="Z781" i="14" s="1"/>
  <c r="Y865" i="14"/>
  <c r="Y779" i="14" s="1"/>
  <c r="X865" i="14"/>
  <c r="X781" i="14" s="1"/>
  <c r="W865" i="14"/>
  <c r="W781" i="14" s="1"/>
  <c r="V865" i="14"/>
  <c r="V781" i="14" s="1"/>
  <c r="U865" i="14"/>
  <c r="U781" i="14" s="1"/>
  <c r="C865" i="14"/>
  <c r="AB864" i="14"/>
  <c r="AB778" i="14" s="1"/>
  <c r="AA864" i="14"/>
  <c r="AA778" i="14" s="1"/>
  <c r="Z864" i="14"/>
  <c r="Z778" i="14" s="1"/>
  <c r="Y864" i="14"/>
  <c r="Y778" i="14" s="1"/>
  <c r="X864" i="14"/>
  <c r="X778" i="14" s="1"/>
  <c r="W864" i="14"/>
  <c r="W778" i="14" s="1"/>
  <c r="V864" i="14"/>
  <c r="V778" i="14" s="1"/>
  <c r="U864" i="14"/>
  <c r="U778" i="14" s="1"/>
  <c r="C864" i="14"/>
  <c r="C863" i="14"/>
  <c r="AB862" i="14"/>
  <c r="AA862" i="14"/>
  <c r="Z862" i="14"/>
  <c r="Y862" i="14"/>
  <c r="X862" i="14"/>
  <c r="W862" i="14"/>
  <c r="V862" i="14"/>
  <c r="U862" i="14"/>
  <c r="C862" i="14"/>
  <c r="AB861" i="14"/>
  <c r="AA861" i="14"/>
  <c r="Z861" i="14"/>
  <c r="Y861" i="14"/>
  <c r="X861" i="14"/>
  <c r="W861" i="14"/>
  <c r="V861" i="14"/>
  <c r="U861" i="14"/>
  <c r="C861" i="14"/>
  <c r="AB860" i="14"/>
  <c r="AA860" i="14"/>
  <c r="Z860" i="14"/>
  <c r="Y860" i="14"/>
  <c r="X860" i="14"/>
  <c r="W860" i="14"/>
  <c r="V860" i="14"/>
  <c r="U860" i="14"/>
  <c r="C860" i="14"/>
  <c r="C859" i="14"/>
  <c r="C858" i="14"/>
  <c r="C857" i="14"/>
  <c r="C856" i="14"/>
  <c r="C855" i="14"/>
  <c r="C854" i="14"/>
  <c r="C853" i="14"/>
  <c r="C852" i="14"/>
  <c r="C851" i="14"/>
  <c r="C850" i="14"/>
  <c r="C849" i="14"/>
  <c r="C848" i="14"/>
  <c r="C847" i="14"/>
  <c r="C846" i="14"/>
  <c r="C845" i="14"/>
  <c r="C844" i="14"/>
  <c r="C843" i="14"/>
  <c r="C842" i="14"/>
  <c r="C841" i="14"/>
  <c r="C840" i="14"/>
  <c r="C839" i="14"/>
  <c r="W740" i="14"/>
  <c r="V740" i="14"/>
  <c r="U740" i="14"/>
  <c r="C838" i="14"/>
  <c r="C837" i="14"/>
  <c r="C836" i="14"/>
  <c r="C835" i="14"/>
  <c r="C834" i="14"/>
  <c r="C833" i="14"/>
  <c r="C832" i="14"/>
  <c r="C831" i="14"/>
  <c r="C830" i="14"/>
  <c r="C829" i="14"/>
  <c r="C828" i="14"/>
  <c r="C827" i="14"/>
  <c r="AB826" i="14"/>
  <c r="AA826" i="14"/>
  <c r="Z826" i="14"/>
  <c r="Y826" i="14"/>
  <c r="X826" i="14"/>
  <c r="W826" i="14"/>
  <c r="V826" i="14"/>
  <c r="U826" i="14"/>
  <c r="C826" i="14"/>
  <c r="AB825" i="14"/>
  <c r="AA825" i="14"/>
  <c r="Z825" i="14"/>
  <c r="Y825" i="14"/>
  <c r="X825" i="14"/>
  <c r="W825" i="14"/>
  <c r="V825" i="14"/>
  <c r="U825"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C818" i="14"/>
  <c r="C817" i="14"/>
  <c r="C816" i="14"/>
  <c r="C815" i="14"/>
  <c r="C814" i="14"/>
  <c r="C813" i="14"/>
  <c r="C812" i="14"/>
  <c r="C811" i="14"/>
  <c r="C810" i="14"/>
  <c r="C809" i="14"/>
  <c r="C808" i="14"/>
  <c r="C807" i="14"/>
  <c r="C806" i="14"/>
  <c r="C805" i="14"/>
  <c r="C804" i="14"/>
  <c r="C803" i="14"/>
  <c r="C802" i="14"/>
  <c r="C801" i="14"/>
  <c r="A801" i="14"/>
  <c r="C800" i="14"/>
  <c r="U799" i="14"/>
  <c r="U800" i="14" s="1"/>
  <c r="U801" i="14" s="1"/>
  <c r="C799" i="14"/>
  <c r="C798" i="14"/>
  <c r="U797" i="14"/>
  <c r="U798" i="14" s="1"/>
  <c r="C797" i="14"/>
  <c r="C796" i="14"/>
  <c r="C795" i="14"/>
  <c r="A795" i="14"/>
  <c r="C794" i="14"/>
  <c r="Z793" i="14"/>
  <c r="V793" i="14"/>
  <c r="C793" i="14"/>
  <c r="C792" i="14"/>
  <c r="Z791" i="14"/>
  <c r="V791" i="14"/>
  <c r="W791" i="14" s="1"/>
  <c r="C791" i="14"/>
  <c r="C790" i="14"/>
  <c r="AG789" i="14"/>
  <c r="AF789" i="14"/>
  <c r="Y789" i="14"/>
  <c r="U789" i="14"/>
  <c r="C789" i="14"/>
  <c r="A789" i="14"/>
  <c r="AG788" i="14"/>
  <c r="AF788" i="14"/>
  <c r="Y788" i="14"/>
  <c r="U788" i="14"/>
  <c r="C788" i="14"/>
  <c r="AG787" i="14"/>
  <c r="AF787" i="14"/>
  <c r="Y787" i="14"/>
  <c r="U787" i="14"/>
  <c r="C787" i="14"/>
  <c r="AG786" i="14"/>
  <c r="AF786" i="14"/>
  <c r="Y786" i="14"/>
  <c r="U786" i="14"/>
  <c r="C786" i="14"/>
  <c r="AG785" i="14"/>
  <c r="AF785" i="14"/>
  <c r="Y785" i="14"/>
  <c r="U785" i="14"/>
  <c r="C785" i="14"/>
  <c r="AG784" i="14"/>
  <c r="AF784" i="14"/>
  <c r="Y784" i="14"/>
  <c r="U784" i="14"/>
  <c r="C784" i="14"/>
  <c r="AG783" i="14"/>
  <c r="AF783" i="14"/>
  <c r="C783" i="14"/>
  <c r="A783" i="14"/>
  <c r="AG782" i="14"/>
  <c r="AF782" i="14"/>
  <c r="C782" i="14"/>
  <c r="AG781" i="14"/>
  <c r="AF781" i="14"/>
  <c r="C781" i="14"/>
  <c r="AG780" i="14"/>
  <c r="AF780" i="14"/>
  <c r="C780" i="14"/>
  <c r="AG779" i="14"/>
  <c r="AF779" i="14"/>
  <c r="C779" i="14"/>
  <c r="AG778" i="14"/>
  <c r="AF778" i="14"/>
  <c r="C778" i="14"/>
  <c r="C777" i="14"/>
  <c r="A777" i="14"/>
  <c r="C776" i="14"/>
  <c r="C775" i="14"/>
  <c r="C774" i="14"/>
  <c r="C773" i="14"/>
  <c r="C772" i="14"/>
  <c r="X771" i="14"/>
  <c r="Y771" i="14" s="1"/>
  <c r="Z771" i="14" s="1"/>
  <c r="AA771" i="14" s="1"/>
  <c r="AB771" i="14" s="1"/>
  <c r="C771" i="14"/>
  <c r="A771" i="14"/>
  <c r="X770" i="14"/>
  <c r="Y770" i="14" s="1"/>
  <c r="Z770" i="14" s="1"/>
  <c r="AA770" i="14" s="1"/>
  <c r="AB770" i="14" s="1"/>
  <c r="C770" i="14"/>
  <c r="X769" i="14"/>
  <c r="Y769" i="14" s="1"/>
  <c r="Z769" i="14" s="1"/>
  <c r="AA769" i="14" s="1"/>
  <c r="AB769" i="14" s="1"/>
  <c r="C769" i="14"/>
  <c r="X768" i="14"/>
  <c r="Y768" i="14" s="1"/>
  <c r="Z768" i="14" s="1"/>
  <c r="AA768" i="14" s="1"/>
  <c r="AB768" i="14" s="1"/>
  <c r="C768" i="14"/>
  <c r="X767" i="14"/>
  <c r="Y767" i="14" s="1"/>
  <c r="Z767" i="14" s="1"/>
  <c r="AA767" i="14" s="1"/>
  <c r="AB767" i="14" s="1"/>
  <c r="C767" i="14"/>
  <c r="X766" i="14"/>
  <c r="Y766" i="14" s="1"/>
  <c r="Z766" i="14" s="1"/>
  <c r="AA766" i="14" s="1"/>
  <c r="AB766" i="14" s="1"/>
  <c r="C766" i="14"/>
  <c r="X765" i="14"/>
  <c r="Y765" i="14" s="1"/>
  <c r="Z765" i="14" s="1"/>
  <c r="AA765" i="14" s="1"/>
  <c r="AB765" i="14" s="1"/>
  <c r="C765" i="14"/>
  <c r="A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X760" i="14"/>
  <c r="Y760" i="14" s="1"/>
  <c r="Z760" i="14" s="1"/>
  <c r="AA760" i="14" s="1"/>
  <c r="AB760" i="14" s="1"/>
  <c r="C760" i="14"/>
  <c r="C759" i="14"/>
  <c r="A759" i="14"/>
  <c r="C758" i="14"/>
  <c r="C757" i="14"/>
  <c r="C756" i="14"/>
  <c r="C755" i="14"/>
  <c r="C754" i="14"/>
  <c r="C753" i="14"/>
  <c r="A753" i="14"/>
  <c r="C752" i="14"/>
  <c r="C751" i="14"/>
  <c r="C750" i="14"/>
  <c r="C749" i="14"/>
  <c r="C748" i="14"/>
  <c r="C747" i="14"/>
  <c r="A747" i="14"/>
  <c r="C746" i="14"/>
  <c r="C745" i="14"/>
  <c r="C744" i="14"/>
  <c r="C743" i="14"/>
  <c r="C742" i="14"/>
  <c r="AG741" i="14"/>
  <c r="AF741" i="14"/>
  <c r="C741" i="14"/>
  <c r="A741" i="14"/>
  <c r="AG740" i="14"/>
  <c r="AF740" i="14"/>
  <c r="C740" i="14"/>
  <c r="AG739" i="14"/>
  <c r="AF739" i="14"/>
  <c r="W739" i="14"/>
  <c r="V739" i="14"/>
  <c r="U739" i="14"/>
  <c r="C739" i="14"/>
  <c r="AG738" i="14"/>
  <c r="AF738" i="14"/>
  <c r="C738" i="14"/>
  <c r="AG737" i="14"/>
  <c r="AF737" i="14"/>
  <c r="W737" i="14"/>
  <c r="V737" i="14"/>
  <c r="U737" i="14"/>
  <c r="C737" i="14"/>
  <c r="AG736" i="14"/>
  <c r="AF736" i="14"/>
  <c r="W736" i="14"/>
  <c r="V736" i="14"/>
  <c r="U736" i="14"/>
  <c r="C736" i="14"/>
  <c r="C735" i="14"/>
  <c r="A735" i="14"/>
  <c r="C734" i="14"/>
  <c r="C733" i="14"/>
  <c r="C732" i="14"/>
  <c r="C731" i="14"/>
  <c r="C730" i="14"/>
  <c r="C729" i="14"/>
  <c r="A729" i="14"/>
  <c r="C728" i="14"/>
  <c r="C727" i="14"/>
  <c r="C726" i="14"/>
  <c r="C725" i="14"/>
  <c r="C724" i="14"/>
  <c r="C723" i="14"/>
  <c r="A723" i="14"/>
  <c r="C722" i="14"/>
  <c r="C721" i="14"/>
  <c r="C720" i="14"/>
  <c r="C719" i="14"/>
  <c r="C718" i="14"/>
  <c r="C717" i="14"/>
  <c r="A717" i="14"/>
  <c r="C716" i="14"/>
  <c r="C715" i="14"/>
  <c r="C714" i="14"/>
  <c r="C713" i="14"/>
  <c r="C712" i="14"/>
  <c r="C711" i="14"/>
  <c r="A711" i="14"/>
  <c r="C710" i="14"/>
  <c r="C709" i="14"/>
  <c r="C708" i="14"/>
  <c r="C707" i="14"/>
  <c r="C706" i="14"/>
  <c r="C705" i="14"/>
  <c r="A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C681" i="14"/>
  <c r="X680" i="14"/>
  <c r="Y680" i="14" s="1"/>
  <c r="Z680" i="14" s="1"/>
  <c r="AA680" i="14" s="1"/>
  <c r="AB680" i="14" s="1"/>
  <c r="C680" i="14"/>
  <c r="X679" i="14"/>
  <c r="Y679" i="14" s="1"/>
  <c r="Z679" i="14" s="1"/>
  <c r="AA679" i="14" s="1"/>
  <c r="AB679" i="14" s="1"/>
  <c r="C679" i="14"/>
  <c r="X678" i="14"/>
  <c r="Y678" i="14" s="1"/>
  <c r="Z678" i="14" s="1"/>
  <c r="AA678" i="14" s="1"/>
  <c r="AB678" i="14" s="1"/>
  <c r="C678" i="14"/>
  <c r="C677" i="14"/>
  <c r="X676" i="14"/>
  <c r="Y676" i="14" s="1"/>
  <c r="Z676" i="14" s="1"/>
  <c r="AA676" i="14" s="1"/>
  <c r="AB676" i="14" s="1"/>
  <c r="C676" i="14"/>
  <c r="C675" i="14"/>
  <c r="C674" i="14"/>
  <c r="C673" i="14"/>
  <c r="C672" i="14"/>
  <c r="X671" i="14"/>
  <c r="Y671" i="14" s="1"/>
  <c r="Z671" i="14" s="1"/>
  <c r="AA671" i="14" s="1"/>
  <c r="AB671" i="14" s="1"/>
  <c r="C671" i="14"/>
  <c r="W670" i="14"/>
  <c r="X670" i="14" s="1"/>
  <c r="Y670" i="14" s="1"/>
  <c r="Z670" i="14" s="1"/>
  <c r="AA670" i="14" s="1"/>
  <c r="AB670" i="14" s="1"/>
  <c r="V670" i="14"/>
  <c r="U670" i="14"/>
  <c r="C670" i="14"/>
  <c r="X669" i="14"/>
  <c r="Y669" i="14" s="1"/>
  <c r="Z669" i="14" s="1"/>
  <c r="AA669" i="14" s="1"/>
  <c r="AB669" i="14" s="1"/>
  <c r="C669" i="14"/>
  <c r="Y668" i="14"/>
  <c r="Z668" i="14" s="1"/>
  <c r="AA668" i="14" s="1"/>
  <c r="AB668" i="14" s="1"/>
  <c r="X668" i="14"/>
  <c r="C668" i="14"/>
  <c r="Z667" i="14"/>
  <c r="AA667" i="14" s="1"/>
  <c r="AB667" i="14" s="1"/>
  <c r="X667" i="14"/>
  <c r="C667" i="14"/>
  <c r="Z666" i="14"/>
  <c r="AA666" i="14" s="1"/>
  <c r="AB666" i="14" s="1"/>
  <c r="X666" i="14"/>
  <c r="C666" i="14"/>
  <c r="C665" i="14"/>
  <c r="AA664" i="14"/>
  <c r="AB664" i="14" s="1"/>
  <c r="C664" i="14"/>
  <c r="AA663" i="14"/>
  <c r="AB663" i="14" s="1"/>
  <c r="C663" i="14"/>
  <c r="P662" i="14"/>
  <c r="O662" i="14"/>
  <c r="N662" i="14"/>
  <c r="M662" i="14"/>
  <c r="C662" i="14"/>
  <c r="L661" i="14"/>
  <c r="AA661" i="14" s="1"/>
  <c r="K661" i="14"/>
  <c r="W661" i="14" s="1"/>
  <c r="C661" i="14"/>
  <c r="L660" i="14"/>
  <c r="AB660" i="14" s="1"/>
  <c r="K660" i="14"/>
  <c r="K662" i="14" s="1"/>
  <c r="C660" i="14"/>
  <c r="C659" i="14"/>
  <c r="C658" i="14"/>
  <c r="C657" i="14"/>
  <c r="X656" i="14"/>
  <c r="Y656" i="14" s="1"/>
  <c r="Z656" i="14" s="1"/>
  <c r="AA656" i="14" s="1"/>
  <c r="AB656" i="14" s="1"/>
  <c r="C656" i="14"/>
  <c r="X655" i="14"/>
  <c r="Y655" i="14" s="1"/>
  <c r="Z655" i="14" s="1"/>
  <c r="AA655" i="14" s="1"/>
  <c r="AB655" i="14" s="1"/>
  <c r="C655" i="14"/>
  <c r="X654" i="14"/>
  <c r="Y654" i="14" s="1"/>
  <c r="Z654" i="14" s="1"/>
  <c r="AA654" i="14" s="1"/>
  <c r="AB654" i="14" s="1"/>
  <c r="C654" i="14"/>
  <c r="X653" i="14"/>
  <c r="Y653" i="14" s="1"/>
  <c r="Z653" i="14" s="1"/>
  <c r="AA653" i="14" s="1"/>
  <c r="AB653" i="14" s="1"/>
  <c r="C653" i="14"/>
  <c r="X652" i="14"/>
  <c r="Y652" i="14" s="1"/>
  <c r="Z652" i="14" s="1"/>
  <c r="AA652" i="14" s="1"/>
  <c r="AB652" i="14" s="1"/>
  <c r="C652" i="14"/>
  <c r="X651" i="14"/>
  <c r="Y651" i="14" s="1"/>
  <c r="Z651" i="14" s="1"/>
  <c r="AA651" i="14" s="1"/>
  <c r="AB651" i="14" s="1"/>
  <c r="C651" i="14"/>
  <c r="AB650" i="14"/>
  <c r="AA650" i="14"/>
  <c r="Z650" i="14"/>
  <c r="Y650" i="14"/>
  <c r="X650" i="14"/>
  <c r="W650" i="14"/>
  <c r="V650" i="14"/>
  <c r="U650" i="14"/>
  <c r="C650" i="14"/>
  <c r="AB649" i="14"/>
  <c r="AA649" i="14"/>
  <c r="Z649" i="14"/>
  <c r="Y649" i="14"/>
  <c r="X649" i="14"/>
  <c r="W649" i="14"/>
  <c r="V649" i="14"/>
  <c r="U649" i="14"/>
  <c r="C649" i="14"/>
  <c r="AB648" i="14"/>
  <c r="AA648" i="14"/>
  <c r="Z648" i="14"/>
  <c r="Y648" i="14"/>
  <c r="X648" i="14"/>
  <c r="W648" i="14"/>
  <c r="V648" i="14"/>
  <c r="U648" i="14"/>
  <c r="C648" i="14"/>
  <c r="AB647" i="14"/>
  <c r="AA647" i="14"/>
  <c r="Z647" i="14"/>
  <c r="Y647" i="14"/>
  <c r="X647" i="14"/>
  <c r="W647" i="14"/>
  <c r="V647" i="14"/>
  <c r="U647" i="14"/>
  <c r="C647" i="14"/>
  <c r="AB646" i="14"/>
  <c r="AA646" i="14"/>
  <c r="Z646" i="14"/>
  <c r="Y646" i="14"/>
  <c r="X646" i="14"/>
  <c r="W646" i="14"/>
  <c r="V646" i="14"/>
  <c r="U646" i="14"/>
  <c r="C646" i="14"/>
  <c r="AB645" i="14"/>
  <c r="AA645" i="14"/>
  <c r="Z645" i="14"/>
  <c r="Y645" i="14"/>
  <c r="X645" i="14"/>
  <c r="W645" i="14"/>
  <c r="V645" i="14"/>
  <c r="U645" i="14"/>
  <c r="C645" i="14"/>
  <c r="C644" i="14"/>
  <c r="C643" i="14"/>
  <c r="C642" i="14"/>
  <c r="C641" i="14"/>
  <c r="Z640" i="14"/>
  <c r="AA640" i="14" s="1"/>
  <c r="AB640" i="14" s="1"/>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C615" i="14"/>
  <c r="U614" i="14"/>
  <c r="C61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AA557" i="14"/>
  <c r="AB557" i="14" s="1"/>
  <c r="C557" i="14"/>
  <c r="C556" i="14"/>
  <c r="C555" i="14"/>
  <c r="C554" i="14"/>
  <c r="C553" i="14"/>
  <c r="C552" i="14"/>
  <c r="AA551" i="14"/>
  <c r="AB551" i="14" s="1"/>
  <c r="C551" i="14"/>
  <c r="C550" i="14"/>
  <c r="C549" i="14"/>
  <c r="C548" i="14"/>
  <c r="C547" i="14"/>
  <c r="C546" i="14"/>
  <c r="C545" i="14"/>
  <c r="C544" i="14"/>
  <c r="C543" i="14"/>
  <c r="C542" i="14"/>
  <c r="C541" i="14"/>
  <c r="C540" i="14"/>
  <c r="C539" i="14"/>
  <c r="C538" i="14"/>
  <c r="C537" i="14"/>
  <c r="C536" i="14"/>
  <c r="C535" i="14"/>
  <c r="C534" i="14"/>
  <c r="C533" i="14"/>
  <c r="C532" i="14"/>
  <c r="W531" i="14"/>
  <c r="W532" i="14" s="1"/>
  <c r="W533" i="14" s="1"/>
  <c r="V531" i="14"/>
  <c r="V532" i="14" s="1"/>
  <c r="V533" i="14" s="1"/>
  <c r="U531" i="14"/>
  <c r="U532" i="14" s="1"/>
  <c r="U533" i="14" s="1"/>
  <c r="C531" i="14"/>
  <c r="X530" i="14"/>
  <c r="X531" i="14" s="1"/>
  <c r="X532" i="14" s="1"/>
  <c r="X533" i="14" s="1"/>
  <c r="C530" i="14"/>
  <c r="X529" i="14"/>
  <c r="Y529" i="14" s="1"/>
  <c r="Z529" i="14" s="1"/>
  <c r="AA529" i="14" s="1"/>
  <c r="AB529" i="14" s="1"/>
  <c r="C529" i="14"/>
  <c r="X528" i="14"/>
  <c r="Y528" i="14" s="1"/>
  <c r="Z528" i="14" s="1"/>
  <c r="AA528" i="14" s="1"/>
  <c r="AB528" i="14" s="1"/>
  <c r="C528" i="14"/>
  <c r="X527" i="14"/>
  <c r="Y527" i="14" s="1"/>
  <c r="Z527" i="14" s="1"/>
  <c r="AA527" i="14" s="1"/>
  <c r="AB527" i="14" s="1"/>
  <c r="C527" i="14"/>
  <c r="X526" i="14"/>
  <c r="Y526" i="14" s="1"/>
  <c r="Z526" i="14" s="1"/>
  <c r="AA526" i="14" s="1"/>
  <c r="AB526" i="14" s="1"/>
  <c r="C526" i="14"/>
  <c r="C525" i="14"/>
  <c r="C524" i="14"/>
  <c r="W523" i="14"/>
  <c r="W524" i="14" s="1"/>
  <c r="W525" i="14" s="1"/>
  <c r="V523" i="14"/>
  <c r="V524" i="14" s="1"/>
  <c r="V525" i="14" s="1"/>
  <c r="U523" i="14"/>
  <c r="U524" i="14" s="1"/>
  <c r="U525" i="14" s="1"/>
  <c r="C523" i="14"/>
  <c r="X522" i="14"/>
  <c r="X523" i="14" s="1"/>
  <c r="X524" i="14" s="1"/>
  <c r="X525"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AB415" i="14"/>
  <c r="AA415" i="14"/>
  <c r="Z415" i="14"/>
  <c r="Y415" i="14"/>
  <c r="X415" i="14"/>
  <c r="W415" i="14"/>
  <c r="V415" i="14"/>
  <c r="U415" i="14"/>
  <c r="C415" i="14"/>
  <c r="AB414" i="14"/>
  <c r="AA414" i="14"/>
  <c r="Z414" i="14"/>
  <c r="Y414" i="14"/>
  <c r="X414" i="14"/>
  <c r="W414" i="14"/>
  <c r="V414" i="14"/>
  <c r="U414" i="14"/>
  <c r="C414" i="14"/>
  <c r="AB413" i="14"/>
  <c r="AA413" i="14"/>
  <c r="Z413" i="14"/>
  <c r="Y413" i="14"/>
  <c r="X413" i="14"/>
  <c r="W413" i="14"/>
  <c r="V413" i="14"/>
  <c r="U413" i="14"/>
  <c r="C413"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C405" i="14"/>
  <c r="C404" i="14"/>
  <c r="C403" i="14"/>
  <c r="C402" i="14"/>
  <c r="C401" i="14"/>
  <c r="C400" i="14"/>
  <c r="C399" i="14"/>
  <c r="C398" i="14"/>
  <c r="AB397" i="14"/>
  <c r="AA397" i="14"/>
  <c r="Z397" i="14"/>
  <c r="Y397" i="14"/>
  <c r="X397" i="14"/>
  <c r="W397" i="14"/>
  <c r="V397" i="14"/>
  <c r="U397" i="14"/>
  <c r="C397" i="14"/>
  <c r="AB396" i="14"/>
  <c r="AA396" i="14"/>
  <c r="Z396" i="14"/>
  <c r="Y396" i="14"/>
  <c r="X396" i="14"/>
  <c r="W396" i="14"/>
  <c r="V396" i="14"/>
  <c r="U396" i="14"/>
  <c r="C396" i="14"/>
  <c r="AB395" i="14"/>
  <c r="AA395" i="14"/>
  <c r="Z395" i="14"/>
  <c r="Y395" i="14"/>
  <c r="X395" i="14"/>
  <c r="W395" i="14"/>
  <c r="V395" i="14"/>
  <c r="U395" i="14"/>
  <c r="C395" i="14"/>
  <c r="C394" i="14"/>
  <c r="C393" i="14"/>
  <c r="C392" i="14"/>
  <c r="AB391" i="14"/>
  <c r="AA391" i="14"/>
  <c r="Z391" i="14"/>
  <c r="Y391" i="14"/>
  <c r="X391" i="14"/>
  <c r="W391" i="14"/>
  <c r="V391" i="14"/>
  <c r="U391" i="14"/>
  <c r="C391" i="14"/>
  <c r="C390" i="14"/>
  <c r="C389" i="14"/>
  <c r="C388" i="14"/>
  <c r="C387" i="14"/>
  <c r="C386" i="14"/>
  <c r="AB384" i="14"/>
  <c r="AA384" i="14"/>
  <c r="Z384" i="14"/>
  <c r="Y384" i="14"/>
  <c r="X384" i="14"/>
  <c r="W384" i="14"/>
  <c r="V384" i="14"/>
  <c r="U384" i="14"/>
  <c r="C384" i="14"/>
  <c r="AB383" i="14"/>
  <c r="AA383" i="14"/>
  <c r="Z383" i="14"/>
  <c r="Y383" i="14"/>
  <c r="X383" i="14"/>
  <c r="W383" i="14"/>
  <c r="V383" i="14"/>
  <c r="U383" i="14"/>
  <c r="C383" i="14"/>
  <c r="AB382" i="14"/>
  <c r="AA382" i="14"/>
  <c r="Z382" i="14"/>
  <c r="Y382" i="14"/>
  <c r="X382" i="14"/>
  <c r="W382" i="14"/>
  <c r="V382" i="14"/>
  <c r="U382" i="14"/>
  <c r="C382" i="14"/>
  <c r="AB381" i="14"/>
  <c r="AA381" i="14"/>
  <c r="Z381" i="14"/>
  <c r="Y381" i="14"/>
  <c r="X381" i="14"/>
  <c r="W381" i="14"/>
  <c r="V381" i="14"/>
  <c r="U381" i="14"/>
  <c r="C381" i="14"/>
  <c r="C380" i="14"/>
  <c r="C379" i="14"/>
  <c r="C363" i="14"/>
  <c r="AB362" i="14"/>
  <c r="AB45" i="14" s="1"/>
  <c r="AA362" i="14"/>
  <c r="AA45" i="14" s="1"/>
  <c r="Z362" i="14"/>
  <c r="Z45" i="14" s="1"/>
  <c r="Y362" i="14"/>
  <c r="Y45" i="14" s="1"/>
  <c r="X362" i="14"/>
  <c r="X45" i="14" s="1"/>
  <c r="W362" i="14"/>
  <c r="W45" i="14" s="1"/>
  <c r="V362" i="14"/>
  <c r="V45" i="14" s="1"/>
  <c r="U362" i="14"/>
  <c r="U45" i="14" s="1"/>
  <c r="C362" i="14"/>
  <c r="C361" i="14"/>
  <c r="AB361" i="14"/>
  <c r="AA361" i="14"/>
  <c r="Z361" i="14"/>
  <c r="Y361" i="14"/>
  <c r="X361" i="14"/>
  <c r="W361" i="14"/>
  <c r="V361" i="14"/>
  <c r="U361" i="14"/>
  <c r="C360" i="14"/>
  <c r="AB359" i="14"/>
  <c r="AA359" i="14"/>
  <c r="Z359" i="14"/>
  <c r="Y359" i="14"/>
  <c r="X359" i="14"/>
  <c r="W359" i="14"/>
  <c r="V359" i="14"/>
  <c r="U359" i="14"/>
  <c r="C359" i="14"/>
  <c r="C358"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X350" i="14"/>
  <c r="W350" i="14"/>
  <c r="V350" i="14"/>
  <c r="U350" i="14"/>
  <c r="C350" i="14"/>
  <c r="AA349" i="14"/>
  <c r="Z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C341"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C323" i="14"/>
  <c r="C322" i="14"/>
  <c r="C321" i="14"/>
  <c r="L315" i="14"/>
  <c r="X315" i="14" s="1"/>
  <c r="K315" i="14"/>
  <c r="W315" i="14" s="1"/>
  <c r="C315" i="14"/>
  <c r="AB314" i="14"/>
  <c r="AA314" i="14"/>
  <c r="Z314" i="14"/>
  <c r="Y314" i="14"/>
  <c r="X314" i="14"/>
  <c r="W314" i="14"/>
  <c r="V314" i="14"/>
  <c r="U314" i="14"/>
  <c r="C314" i="14"/>
  <c r="X313" i="14"/>
  <c r="Y313" i="14" s="1"/>
  <c r="Z313" i="14" s="1"/>
  <c r="AA313" i="14" s="1"/>
  <c r="AB313" i="14" s="1"/>
  <c r="C313" i="14"/>
  <c r="X312" i="14"/>
  <c r="Y312" i="14" s="1"/>
  <c r="Z312" i="14" s="1"/>
  <c r="AA312" i="14" s="1"/>
  <c r="AB312" i="14" s="1"/>
  <c r="C312" i="14"/>
  <c r="AB311" i="14"/>
  <c r="X311" i="14"/>
  <c r="Y311" i="14" s="1"/>
  <c r="Z311" i="14" s="1"/>
  <c r="AA311" i="14" s="1"/>
  <c r="C311" i="14"/>
  <c r="AB310" i="14"/>
  <c r="AA310" i="14"/>
  <c r="Z310" i="14"/>
  <c r="Y310" i="14"/>
  <c r="X310" i="14"/>
  <c r="W310" i="14"/>
  <c r="V310" i="14"/>
  <c r="U310" i="14"/>
  <c r="C310" i="14"/>
  <c r="AB309" i="14"/>
  <c r="AA309" i="14"/>
  <c r="Z309" i="14"/>
  <c r="Y309" i="14"/>
  <c r="X309" i="14"/>
  <c r="W309" i="14"/>
  <c r="V309" i="14"/>
  <c r="U309" i="14"/>
  <c r="C309" i="14"/>
  <c r="C308" i="14"/>
  <c r="AB307" i="14"/>
  <c r="AA307" i="14"/>
  <c r="Z307" i="14"/>
  <c r="Y307" i="14"/>
  <c r="X307" i="14"/>
  <c r="W307" i="14"/>
  <c r="V307" i="14"/>
  <c r="U307" i="14"/>
  <c r="C307" i="14"/>
  <c r="C306" i="14"/>
  <c r="AB305" i="14"/>
  <c r="AA305" i="14"/>
  <c r="Z305" i="14"/>
  <c r="Y305" i="14"/>
  <c r="X305" i="14"/>
  <c r="W305" i="14"/>
  <c r="V305" i="14"/>
  <c r="U305" i="14"/>
  <c r="C305" i="14"/>
  <c r="AB304" i="14"/>
  <c r="AA304" i="14"/>
  <c r="Z304" i="14"/>
  <c r="Y304" i="14"/>
  <c r="X304" i="14"/>
  <c r="W304" i="14"/>
  <c r="V304" i="14"/>
  <c r="U304" i="14"/>
  <c r="C304" i="14"/>
  <c r="C303" i="14"/>
  <c r="AB302" i="14"/>
  <c r="AA302" i="14"/>
  <c r="Z302" i="14"/>
  <c r="Y302" i="14"/>
  <c r="X302" i="14"/>
  <c r="W302" i="14"/>
  <c r="V302" i="14"/>
  <c r="U302" i="14"/>
  <c r="C302" i="14"/>
  <c r="L301" i="14"/>
  <c r="AB301" i="14" s="1"/>
  <c r="K301" i="14"/>
  <c r="W301" i="14" s="1"/>
  <c r="C301" i="14"/>
  <c r="C300"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C284" i="14"/>
  <c r="C283" i="14"/>
  <c r="C282" i="14"/>
  <c r="C281" i="14"/>
  <c r="AB280" i="14"/>
  <c r="AA280" i="14"/>
  <c r="Z280" i="14"/>
  <c r="Y280" i="14"/>
  <c r="X280" i="14"/>
  <c r="W280" i="14"/>
  <c r="V280"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C273" i="14"/>
  <c r="C272" i="14"/>
  <c r="C271"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C231"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26" i="13"/>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5" i="14"/>
  <c r="AB665" i="14" s="1"/>
  <c r="X665" i="14"/>
  <c r="Z1149" i="14"/>
  <c r="AA1149" i="14" s="1"/>
  <c r="X1149" i="14"/>
  <c r="X1148" i="14" s="1"/>
  <c r="Z1150" i="14"/>
  <c r="AA1150" i="14" s="1"/>
  <c r="AB1150" i="14" s="1"/>
  <c r="X1150" i="14"/>
  <c r="V784" i="14"/>
  <c r="AY172" i="13"/>
  <c r="AY169" i="13"/>
  <c r="I225" i="13"/>
  <c r="AA783" i="14"/>
  <c r="W660" i="14"/>
  <c r="V799" i="14"/>
  <c r="V800" i="14" s="1"/>
  <c r="V801" i="14" s="1"/>
  <c r="BI95" i="13"/>
  <c r="BE109" i="13" s="1"/>
  <c r="BF109" i="13" s="1"/>
  <c r="F98" i="13"/>
  <c r="Z789" i="14"/>
  <c r="Y661" i="14"/>
  <c r="M98" i="13"/>
  <c r="M97" i="13" s="1"/>
  <c r="M96" i="13" s="1"/>
  <c r="AC89" i="13"/>
  <c r="W780" i="14"/>
  <c r="W779" i="14"/>
  <c r="X779" i="14"/>
  <c r="Z779" i="14"/>
  <c r="AB779" i="14"/>
  <c r="V660" i="14"/>
  <c r="K47" i="10"/>
  <c r="AF318" i="13"/>
  <c r="V741" i="14"/>
  <c r="V787" i="14"/>
  <c r="AA779" i="14"/>
  <c r="Z780" i="14"/>
  <c r="AA780" i="14"/>
  <c r="J123" i="13"/>
  <c r="U660" i="14"/>
  <c r="U780" i="14"/>
  <c r="C275" i="13"/>
  <c r="C80" i="13"/>
  <c r="N98" i="13"/>
  <c r="N97" i="13" s="1"/>
  <c r="N96" i="13" s="1"/>
  <c r="AB783" i="14"/>
  <c r="P98" i="13"/>
  <c r="P97" i="13" s="1"/>
  <c r="P96" i="13" s="1"/>
  <c r="M211" i="13"/>
  <c r="R98" i="13"/>
  <c r="R97" i="13" s="1"/>
  <c r="R96" i="13" s="1"/>
  <c r="C38" i="13"/>
  <c r="C159" i="13"/>
  <c r="P100" i="13"/>
  <c r="P101" i="13" s="1"/>
  <c r="P102" i="13" s="1"/>
  <c r="P103" i="13" s="1"/>
  <c r="P104" i="13" s="1"/>
  <c r="P105" i="13" s="1"/>
  <c r="P107" i="13" s="1"/>
  <c r="P109" i="13" s="1"/>
  <c r="C379" i="13"/>
  <c r="AA870" i="14"/>
  <c r="AB870" i="14" s="1"/>
  <c r="AB789" i="14" s="1"/>
  <c r="X736" i="14"/>
  <c r="Z786" i="14"/>
  <c r="X737" i="14"/>
  <c r="V783" i="14"/>
  <c r="X783" i="14"/>
  <c r="Y783" i="14"/>
  <c r="Z783" i="14"/>
  <c r="V789" i="14"/>
  <c r="U741" i="14"/>
  <c r="U782" i="14"/>
  <c r="V782" i="14"/>
  <c r="V786" i="14"/>
  <c r="AB780" i="14"/>
  <c r="W782" i="14"/>
  <c r="Y782" i="14"/>
  <c r="Y1156" i="14"/>
  <c r="Z787" i="14"/>
  <c r="Y1148" i="14"/>
  <c r="U779" i="14"/>
  <c r="V779" i="14"/>
  <c r="C28" i="14"/>
  <c r="U738" i="14"/>
  <c r="W1124" i="14"/>
  <c r="V738" i="14"/>
  <c r="C37" i="14"/>
  <c r="W738" i="14"/>
  <c r="W741" i="14"/>
  <c r="X739" i="14"/>
  <c r="C38" i="14"/>
  <c r="V785" i="14"/>
  <c r="Z785" i="14"/>
  <c r="V788" i="14"/>
  <c r="AA868" i="14"/>
  <c r="Y781" i="14"/>
  <c r="X782"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301" i="14"/>
  <c r="Y315" i="14"/>
  <c r="Y530" i="14"/>
  <c r="AA660" i="14"/>
  <c r="L662" i="14"/>
  <c r="Z660" i="14"/>
  <c r="Y660" i="14"/>
  <c r="X660" i="14"/>
  <c r="X740" i="14"/>
  <c r="X741" i="14"/>
  <c r="X738" i="14"/>
  <c r="W784" i="14"/>
  <c r="X868" i="14"/>
  <c r="X784" i="14" s="1"/>
  <c r="X1124" i="14"/>
  <c r="Y1125" i="14"/>
  <c r="Z1156" i="14"/>
  <c r="AA1157" i="14"/>
  <c r="W172" i="14"/>
  <c r="Y301" i="14"/>
  <c r="Z315" i="14"/>
  <c r="C285" i="13"/>
  <c r="X172" i="14"/>
  <c r="Z301" i="14"/>
  <c r="AA315" i="14"/>
  <c r="AA301" i="14"/>
  <c r="AB315" i="14"/>
  <c r="Z172" i="14"/>
  <c r="U315" i="14"/>
  <c r="W787" i="14"/>
  <c r="W785" i="14"/>
  <c r="X869" i="14"/>
  <c r="AA172" i="14"/>
  <c r="U301" i="14"/>
  <c r="V315" i="14"/>
  <c r="AA785" i="14"/>
  <c r="AB869" i="14"/>
  <c r="AA787" i="14"/>
  <c r="V301" i="14"/>
  <c r="Z836" i="14"/>
  <c r="Y736" i="14"/>
  <c r="Y522" i="14"/>
  <c r="W662" i="14"/>
  <c r="V662" i="14"/>
  <c r="U662" i="14"/>
  <c r="X870" i="14"/>
  <c r="W789" i="14"/>
  <c r="W786" i="14"/>
  <c r="W788" i="14"/>
  <c r="AB661" i="14"/>
  <c r="W793" i="14"/>
  <c r="U1165" i="14"/>
  <c r="U1164" i="14" s="1"/>
  <c r="U661" i="14"/>
  <c r="W1156" i="14"/>
  <c r="V1165" i="14"/>
  <c r="V1164" i="14" s="1"/>
  <c r="U1166" i="14"/>
  <c r="V661" i="14"/>
  <c r="W1165" i="14"/>
  <c r="V1166" i="14"/>
  <c r="X1117" i="14"/>
  <c r="W1166" i="14"/>
  <c r="X661" i="14"/>
  <c r="AA791" i="14"/>
  <c r="AA793" i="14"/>
  <c r="V797" i="14"/>
  <c r="W1167" i="14"/>
  <c r="Z661"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8" i="14"/>
  <c r="I226" i="13"/>
  <c r="W799" i="14"/>
  <c r="W800" i="14" s="1"/>
  <c r="W801" i="14" s="1"/>
  <c r="AB788" i="14"/>
  <c r="AB786" i="14"/>
  <c r="BA167" i="13"/>
  <c r="F97" i="13"/>
  <c r="AZ172" i="13"/>
  <c r="AA786" i="14"/>
  <c r="BA168" i="13"/>
  <c r="K42" i="10"/>
  <c r="P106" i="13"/>
  <c r="P108" i="13" s="1"/>
  <c r="AZ169" i="13"/>
  <c r="BD169" i="13" s="1"/>
  <c r="AA789" i="14"/>
  <c r="AA788" i="14"/>
  <c r="AB868" i="14"/>
  <c r="AB784" i="14" s="1"/>
  <c r="AA784" i="14"/>
  <c r="J96" i="13"/>
  <c r="F96" i="13" s="1"/>
  <c r="AA836" i="14"/>
  <c r="Z736" i="14"/>
  <c r="X785" i="14"/>
  <c r="X787" i="14"/>
  <c r="AB1149" i="14"/>
  <c r="AB1148" i="14" s="1"/>
  <c r="AA1148" i="14"/>
  <c r="L243" i="13"/>
  <c r="N243" i="13"/>
  <c r="BA166" i="13"/>
  <c r="AW179" i="13" s="1" a="1"/>
  <c r="AW179" i="13" s="1"/>
  <c r="V798" i="14"/>
  <c r="W797" i="14"/>
  <c r="W1164" i="14"/>
  <c r="X789" i="14"/>
  <c r="X786" i="14"/>
  <c r="X788" i="14"/>
  <c r="Y1124" i="14"/>
  <c r="Z1125" i="14"/>
  <c r="O107" i="13"/>
  <c r="O109" i="13" s="1"/>
  <c r="O106" i="13"/>
  <c r="O108" i="13" s="1"/>
  <c r="Y737" i="14"/>
  <c r="Z837" i="14"/>
  <c r="Y739" i="14"/>
  <c r="AB785" i="14"/>
  <c r="AB787" i="14"/>
  <c r="M242" i="13"/>
  <c r="AB793" i="14"/>
  <c r="AB791" i="14"/>
  <c r="AB662" i="14"/>
  <c r="AA662" i="14"/>
  <c r="Y662" i="14"/>
  <c r="X662" i="14"/>
  <c r="Z662" i="14"/>
  <c r="F103" i="13"/>
  <c r="F104" i="13"/>
  <c r="Y523" i="14"/>
  <c r="Y524" i="14" s="1"/>
  <c r="Y525" i="14" s="1"/>
  <c r="Z522" i="14"/>
  <c r="AA1156" i="14"/>
  <c r="AB1157" i="14"/>
  <c r="AB1156" i="14" s="1"/>
  <c r="Y531" i="14"/>
  <c r="Y532" i="14" s="1"/>
  <c r="Y533" i="14" s="1"/>
  <c r="Z530" i="14"/>
  <c r="Y1117" i="14"/>
  <c r="X1116"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9" i="14"/>
  <c r="X800" i="14" s="1"/>
  <c r="X801" i="14" s="1"/>
  <c r="Y741" i="14"/>
  <c r="Y738" i="14"/>
  <c r="Y740" i="14"/>
  <c r="Z523" i="14"/>
  <c r="Z524" i="14" s="1"/>
  <c r="Z525" i="14" s="1"/>
  <c r="AA522" i="14"/>
  <c r="W798" i="14"/>
  <c r="X797" i="14"/>
  <c r="AB836" i="14"/>
  <c r="AB736" i="14" s="1"/>
  <c r="AA736" i="14"/>
  <c r="Z1117" i="14"/>
  <c r="Y1116" i="14"/>
  <c r="Z531" i="14"/>
  <c r="Z532" i="14" s="1"/>
  <c r="Z533" i="14" s="1"/>
  <c r="AA530" i="14"/>
  <c r="M243" i="13"/>
  <c r="Z739" i="14"/>
  <c r="AA837" i="14"/>
  <c r="Z737" i="14"/>
  <c r="Z1124" i="14"/>
  <c r="AA1125"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9" i="14"/>
  <c r="Z799" i="14" s="1"/>
  <c r="AA1117" i="14"/>
  <c r="Z1116" i="14"/>
  <c r="AA739" i="14"/>
  <c r="AB837" i="14"/>
  <c r="AA737" i="14"/>
  <c r="AZ173" i="13"/>
  <c r="BA173" i="13" s="1"/>
  <c r="Z738" i="14"/>
  <c r="Z740" i="14"/>
  <c r="Z741" i="14"/>
  <c r="AA1124" i="14"/>
  <c r="AB1125" i="14"/>
  <c r="AB1124" i="14" s="1"/>
  <c r="AA523" i="14"/>
  <c r="AA524" i="14" s="1"/>
  <c r="AA525" i="14" s="1"/>
  <c r="AB522" i="14"/>
  <c r="AB523" i="14" s="1"/>
  <c r="AB524" i="14" s="1"/>
  <c r="AB525" i="14" s="1"/>
  <c r="AA531" i="14"/>
  <c r="AA532" i="14" s="1"/>
  <c r="AA533" i="14" s="1"/>
  <c r="AB530" i="14"/>
  <c r="AB531" i="14" s="1"/>
  <c r="AB532" i="14" s="1"/>
  <c r="AB533" i="14" s="1"/>
  <c r="X798" i="14"/>
  <c r="Y797"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800" i="14"/>
  <c r="Y801" i="14" s="1"/>
  <c r="AB1117" i="14"/>
  <c r="AB1116" i="14" s="1"/>
  <c r="AA1116" i="14"/>
  <c r="AB737" i="14"/>
  <c r="AB739" i="14"/>
  <c r="AA741" i="14"/>
  <c r="AA738" i="14"/>
  <c r="AA740" i="14"/>
  <c r="Y798" i="14"/>
  <c r="Z797" i="14"/>
  <c r="Z800" i="14"/>
  <c r="Z801" i="14" s="1"/>
  <c r="AA799" i="14"/>
  <c r="AZ170" i="13" l="1"/>
  <c r="BA170" i="13" s="1"/>
  <c r="AZ171" i="13"/>
  <c r="BD171" i="13" s="1"/>
  <c r="AB741" i="14"/>
  <c r="AB740" i="14"/>
  <c r="AB738" i="14"/>
  <c r="AA800" i="14"/>
  <c r="AA801" i="14" s="1"/>
  <c r="AB799" i="14"/>
  <c r="AB800" i="14" s="1"/>
  <c r="AB801" i="14" s="1"/>
  <c r="Z798" i="14"/>
  <c r="AA797"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8" i="14"/>
  <c r="AB797" i="14"/>
  <c r="AB798"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4" i="1" l="1"/>
  <c r="G56" i="1"/>
  <c r="G64" i="1"/>
  <c r="G68" i="1"/>
  <c r="G55" i="1"/>
  <c r="G53" i="1"/>
  <c r="G57" i="1"/>
  <c r="G62" i="1"/>
  <c r="G59" i="1"/>
  <c r="G51" i="1"/>
  <c r="G52" i="1" s="1"/>
  <c r="G65" i="1"/>
  <c r="G66" i="1" s="1"/>
  <c r="G60" i="1" l="1"/>
  <c r="G61" i="1"/>
  <c r="D65" i="1"/>
  <c r="D66" i="1" s="1"/>
  <c r="D51" i="1"/>
  <c r="D52" i="1" s="1"/>
  <c r="D59" i="1"/>
  <c r="D54" i="1"/>
  <c r="D68" i="1"/>
  <c r="D62" i="1"/>
  <c r="D57" i="1"/>
  <c r="D53" i="1"/>
  <c r="D55" i="1"/>
  <c r="D56" i="1"/>
  <c r="D64" i="1"/>
  <c r="D61" i="1" l="1"/>
  <c r="D60" i="1"/>
  <c r="Z1165" i="14" l="1"/>
  <c r="Z1164" i="14" s="1"/>
  <c r="X1168" i="14"/>
  <c r="Z1168" i="14"/>
  <c r="AA1168" i="14" s="1"/>
  <c r="AB1168" i="14" s="1"/>
  <c r="X1167" i="14"/>
  <c r="Z1167" i="14"/>
  <c r="AA1167" i="14" s="1"/>
  <c r="AB1167" i="14" s="1"/>
  <c r="X1170" i="14"/>
  <c r="Z1170" i="14"/>
  <c r="AA1170" i="14" s="1"/>
  <c r="AB1170" i="14" s="1"/>
  <c r="X1165" i="14"/>
  <c r="X1164" i="14" s="1"/>
  <c r="X1166" i="14"/>
  <c r="Z1166" i="14"/>
  <c r="AA1166" i="14" s="1"/>
  <c r="AB1166" i="14" s="1"/>
  <c r="X1169" i="14"/>
  <c r="Z1169" i="14"/>
  <c r="AA1169" i="14" s="1"/>
  <c r="AB1169" i="14" s="1"/>
  <c r="X1163" i="14"/>
  <c r="Z1163" i="14"/>
  <c r="AA1163" i="14" s="1"/>
  <c r="AB1163" i="14" s="1"/>
  <c r="AA1165" i="14" l="1"/>
  <c r="AA1164" i="14" l="1"/>
  <c r="AB1165" i="14"/>
  <c r="AB1164" i="14" s="1"/>
  <c r="X644" i="14" l="1"/>
  <c r="X550" i="14" l="1"/>
  <c r="AA552" i="14"/>
  <c r="AB552" i="14" s="1"/>
  <c r="Y552" i="14"/>
  <c r="X552" i="14" s="1"/>
  <c r="Y553" i="14"/>
  <c r="X553" i="14" s="1"/>
  <c r="AA553" i="14"/>
  <c r="AB553" i="14" s="1"/>
  <c r="AA554" i="14"/>
  <c r="AB554" i="14" s="1"/>
  <c r="Y554" i="14"/>
  <c r="X554" i="14" s="1"/>
  <c r="AA555" i="14"/>
  <c r="AB555" i="14" s="1"/>
  <c r="Y555" i="14"/>
  <c r="X555" i="14" s="1"/>
  <c r="Y556" i="14"/>
  <c r="X556" i="14" s="1"/>
  <c r="AA556" i="14"/>
  <c r="AB556"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8"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50" authorId="0" shapeId="0" xr:uid="{4FB247CF-E152-434A-876A-FF5F0ADAA4D0}">
      <text>
        <r>
          <rPr>
            <b/>
            <sz val="9"/>
            <color indexed="81"/>
            <rFont val="Tahoma"/>
            <family val="2"/>
          </rPr>
          <t>Michael Young:</t>
        </r>
        <r>
          <rPr>
            <sz val="9"/>
            <color indexed="81"/>
            <rFont val="Tahoma"/>
            <family val="2"/>
          </rPr>
          <t xml:space="preserve">
%
includes 5% stamp duty</t>
        </r>
      </text>
    </comment>
    <comment ref="K51"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2"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5"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Southern Dirt</author>
    <author>Michael</author>
  </authors>
  <commentList>
    <comment ref="I15"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16"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18"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18"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18" authorId="1" shapeId="0" xr:uid="{2240C015-5671-41DD-A5B8-85B175BD0EE4}">
      <text>
        <r>
          <rPr>
            <b/>
            <sz val="9"/>
            <color indexed="81"/>
            <rFont val="Tahoma"/>
            <family val="2"/>
          </rPr>
          <t>Michael Young (21512438):</t>
        </r>
        <r>
          <rPr>
            <sz val="9"/>
            <color indexed="81"/>
            <rFont val="Tahoma"/>
            <family val="2"/>
          </rPr>
          <t xml:space="preserve">
std value is 50%</t>
        </r>
      </text>
    </comment>
    <comment ref="G27"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37" authorId="2" shapeId="0" xr:uid="{A2A4AC7A-CB90-46B6-A473-65B87E39F501}">
      <text>
        <r>
          <rPr>
            <sz val="9"/>
            <color indexed="81"/>
            <rFont val="Tahoma"/>
            <family val="2"/>
          </rPr>
          <t>Biomass at baling relative to biomass at harvest (if not baled).
To account for growth from date of baling to harvest.</t>
        </r>
      </text>
    </comment>
    <comment ref="J37"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37" authorId="2" shapeId="0" xr:uid="{DE5CA95F-369F-4852-AB03-3CCD102A0186}">
      <text>
        <r>
          <rPr>
            <sz val="9"/>
            <color indexed="81"/>
            <rFont val="Tahoma"/>
            <family val="2"/>
          </rPr>
          <t>Proportion of biomass at baling that is baled (at point of baling - not including respiration losses).</t>
        </r>
      </text>
    </comment>
    <comment ref="L37" authorId="2" shapeId="0" xr:uid="{2640A30C-B3FC-48D4-8B79-C5A07DEAA917}">
      <text>
        <r>
          <rPr>
            <sz val="9"/>
            <color indexed="81"/>
            <rFont val="Tahoma"/>
            <family val="2"/>
          </rPr>
          <t>Proportion of baled biomass available to feed out.
To allow for losses due to respiration during drying.</t>
        </r>
      </text>
    </comment>
    <comment ref="I67"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97"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02"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05"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G11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0"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40"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40"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62"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66" authorId="3"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185"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190"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190" authorId="4"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194"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195"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H197"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199" authorId="4"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00" authorId="4"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01" authorId="4" shapeId="0" xr:uid="{72621FD3-C0EA-440E-AF10-8EC28CABF10D}">
      <text>
        <r>
          <rPr>
            <b/>
            <sz val="9"/>
            <color indexed="81"/>
            <rFont val="Tahoma"/>
            <family val="2"/>
          </rPr>
          <t>Michael:</t>
        </r>
        <r>
          <rPr>
            <sz val="9"/>
            <color indexed="81"/>
            <rFont val="Tahoma"/>
            <family val="2"/>
          </rPr>
          <t xml:space="preserve">
from planfarm averages for the given yr</t>
        </r>
      </text>
    </comment>
    <comment ref="Z201" authorId="4" shapeId="0" xr:uid="{717403EF-7C6C-43FA-BB7F-5765FCAD560C}">
      <text>
        <r>
          <rPr>
            <b/>
            <sz val="9"/>
            <color indexed="81"/>
            <rFont val="Tahoma"/>
            <family val="2"/>
          </rPr>
          <t>Michael:</t>
        </r>
        <r>
          <rPr>
            <sz val="9"/>
            <color indexed="81"/>
            <rFont val="Tahoma"/>
            <family val="2"/>
          </rPr>
          <t xml:space="preserve">
guess (wasn’t recorded anywhere)</t>
        </r>
      </text>
    </comment>
    <comment ref="AA201" authorId="4" shapeId="0" xr:uid="{6332903A-21F9-4122-BAEE-D9AA1140048E}">
      <text>
        <r>
          <rPr>
            <b/>
            <sz val="9"/>
            <color indexed="81"/>
            <rFont val="Tahoma"/>
            <family val="2"/>
          </rPr>
          <t>Michael:</t>
        </r>
        <r>
          <rPr>
            <sz val="9"/>
            <color indexed="81"/>
            <rFont val="Tahoma"/>
            <family val="2"/>
          </rPr>
          <t xml:space="preserve">
guess (wasn’t recorded anywhere)</t>
        </r>
      </text>
    </comment>
    <comment ref="AB201" authorId="4" shapeId="0" xr:uid="{ACD7E829-462C-487B-AB41-C1C6709FD38B}">
      <text>
        <r>
          <rPr>
            <b/>
            <sz val="9"/>
            <color indexed="81"/>
            <rFont val="Tahoma"/>
            <family val="2"/>
          </rPr>
          <t>Michael:</t>
        </r>
        <r>
          <rPr>
            <sz val="9"/>
            <color indexed="81"/>
            <rFont val="Tahoma"/>
            <family val="2"/>
          </rPr>
          <t xml:space="preserve">
guess (wasn’t recorded anywhere)</t>
        </r>
      </text>
    </comment>
    <comment ref="AC201" authorId="4" shapeId="0" xr:uid="{1077FDD3-B9F8-4DD1-A8CE-2755D9847582}">
      <text>
        <r>
          <rPr>
            <b/>
            <sz val="9"/>
            <color indexed="81"/>
            <rFont val="Tahoma"/>
            <family val="2"/>
          </rPr>
          <t>Michael:</t>
        </r>
        <r>
          <rPr>
            <sz val="9"/>
            <color indexed="81"/>
            <rFont val="Tahoma"/>
            <family val="2"/>
          </rPr>
          <t xml:space="preserve">
guess (wasn’t recorded anywhere)</t>
        </r>
      </text>
    </comment>
    <comment ref="H202"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02"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02"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02"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02"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02"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04"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07"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08" authorId="1" shapeId="0" xr:uid="{FED028E2-8B14-4CBF-B01D-9E86BED8AF1F}">
      <text>
        <r>
          <rPr>
            <b/>
            <sz val="9"/>
            <color indexed="81"/>
            <rFont val="Tahoma"/>
            <family val="2"/>
          </rPr>
          <t>Young:</t>
        </r>
        <r>
          <rPr>
            <sz val="9"/>
            <color indexed="81"/>
            <rFont val="Tahoma"/>
            <family val="2"/>
          </rPr>
          <t xml:space="preserve">
Proportion of ffcfw that is fat</t>
        </r>
      </text>
    </comment>
    <comment ref="H209"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10"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11"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12"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14"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15"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17"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29"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36"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40"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41" authorId="1" shapeId="0" xr:uid="{8389528A-0509-47BB-BC7F-F4BAAA353686}">
      <text>
        <r>
          <rPr>
            <b/>
            <sz val="9"/>
            <color indexed="81"/>
            <rFont val="Tahoma"/>
            <family val="2"/>
          </rPr>
          <t>Young:</t>
        </r>
        <r>
          <rPr>
            <sz val="9"/>
            <color indexed="81"/>
            <rFont val="Tahoma"/>
            <family val="2"/>
          </rPr>
          <t xml:space="preserve">
Proportion of ffcfw that is fat</t>
        </r>
      </text>
    </comment>
    <comment ref="H242"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43"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52" authorId="0" shapeId="0" xr:uid="{FDDF4474-C52D-43EB-8C87-BDC86F5A106F}">
      <text>
        <r>
          <rPr>
            <b/>
            <sz val="9"/>
            <color indexed="81"/>
            <rFont val="Tahoma"/>
            <family val="2"/>
          </rPr>
          <t>Michael Young:</t>
        </r>
        <r>
          <rPr>
            <sz val="9"/>
            <color indexed="81"/>
            <rFont val="Tahoma"/>
            <family val="2"/>
          </rPr>
          <t xml:space="preserve">
select one</t>
        </r>
      </text>
    </comment>
    <comment ref="J258"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58"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58"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58"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58"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58"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58"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58"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58"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58"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58"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58"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58"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58"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58"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58"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58"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58"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58"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58"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58"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58"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58"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58"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58"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58"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58"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58"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H267"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74"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75" authorId="4"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75" authorId="4"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75" authorId="4"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75" authorId="4"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75" authorId="4"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75" authorId="4"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75" authorId="4"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75" authorId="4"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289"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298"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03" authorId="4"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12" authorId="4"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12" authorId="4"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12" authorId="4"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12" authorId="4"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12" authorId="4"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09"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1"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391"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391"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396" authorId="3" shapeId="0" xr:uid="{578AE65F-B633-4412-9B88-B7C90F70A56F}">
      <text>
        <r>
          <rPr>
            <b/>
            <sz val="9"/>
            <color indexed="81"/>
            <rFont val="Tahoma"/>
            <family val="2"/>
          </rPr>
          <t>MRY:</t>
        </r>
        <r>
          <rPr>
            <sz val="9"/>
            <color indexed="81"/>
            <rFont val="Tahoma"/>
            <family val="2"/>
          </rPr>
          <t xml:space="preserve">
National Invertory Report</t>
        </r>
      </text>
    </comment>
    <comment ref="K396"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0.28 is consistent with bgw of 1.5 (k=0.4) and allowance for HAF for the intake (0.3)</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12" authorId="0" shapeId="0" xr:uid="{3280C0AE-CDFF-4FD8-8FCA-6C61CF766A33}">
      <text>
        <r>
          <rPr>
            <sz val="9"/>
            <color indexed="81"/>
            <rFont val="Tahoma"/>
            <family val="2"/>
          </rPr>
          <t>Changed to reflect TechPaper 2012</t>
        </r>
      </text>
    </comment>
    <comment ref="R22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7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9" authorId="0" shapeId="0" xr:uid="{57EA48AA-B9EA-4551-ABBE-5C2B22E71F51}">
      <text>
        <r>
          <rPr>
            <sz val="9"/>
            <color indexed="81"/>
            <rFont val="Tahoma"/>
            <family val="2"/>
          </rPr>
          <t>Changed to reflect TechPaper 2012</t>
        </r>
      </text>
    </comment>
    <comment ref="K288" authorId="0" shapeId="0" xr:uid="{A2D23543-7AC1-4EEB-8F8C-19DA9E400D61}">
      <text>
        <r>
          <rPr>
            <sz val="9"/>
            <color indexed="81"/>
            <rFont val="Tahoma"/>
            <family val="2"/>
          </rPr>
          <t>Changed to reflect TechPaper 2012</t>
        </r>
      </text>
    </comment>
    <comment ref="H30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30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30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3" authorId="0" shapeId="0" xr:uid="{7A0FC09E-D42D-4D25-9DE2-01FC24D0AFAC}">
      <text>
        <r>
          <rPr>
            <b/>
            <sz val="9"/>
            <color indexed="81"/>
            <rFont val="Tahoma"/>
            <family val="2"/>
          </rPr>
          <t>John:</t>
        </r>
        <r>
          <rPr>
            <sz val="9"/>
            <color indexed="81"/>
            <rFont val="Tahoma"/>
            <family val="2"/>
          </rPr>
          <t xml:space="preserve">
SCA 1990, quoting AWTA used 0.6 </t>
        </r>
      </text>
    </comment>
    <comment ref="K306" authorId="0" shapeId="0" xr:uid="{14BDC626-70DE-4BA0-9191-52C34C5A0EA1}">
      <text>
        <r>
          <rPr>
            <sz val="9"/>
            <color indexed="81"/>
            <rFont val="Tahoma"/>
            <family val="2"/>
          </rPr>
          <t>This value was 0.05 but changed to 0.1 for SA adjustment</t>
        </r>
      </text>
    </comment>
    <comment ref="U30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1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1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21"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5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7"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81"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81"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81"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8"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5"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6"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11"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6"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7"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7"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9"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9" authorId="0" shapeId="0" xr:uid="{F89E41B2-86F9-4C36-A863-0FEEACCDDB20}">
      <text>
        <r>
          <rPr>
            <b/>
            <sz val="9"/>
            <color indexed="81"/>
            <rFont val="Tahoma"/>
            <family val="2"/>
          </rPr>
          <t>John:</t>
        </r>
        <r>
          <rPr>
            <sz val="9"/>
            <color indexed="81"/>
            <rFont val="Tahoma"/>
            <family val="2"/>
          </rPr>
          <t xml:space="preserve">
If yearlings are mated</t>
        </r>
      </text>
    </comment>
    <comment ref="AD439"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7"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42"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42"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50"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51"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7"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40"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3"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60"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4"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7"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12"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7" authorId="0" shapeId="0" xr:uid="{D3B8B49A-747D-4E30-8A26-FDD375A723AC}">
      <text>
        <r>
          <rPr>
            <b/>
            <sz val="9"/>
            <color indexed="81"/>
            <rFont val="Tahoma"/>
            <family val="2"/>
          </rPr>
          <t>John:</t>
        </r>
        <r>
          <rPr>
            <sz val="9"/>
            <color indexed="81"/>
            <rFont val="Tahoma"/>
            <family val="2"/>
          </rPr>
          <t xml:space="preserve">
3yo dam with a scanning % of 137%</t>
        </r>
      </text>
    </comment>
    <comment ref="I821"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21"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9"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70"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01"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7"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9"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5"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7"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22"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3"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30"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7"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4"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5"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2"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3"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71"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8" authorId="0" shapeId="0" xr:uid="{4489C792-1EE6-4CEF-9B8E-0328AD65B31E}">
      <text>
        <r>
          <rPr>
            <b/>
            <sz val="9"/>
            <color indexed="81"/>
            <rFont val="Tahoma"/>
            <family val="2"/>
          </rPr>
          <t>John:</t>
        </r>
        <r>
          <rPr>
            <sz val="9"/>
            <color indexed="81"/>
            <rFont val="Tahoma"/>
            <family val="2"/>
          </rPr>
          <t xml:space="preserve">
From LMAT</t>
        </r>
      </text>
    </comment>
    <comment ref="U1280"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80" authorId="0" shapeId="0" xr:uid="{C228E3A4-7E5C-416C-BFB2-AFFCFB91913E}">
      <text>
        <r>
          <rPr>
            <b/>
            <sz val="9"/>
            <color indexed="81"/>
            <rFont val="Tahoma"/>
            <family val="2"/>
          </rPr>
          <t>John:</t>
        </r>
        <r>
          <rPr>
            <sz val="9"/>
            <color indexed="81"/>
            <rFont val="Tahoma"/>
            <family val="2"/>
          </rPr>
          <t xml:space="preserve">
FOO is ns in LMAT</t>
        </r>
      </text>
    </comment>
    <comment ref="Y12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82"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3"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9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3"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<sst xmlns="http://schemas.openxmlformats.org/spreadsheetml/2006/main" count="5613" uniqueCount="3270">
  <si>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</si>
  <si>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</si>
  <si>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</si>
  <si>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</si>
  <si>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</si>
  <si>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</si>
  <si>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</si>
  <si>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</si>
  <si>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</si>
  <si>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</si>
  <si>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</si>
  <si>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</si>
  <si>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</si>
  <si>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</si>
  <si>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</si>
  <si>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</si>
  <si>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</si>
  <si>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</si>
  <si>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</si>
  <si>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</si>
  <si>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</si>
  <si>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</si>
  <si>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</si>
  <si>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</si>
  <si>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</si>
  <si>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</si>
  <si>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</si>
  <si>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</si>
  <si>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</si>
  <si>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</si>
  <si>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</si>
  <si>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</si>
  <si>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</si>
  <si>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</si>
  <si>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</si>
  <si>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</si>
  <si>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</si>
  <si>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</si>
  <si>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</si>
  <si>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</si>
  <si>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</si>
  <si>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</si>
  <si>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</si>
  <si>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</si>
  <si>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</si>
  <si>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</si>
  <si>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</si>
  <si>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</si>
  <si>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</si>
  <si>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</si>
  <si>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</si>
  <si>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</si>
  <si>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</si>
  <si>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</si>
  <si>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</si>
  <si>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</si>
  <si>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</si>
  <si>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</si>
  <si>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</si>
  <si>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</si>
  <si>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</si>
  <si>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</si>
  <si>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</si>
  <si>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</si>
  <si>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</si>
  <si>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</si>
  <si>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</si>
  <si>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</si>
  <si>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</si>
  <si>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</si>
  <si>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</si>
  <si>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</si>
  <si>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</si>
  <si>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</si>
  <si>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</si>
  <si>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</si>
  <si>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</si>
  <si>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</si>
  <si>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</si>
  <si>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</si>
  <si>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</si>
  <si>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</si>
  <si>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</si>
  <si>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</si>
  <si>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</si>
  <si>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</si>
  <si>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</si>
  <si>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</si>
  <si>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</si>
  <si>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</si>
  <si>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</si>
  <si>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</si>
  <si>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</si>
  <si>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</si>
  <si>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</si>
  <si>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</si>
  <si>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</si>
  <si>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</si>
  <si>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</si>
  <si>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</si>
  <si>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</si>
  <si>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</si>
  <si>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</si>
  <si>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</si>
  <si>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</si>
  <si>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</si>
  <si>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</si>
  <si>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</si>
  <si>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</si>
  <si>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</si>
  <si>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</si>
  <si>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</si>
  <si>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</si>
  <si>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</si>
  <si>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</si>
  <si>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</si>
  <si>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</si>
  <si>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</si>
  <si>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</si>
  <si>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</si>
  <si>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</si>
  <si>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</si>
  <si>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</si>
  <si>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</si>
  <si>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</si>
  <si>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</si>
  <si>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</si>
  <si>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</si>
  <si>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</si>
  <si>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</si>
  <si>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</si>
  <si>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</si>
  <si>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</si>
  <si>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</si>
  <si>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</si>
  <si>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</si>
  <si>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</si>
  <si>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</si>
  <si>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</si>
  <si>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</si>
  <si>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</si>
  <si>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</si>
  <si>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</si>
  <si>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</si>
  <si>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</si>
  <si>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</si>
  <si>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</si>
  <si>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</si>
  <si>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</si>
  <si>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</si>
  <si>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</si>
  <si>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</si>
  <si>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</si>
  <si>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</si>
  <si>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</si>
  <si>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</si>
  <si>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</si>
  <si>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</si>
  <si>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</si>
  <si>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</si>
  <si>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</si>
  <si>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</si>
  <si>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</si>
  <si>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</si>
  <si>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</si>
  <si>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</si>
  <si>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</si>
  <si>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</si>
  <si>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</si>
  <si>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</si>
  <si>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</si>
  <si>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</si>
  <si>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</si>
  <si>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</si>
  <si>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</si>
  <si>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</si>
  <si>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</si>
  <si>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</si>
  <si>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</si>
  <si>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</si>
  <si>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</si>
  <si>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</si>
  <si>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</si>
  <si>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</si>
  <si>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</si>
  <si>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</si>
  <si>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</si>
  <si>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</si>
  <si>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</si>
  <si>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</si>
  <si>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</si>
  <si>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</si>
  <si>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</si>
  <si>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</si>
  <si>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</si>
  <si>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</si>
  <si>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</si>
  <si>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</si>
  <si>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</si>
  <si>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</si>
  <si>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</si>
  <si>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</si>
  <si>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</si>
  <si>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</si>
  <si>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</si>
  <si>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</si>
  <si>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</si>
  <si>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</si>
  <si>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</si>
  <si>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</si>
  <si>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</si>
  <si>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</si>
  <si>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</si>
  <si>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</si>
  <si>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</si>
  <si>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</si>
  <si>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</si>
  <si>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</si>
  <si>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</si>
  <si>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</si>
  <si>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</si>
  <si>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</si>
  <si>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</si>
  <si>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</si>
  <si>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</si>
  <si>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</si>
  <si>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</si>
  <si>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</si>
  <si>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</si>
  <si>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</si>
  <si>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</si>
  <si>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</si>
  <si>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</si>
  <si>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</si>
  <si>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</si>
  <si>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</si>
  <si>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</si>
  <si>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</si>
  <si>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</si>
  <si>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</si>
  <si>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</si>
  <si>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</si>
  <si>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</si>
  <si>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</si>
  <si>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</si>
  <si>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</si>
  <si>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</si>
  <si>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</si>
  <si>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</si>
  <si>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</si>
  <si>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</si>
  <si>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</si>
  <si>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</si>
  <si>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</si>
  <si>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</si>
  <si>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</si>
  <si>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</si>
  <si>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</si>
  <si>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</si>
  <si>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</si>
  <si>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</si>
  <si>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</si>
  <si>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</si>
  <si>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</si>
  <si>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</si>
  <si>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</si>
  <si>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</si>
  <si>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</si>
  <si>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</si>
  <si>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</si>
  <si>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</si>
  <si>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</si>
  <si>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</si>
  <si>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</si>
  <si>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</si>
  <si>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</si>
  <si>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</si>
  <si>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</si>
  <si>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</si>
  <si>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</si>
  <si>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</si>
  <si>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</si>
  <si>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</si>
  <si>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</si>
  <si>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</si>
  <si>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</si>
  <si>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</si>
  <si>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</si>
  <si>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</si>
  <si>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</si>
  <si>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</si>
  <si>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</si>
  <si>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</si>
  <si>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</si>
  <si>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</si>
  <si>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</si>
  <si>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</si>
  <si>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</si>
  <si>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</si>
  <si>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</si>
  <si>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</si>
  <si>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</si>
  <si>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</si>
  <si>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</si>
  <si>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</si>
  <si>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</si>
  <si>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</si>
  <si>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</si>
  <si>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</si>
  <si>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</si>
  <si>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</si>
  <si>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</si>
  <si>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</si>
  <si>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</si>
  <si>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</si>
  <si>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</si>
  <si>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</si>
  <si>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</si>
  <si>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</si>
  <si>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</si>
  <si>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</si>
  <si>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</si>
  <si>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</si>
  <si>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</si>
  <si>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</si>
  <si>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</si>
  <si>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</si>
  <si>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</si>
  <si>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</si>
  <si>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</si>
  <si>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</si>
  <si>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</si>
  <si>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</si>
  <si>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</si>
  <si>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</si>
  <si>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</si>
  <si>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</si>
  <si>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</si>
  <si>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</si>
  <si>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</si>
  <si>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</si>
  <si>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</si>
  <si>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</si>
  <si>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</si>
  <si>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</si>
  <si>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</si>
  <si>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</si>
  <si>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</si>
  <si>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</si>
  <si>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</si>
  <si>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</si>
  <si>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</si>
  <si>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</si>
  <si>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</si>
  <si>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</si>
  <si>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</si>
  <si>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</si>
  <si>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</si>
  <si>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</si>
  <si>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</si>
  <si>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</si>
  <si>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</si>
  <si>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</si>
  <si>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</si>
  <si>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</si>
  <si>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</si>
  <si>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</si>
  <si>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</si>
  <si>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</si>
  <si>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</si>
  <si>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</si>
  <si>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</si>
  <si>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</si>
  <si>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</si>
  <si>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</si>
  <si>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</si>
  <si>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</si>
  <si>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</si>
  <si>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</si>
  <si>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</si>
  <si>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</si>
  <si>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</si>
  <si>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</si>
  <si>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</si>
  <si>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</si>
  <si>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</si>
  <si>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</si>
  <si>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</si>
  <si>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</si>
  <si>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</si>
  <si>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</si>
  <si>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</si>
  <si>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</si>
  <si>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</si>
  <si>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</si>
  <si>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</si>
  <si>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</si>
  <si>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</si>
  <si>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</si>
  <si>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</si>
  <si>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</si>
  <si>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</si>
  <si>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</si>
  <si>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</si>
  <si>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</si>
  <si>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</si>
  <si>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</si>
  <si>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</si>
  <si>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</si>
  <si>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</si>
  <si>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</si>
  <si>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</si>
  <si>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</si>
  <si>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</si>
  <si>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</si>
  <si>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</si>
  <si>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</si>
  <si>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</si>
  <si>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</si>
  <si>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</si>
  <si>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</si>
  <si>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</si>
  <si>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</si>
  <si>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</si>
  <si>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</si>
  <si>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</si>
  <si>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</si>
  <si>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</si>
  <si>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</si>
  <si>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</si>
  <si>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</si>
  <si>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</si>
  <si>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</si>
  <si>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</si>
  <si>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</si>
  <si>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</si>
  <si>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</si>
  <si>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</si>
  <si>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</si>
  <si>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</si>
  <si>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</si>
  <si>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</si>
  <si>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</si>
  <si>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</si>
  <si>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</si>
  <si>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</si>
  <si>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</si>
  <si>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</si>
  <si>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</si>
  <si>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</si>
  <si>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</si>
  <si>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</si>
  <si>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</si>
  <si>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</si>
  <si>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</si>
  <si>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</si>
  <si>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</si>
  <si>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</si>
  <si>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</si>
  <si>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</si>
  <si>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</si>
  <si>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</si>
  <si>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</si>
  <si>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</si>
  <si>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</si>
  <si>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</si>
  <si>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</si>
  <si>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</si>
  <si>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</si>
  <si>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</si>
  <si>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</si>
  <si>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</si>
  <si>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</si>
  <si>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</si>
  <si>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</si>
  <si>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</si>
  <si>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</si>
  <si>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</si>
  <si>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</si>
  <si>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</si>
  <si>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</si>
  <si>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</si>
  <si>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</si>
  <si>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</si>
  <si>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</si>
  <si>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</si>
  <si>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</si>
  <si>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</si>
  <si>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</si>
  <si>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</si>
  <si>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</si>
  <si>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</si>
  <si>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</si>
  <si>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</si>
  <si>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</si>
  <si>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</si>
  <si>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</si>
  <si>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</si>
  <si>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</si>
  <si>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</si>
  <si>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</si>
  <si>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</si>
  <si>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</si>
  <si>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</si>
  <si>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</si>
  <si>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</si>
  <si>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</si>
  <si>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</si>
  <si>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</si>
  <si>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</si>
  <si>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</si>
  <si>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</si>
  <si>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</si>
  <si>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</si>
  <si>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</si>
  <si>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</si>
  <si>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</si>
  <si>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</si>
  <si>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</si>
  <si>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</si>
  <si>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</si>
  <si>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</si>
  <si>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</si>
  <si>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</si>
  <si>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</si>
  <si>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</si>
  <si>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</si>
  <si>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</si>
  <si>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</si>
  <si>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</si>
  <si>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</si>
  <si>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</si>
  <si>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</si>
  <si>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</si>
  <si>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</si>
  <si>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</si>
  <si>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</si>
  <si>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</si>
  <si>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</si>
  <si>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</si>
  <si>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</si>
  <si>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</si>
  <si>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</si>
  <si>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</si>
  <si>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</si>
  <si>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</si>
  <si>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</si>
  <si>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</si>
  <si>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</si>
  <si>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</si>
  <si>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</si>
  <si>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</si>
  <si>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</si>
  <si>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</si>
  <si>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</si>
  <si>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</si>
  <si>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</si>
  <si>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</si>
  <si>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</si>
  <si>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</si>
  <si>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</si>
  <si>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</si>
  <si>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</si>
  <si>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</si>
  <si>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</si>
  <si>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</si>
  <si>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</si>
  <si>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</si>
  <si>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</si>
  <si>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</si>
  <si>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</si>
  <si>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</si>
  <si>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</si>
  <si>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</si>
  <si>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</si>
  <si>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</si>
  <si>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</si>
  <si>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</si>
  <si>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</si>
  <si>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</si>
  <si>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</si>
  <si>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</si>
  <si>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</si>
  <si>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</si>
  <si>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</si>
  <si>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</si>
  <si>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</si>
  <si>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</si>
  <si>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</si>
  <si>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</si>
  <si>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</si>
  <si>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</si>
  <si>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</si>
  <si>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</si>
  <si>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</si>
  <si>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</si>
  <si>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</si>
  <si>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</si>
  <si>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</si>
  <si>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</si>
  <si>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</si>
  <si>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</si>
  <si>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</si>
  <si>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</si>
  <si>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</si>
  <si>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</si>
  <si>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</si>
  <si>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</si>
  <si>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</si>
  <si>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</si>
  <si>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</si>
  <si>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</si>
  <si>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</si>
  <si>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</si>
  <si>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</si>
  <si>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</si>
  <si>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</si>
  <si>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</si>
  <si>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</si>
  <si>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</si>
  <si>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</si>
  <si>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</si>
  <si>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</si>
  <si>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</si>
  <si>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</si>
  <si>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</si>
  <si>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</si>
  <si>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</si>
  <si>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</si>
  <si>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</si>
  <si>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</si>
  <si>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</si>
  <si>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</si>
  <si>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</si>
  <si>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</si>
  <si>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</si>
  <si>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</si>
  <si>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</si>
  <si>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</si>
  <si>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</si>
  <si>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</si>
  <si>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</si>
  <si>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</si>
  <si>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</si>
  <si>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</si>
  <si>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</si>
  <si>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</si>
  <si>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</si>
  <si>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</si>
  <si>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</si>
  <si>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</si>
  <si>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</si>
  <si>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</si>
  <si>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</si>
  <si>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</si>
  <si>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</si>
  <si>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</si>
  <si>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</si>
  <si>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</si>
  <si>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</si>
  <si>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</si>
  <si>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</si>
  <si>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</si>
  <si>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</si>
  <si>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</si>
  <si>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</si>
  <si>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</si>
  <si>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</si>
  <si>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</si>
  <si>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</si>
  <si>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</si>
  <si>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</si>
  <si>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</si>
  <si>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</si>
  <si>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</si>
  <si>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</si>
  <si>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</si>
  <si>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</si>
  <si>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</si>
  <si>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</si>
  <si>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</si>
  <si>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</si>
  <si>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</si>
  <si>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</si>
  <si>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</si>
  <si>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</si>
  <si>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</si>
  <si>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</si>
  <si>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</si>
  <si>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</si>
  <si>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</si>
  <si>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</si>
  <si>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</si>
  <si>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</si>
  <si>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</si>
  <si>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</si>
  <si>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</si>
  <si>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</si>
  <si>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</si>
  <si>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</si>
  <si>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</si>
  <si>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</si>
  <si>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</si>
  <si>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</si>
  <si>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</si>
  <si>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</si>
  <si>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</si>
  <si>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</si>
  <si>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</si>
  <si>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</si>
  <si>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</si>
  <si>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</si>
  <si>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</si>
  <si>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</si>
  <si>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</si>
  <si>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</si>
  <si>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</si>
  <si>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</si>
  <si>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</si>
  <si>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</si>
  <si>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</si>
  <si>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</si>
  <si>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</si>
  <si>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</si>
  <si>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</si>
  <si>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</si>
  <si>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</si>
  <si>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</si>
  <si>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</si>
  <si>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</si>
  <si>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</si>
  <si>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</si>
  <si>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</si>
  <si>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</si>
  <si>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</si>
  <si>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</si>
  <si>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</si>
  <si>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</si>
  <si>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</si>
  <si>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</si>
  <si>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</si>
  <si>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</si>
  <si>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</si>
  <si>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</si>
  <si>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</si>
  <si>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</si>
  <si>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</si>
  <si>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</si>
  <si>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</si>
  <si>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</si>
  <si>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</si>
  <si>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</si>
  <si>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</si>
  <si>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</si>
  <si>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</si>
  <si>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</si>
  <si>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</si>
  <si>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</si>
  <si>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</si>
  <si>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</si>
  <si>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</si>
  <si>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</si>
  <si>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</si>
  <si>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</si>
  <si>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</si>
  <si>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</si>
  <si>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</si>
  <si>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</si>
  <si>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</si>
  <si>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</si>
  <si>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</si>
  <si>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</si>
  <si>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</si>
  <si>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</si>
  <si>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</si>
  <si>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</si>
  <si>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</si>
  <si>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</si>
  <si>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</si>
  <si>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</si>
  <si>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</si>
  <si>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</si>
  <si>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</si>
  <si>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</si>
  <si>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</si>
  <si>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</si>
  <si>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</si>
  <si>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</si>
  <si>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</si>
  <si>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</si>
  <si>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</si>
  <si>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</si>
  <si>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</si>
  <si>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</si>
  <si>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</si>
  <si>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</si>
  <si>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</si>
  <si>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</si>
  <si>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</si>
  <si>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</si>
  <si>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</si>
  <si>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</si>
  <si>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</si>
  <si>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</si>
  <si>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</si>
  <si>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</si>
  <si>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</si>
  <si>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</si>
  <si>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</si>
  <si>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</si>
  <si>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</si>
  <si>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</si>
  <si>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</si>
  <si>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</si>
  <si>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</si>
  <si>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</si>
  <si>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</si>
  <si>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</si>
  <si>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</si>
  <si>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</si>
  <si>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</si>
  <si>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</si>
  <si>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</si>
  <si>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</si>
  <si>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</si>
  <si>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</si>
  <si>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</si>
  <si>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</si>
  <si>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</si>
  <si>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</si>
  <si>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</si>
  <si>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</si>
  <si>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</si>
  <si>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</si>
  <si>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</si>
  <si>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</si>
  <si>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</si>
  <si>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</si>
  <si>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</si>
  <si>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</si>
  <si>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</si>
  <si>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</si>
  <si>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</si>
  <si>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</si>
  <si>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</si>
  <si>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</si>
  <si>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</si>
  <si>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</si>
  <si>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</si>
  <si>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</si>
  <si>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</si>
  <si>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</si>
  <si>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</si>
  <si>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</si>
  <si>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</si>
  <si>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</si>
  <si>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</si>
  <si>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</si>
  <si>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</si>
  <si>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</si>
  <si>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</si>
  <si>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</si>
  <si>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</si>
  <si>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</si>
  <si>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</si>
  <si>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</si>
  <si>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</si>
  <si>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</si>
  <si>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</si>
  <si>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</si>
  <si>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</si>
  <si>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</si>
  <si>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</si>
  <si>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</si>
  <si>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</si>
  <si>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</si>
  <si>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</si>
  <si>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</si>
  <si>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</si>
  <si>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</si>
  <si>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</si>
  <si>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</si>
  <si>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</si>
  <si>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</si>
  <si>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</si>
  <si>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</si>
  <si>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</si>
  <si>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</si>
  <si>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</si>
  <si>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</si>
  <si>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</si>
  <si>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</si>
  <si>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</si>
  <si>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</si>
  <si>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</si>
  <si>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</si>
  <si>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</si>
  <si>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</si>
  <si>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</si>
  <si>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</si>
  <si>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</si>
  <si>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</si>
  <si>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</si>
  <si>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</si>
  <si>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</si>
  <si>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</si>
  <si>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</si>
  <si>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</si>
  <si>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</si>
  <si>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</si>
  <si>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</si>
  <si>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</si>
  <si>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</si>
  <si>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</si>
  <si>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</si>
  <si>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</si>
  <si>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</si>
  <si>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</si>
  <si>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</si>
  <si>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</si>
  <si>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</si>
  <si>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</si>
  <si>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</si>
  <si>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</si>
  <si>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</si>
  <si>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</si>
  <si>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</si>
  <si>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</si>
  <si>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</si>
  <si>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</si>
  <si>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</si>
  <si>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</si>
  <si>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</si>
  <si>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</si>
  <si>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</si>
  <si>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</si>
  <si>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</si>
  <si>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</si>
  <si>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</si>
  <si>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</si>
  <si>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</si>
  <si>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</si>
  <si>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</si>
  <si>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</si>
  <si>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</si>
  <si>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</si>
  <si>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</si>
  <si>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</si>
  <si>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</si>
  <si>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</si>
  <si>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</si>
  <si>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</si>
  <si>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</si>
  <si>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</si>
  <si>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</si>
  <si>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</si>
  <si>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</si>
  <si>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</si>
  <si>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</si>
  <si>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</si>
  <si>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</si>
  <si>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</si>
  <si>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</si>
  <si>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</si>
  <si>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</si>
  <si>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</si>
  <si>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</si>
  <si>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</si>
  <si>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</si>
  <si>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</si>
  <si>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</si>
  <si>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</si>
  <si>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</si>
  <si>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</si>
  <si>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</si>
  <si>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</si>
  <si>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</si>
  <si>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</si>
  <si>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</si>
  <si>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</si>
  <si>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</si>
  <si>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</si>
  <si>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</si>
  <si>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</si>
  <si>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</si>
  <si>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</si>
  <si>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</si>
  <si>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</si>
  <si>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</si>
  <si>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</si>
  <si>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</si>
  <si>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</si>
  <si>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</si>
  <si>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</si>
  <si>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</si>
  <si>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</si>
  <si>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</si>
  <si>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</si>
  <si>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</si>
  <si>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</si>
  <si>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</si>
  <si>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</si>
  <si>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</si>
  <si>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</si>
  <si>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</si>
  <si>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</si>
  <si>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</si>
  <si>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</si>
  <si>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</si>
  <si>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</si>
  <si>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</si>
  <si>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</si>
  <si>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</si>
  <si>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</si>
  <si>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</si>
  <si>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</si>
  <si>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</si>
  <si>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</si>
  <si>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</si>
  <si>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</si>
  <si>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</si>
  <si>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</si>
  <si>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</si>
  <si>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</si>
  <si>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</si>
  <si>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</si>
  <si>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</si>
  <si>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</si>
  <si>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</si>
  <si>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</si>
  <si>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</si>
  <si>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</si>
  <si>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</si>
  <si>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</si>
  <si>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</si>
  <si>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</si>
  <si>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</si>
  <si>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</si>
  <si>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</si>
  <si>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</si>
  <si>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</si>
  <si>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</si>
  <si>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</si>
  <si>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</si>
  <si>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</si>
  <si>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</si>
  <si>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</si>
  <si>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</si>
  <si>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</si>
  <si>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</si>
  <si>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</si>
  <si>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</si>
  <si>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</si>
  <si>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</si>
  <si>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</si>
  <si>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</si>
  <si>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</si>
  <si>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</si>
  <si>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</si>
  <si>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</si>
  <si>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</si>
  <si>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</si>
  <si>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</si>
  <si>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</si>
  <si>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</si>
  <si>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</si>
  <si>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</si>
  <si>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</si>
  <si>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</si>
  <si>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</si>
  <si>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</si>
  <si>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</si>
  <si>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</si>
  <si>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</si>
  <si>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</si>
  <si>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</si>
  <si>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</si>
  <si>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</si>
  <si>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</si>
  <si>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</si>
  <si>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</si>
  <si>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</si>
  <si>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</si>
  <si>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</si>
  <si>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</si>
  <si>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</si>
  <si>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</si>
  <si>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</si>
  <si>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</si>
  <si>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</si>
  <si>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</si>
  <si>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</si>
  <si>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</si>
  <si>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</si>
  <si>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</si>
  <si>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</si>
  <si>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</si>
  <si>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</si>
  <si>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</si>
  <si>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</si>
  <si>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</si>
  <si>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</si>
  <si>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</si>
  <si>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</si>
  <si>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</si>
  <si>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</si>
  <si>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</si>
  <si>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</si>
  <si>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</si>
  <si>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</si>
  <si>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</si>
  <si>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</si>
  <si>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</si>
  <si>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</si>
  <si>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</si>
  <si>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</si>
  <si>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</si>
  <si>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</si>
  <si>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</si>
  <si>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</si>
  <si>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</si>
  <si>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</si>
  <si>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</si>
  <si>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</si>
  <si>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</si>
  <si>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</si>
  <si>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</si>
  <si>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</si>
  <si>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</si>
  <si>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</si>
  <si>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</si>
  <si>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</si>
  <si>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</si>
  <si>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</si>
  <si>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</si>
  <si>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</si>
  <si>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</si>
  <si>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</si>
  <si>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</si>
  <si>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</si>
  <si>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</si>
  <si>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</si>
  <si>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</si>
  <si>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</si>
  <si>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</si>
  <si>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</si>
  <si>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</si>
  <si>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</si>
  <si>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</si>
  <si>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</si>
  <si>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</si>
  <si>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</si>
  <si>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</si>
  <si>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</si>
  <si>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</si>
  <si>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</si>
  <si>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</si>
  <si>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</si>
  <si>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</si>
  <si>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</si>
  <si>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</si>
  <si>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</si>
  <si>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</si>
  <si>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</si>
  <si>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</si>
  <si>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</si>
  <si>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</si>
  <si>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</si>
  <si>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</si>
  <si>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</si>
  <si>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</si>
  <si>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</si>
  <si>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</si>
  <si>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</si>
  <si>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</si>
  <si>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</si>
  <si>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</si>
  <si>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</si>
  <si>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</si>
  <si>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</si>
  <si>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</si>
  <si>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</si>
  <si>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</si>
  <si>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</si>
  <si>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</si>
  <si>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</si>
  <si>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</si>
  <si>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</si>
  <si>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</si>
  <si>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</si>
  <si>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</si>
  <si>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</si>
  <si>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</si>
  <si>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</si>
  <si>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</si>
  <si>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</si>
  <si>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</si>
  <si>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</si>
  <si>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</si>
  <si>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</si>
  <si>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</si>
  <si>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</si>
  <si>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</si>
  <si>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</si>
  <si>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</si>
  <si>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</si>
  <si>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</si>
  <si>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</si>
  <si>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</si>
  <si>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</si>
  <si>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</si>
  <si>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</si>
  <si>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</si>
  <si>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</si>
  <si>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</si>
  <si>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</si>
  <si>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</si>
  <si>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</si>
  <si>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</si>
  <si>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</si>
  <si>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</si>
  <si>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</si>
  <si>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</si>
  <si>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</si>
  <si>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</si>
  <si>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</si>
  <si>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</si>
  <si>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</si>
  <si>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</si>
  <si>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</si>
  <si>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</si>
  <si>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</si>
  <si>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</si>
  <si>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</si>
  <si>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</si>
  <si>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</si>
  <si>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</si>
  <si>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</si>
  <si>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</si>
  <si>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</si>
  <si>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</si>
  <si>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</si>
  <si>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</si>
  <si>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</si>
  <si>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</si>
  <si>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</si>
  <si>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</si>
  <si>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</si>
  <si>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</si>
  <si>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</si>
  <si>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</si>
  <si>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</si>
  <si>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</si>
  <si>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</si>
  <si>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</si>
  <si>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</si>
  <si>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</si>
  <si>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</si>
  <si>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</si>
  <si>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</si>
  <si>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</si>
  <si>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</si>
  <si>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</si>
  <si>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</si>
  <si>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</si>
  <si>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</si>
  <si>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</si>
  <si>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</si>
  <si>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</si>
  <si>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</si>
  <si>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</si>
  <si>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</si>
  <si>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</si>
  <si>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</si>
  <si>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</si>
  <si>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</si>
  <si>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</si>
  <si>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</si>
  <si>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</si>
  <si>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</si>
  <si>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</si>
  <si>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</si>
  <si>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</si>
  <si>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</si>
  <si>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</si>
  <si>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</si>
  <si>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</si>
  <si>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</si>
  <si>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</si>
  <si>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</si>
  <si>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</si>
  <si>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</si>
  <si>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</si>
  <si>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</si>
  <si>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</si>
  <si>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</si>
  <si>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</si>
  <si>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</si>
  <si>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</si>
  <si>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</si>
  <si>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</si>
  <si>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</si>
  <si>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</si>
  <si>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</si>
  <si>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</si>
  <si>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</si>
  <si>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</si>
  <si>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</si>
  <si>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</si>
  <si>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</si>
  <si>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</si>
  <si>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</si>
  <si>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</si>
  <si>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</si>
  <si>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</si>
  <si>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</si>
  <si>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</si>
  <si>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</si>
  <si>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</si>
  <si>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</si>
  <si>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</si>
  <si>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</si>
  <si>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</si>
  <si>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</si>
  <si>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</si>
  <si>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</si>
  <si>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</si>
  <si>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</si>
  <si>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</si>
  <si>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</si>
  <si>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</si>
  <si>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</si>
  <si>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</si>
  <si>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</si>
  <si>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</si>
  <si>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</si>
  <si>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</si>
  <si>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</si>
  <si>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</si>
  <si>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</si>
  <si>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</si>
  <si>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</si>
  <si>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</si>
  <si>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</si>
  <si>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</si>
  <si>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</si>
  <si>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</si>
  <si>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</si>
  <si>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</si>
  <si>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</si>
  <si>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</si>
  <si>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</si>
  <si>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</si>
  <si>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</si>
  <si>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</si>
  <si>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</si>
  <si>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</si>
  <si>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</si>
  <si>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</si>
  <si>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</si>
  <si>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</si>
  <si>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</si>
  <si>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</si>
  <si>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</si>
  <si>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</si>
  <si>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</si>
  <si>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</si>
  <si>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</si>
  <si>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</si>
  <si>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</si>
  <si>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</si>
  <si>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</si>
  <si>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</si>
  <si>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</si>
  <si>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</si>
  <si>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</si>
  <si>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</si>
  <si>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</si>
  <si>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</si>
  <si>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</si>
  <si>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</si>
  <si>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</si>
  <si>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</si>
  <si>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</si>
  <si>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</si>
  <si>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</si>
  <si>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</si>
  <si>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</si>
  <si>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</si>
  <si>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</si>
  <si>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</si>
  <si>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</si>
  <si>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</si>
  <si>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</si>
  <si>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</si>
  <si>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</si>
  <si>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</si>
  <si>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</si>
  <si>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</si>
  <si>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</si>
  <si>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</si>
  <si>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</si>
  <si>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</si>
  <si>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</si>
  <si>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</si>
  <si>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</si>
  <si>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</si>
  <si>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</si>
  <si>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</si>
  <si>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</si>
  <si>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</si>
  <si>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</si>
  <si>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</si>
  <si>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</si>
  <si>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</si>
  <si>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</si>
  <si>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</si>
  <si>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</si>
  <si>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</si>
  <si>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</si>
  <si>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</si>
  <si>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</si>
  <si>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</si>
  <si>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</si>
  <si>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</si>
  <si>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</si>
  <si>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</si>
  <si>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</si>
  <si>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</si>
  <si>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</si>
  <si>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</si>
  <si>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</si>
  <si>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</si>
  <si>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</si>
  <si>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</si>
  <si>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</si>
  <si>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</si>
  <si>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</si>
  <si>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</si>
  <si>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</si>
  <si>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</si>
  <si>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</si>
  <si>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</si>
  <si>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</si>
  <si>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</si>
  <si>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</si>
  <si>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</si>
  <si>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</si>
  <si>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</si>
  <si>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</si>
  <si>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</si>
  <si>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</si>
  <si>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</si>
  <si>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</si>
  <si>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</si>
  <si>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</si>
  <si>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</si>
  <si>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</si>
  <si>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</si>
  <si>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</si>
  <si>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</si>
  <si>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</si>
  <si>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</si>
  <si>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</si>
  <si>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</si>
  <si>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</si>
  <si>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</si>
  <si>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</si>
  <si>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</si>
  <si>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</si>
  <si>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</si>
  <si>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</si>
  <si>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</si>
  <si>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</si>
  <si>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</si>
  <si>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</si>
  <si>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</si>
  <si>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</si>
  <si>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</si>
  <si>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</si>
  <si>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</si>
  <si>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</si>
  <si>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</si>
  <si>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</si>
  <si>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</si>
  <si>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</si>
  <si>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</si>
  <si>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</si>
  <si>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</si>
  <si>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</si>
  <si>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</si>
  <si>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</si>
  <si>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</si>
  <si>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</si>
  <si>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</si>
  <si>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</si>
  <si>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</si>
  <si>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</si>
  <si>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</si>
  <si>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</si>
  <si>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</si>
  <si>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</si>
  <si>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</si>
  <si>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</si>
  <si>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</si>
  <si>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</si>
  <si>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</si>
  <si>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</si>
  <si>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</si>
  <si>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</si>
  <si>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</si>
  <si>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</si>
  <si>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</si>
  <si>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</si>
  <si>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</si>
  <si>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</si>
  <si>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</si>
  <si>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</si>
  <si>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</si>
  <si>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</si>
  <si>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</si>
  <si>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</si>
  <si>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</si>
  <si>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</si>
  <si>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</si>
  <si>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</si>
  <si>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</si>
  <si>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</si>
  <si>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</si>
  <si>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</si>
  <si>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</si>
  <si>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</si>
  <si>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</si>
  <si>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</si>
  <si>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</si>
  <si>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</si>
  <si>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</si>
  <si>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</si>
  <si>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</si>
  <si>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</si>
  <si>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</si>
  <si>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</si>
  <si>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</si>
  <si>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</si>
  <si>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</si>
  <si>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</si>
  <si>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</si>
  <si>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</si>
  <si>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</si>
  <si>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</si>
  <si>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</si>
  <si>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</si>
  <si>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</si>
  <si>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</si>
  <si>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</si>
  <si>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</si>
  <si>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</si>
  <si>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</si>
  <si>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</si>
  <si>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</si>
  <si>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</si>
  <si>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</si>
  <si>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</si>
  <si>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</si>
  <si>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</si>
  <si>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</si>
  <si>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</si>
  <si>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</si>
  <si>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</si>
  <si>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</si>
  <si>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</si>
  <si>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</si>
  <si>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</si>
  <si>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</si>
  <si>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</si>
  <si>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</si>
  <si>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</si>
  <si>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</si>
  <si>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</si>
  <si>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</si>
  <si>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</si>
  <si>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</si>
  <si>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</si>
  <si>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</si>
  <si>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</si>
  <si>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</si>
  <si>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</si>
  <si>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</si>
  <si>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</si>
  <si>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</si>
  <si>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</si>
  <si>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</si>
  <si>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</si>
  <si>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</si>
  <si>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</si>
  <si>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</si>
  <si>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</si>
  <si>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</si>
  <si>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</si>
  <si>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</si>
  <si>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</si>
  <si>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</si>
  <si>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</si>
  <si>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</si>
  <si>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</si>
  <si>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</si>
  <si>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</si>
  <si>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</si>
  <si>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</si>
  <si>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</si>
  <si>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</si>
  <si>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</si>
  <si>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</si>
  <si>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</si>
  <si>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</si>
  <si>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</si>
  <si>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</si>
  <si>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</si>
  <si>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</si>
  <si>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</si>
  <si>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</si>
  <si>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</si>
  <si>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</si>
  <si>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</si>
  <si>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</si>
  <si>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</si>
  <si>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</si>
  <si>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</si>
  <si>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</si>
  <si>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</si>
  <si>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</si>
  <si>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</si>
  <si>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</si>
  <si>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</si>
  <si>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</si>
  <si>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</si>
  <si>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</si>
  <si>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</si>
  <si>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</si>
  <si>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</si>
  <si>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</si>
  <si>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</si>
  <si>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</si>
  <si>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</si>
  <si>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</si>
  <si>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</si>
  <si>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</si>
  <si>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</si>
  <si>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</si>
  <si>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</si>
  <si>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</si>
  <si>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</si>
  <si>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</si>
  <si>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</si>
  <si>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</si>
  <si>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</si>
  <si>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</si>
  <si>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</si>
  <si>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</si>
  <si>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</si>
  <si>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</si>
  <si>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</si>
  <si>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</si>
  <si>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</si>
  <si>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</si>
  <si>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</si>
  <si>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</si>
  <si>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</si>
  <si>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</si>
  <si>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</si>
  <si>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</si>
  <si>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</si>
  <si>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</si>
  <si>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</si>
  <si>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</si>
  <si>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</si>
  <si>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</si>
  <si>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</si>
  <si>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</si>
  <si>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</si>
  <si>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</si>
  <si>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</si>
  <si>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</si>
  <si>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</si>
  <si>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</si>
  <si>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</si>
  <si>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</si>
  <si>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</si>
  <si>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</si>
  <si>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</si>
  <si>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</si>
  <si>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</si>
  <si>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</si>
  <si>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</si>
  <si>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</si>
  <si>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</si>
  <si>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</si>
  <si>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</si>
  <si>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</si>
  <si>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</si>
  <si>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</si>
  <si>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</si>
  <si>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</si>
  <si>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</si>
  <si>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</si>
  <si>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</si>
  <si>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</si>
  <si>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</si>
  <si>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</si>
  <si>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</si>
  <si>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</si>
  <si>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</si>
  <si>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</si>
  <si>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</si>
  <si>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</si>
  <si>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</si>
  <si>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</si>
  <si>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</si>
  <si>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</si>
  <si>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</si>
  <si>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</si>
  <si>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</si>
  <si>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</si>
  <si>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</si>
  <si>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</si>
  <si>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</si>
  <si>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</si>
  <si>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</si>
  <si>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</si>
  <si>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</si>
  <si>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</si>
  <si>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</si>
  <si>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</si>
  <si>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</si>
  <si>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</si>
  <si>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</si>
  <si>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</si>
  <si>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</si>
  <si>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</si>
  <si>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</si>
  <si>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</si>
  <si>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</si>
  <si>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</si>
  <si>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</si>
  <si>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</si>
  <si>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</si>
  <si>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</si>
  <si>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</si>
  <si>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</si>
  <si>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</si>
  <si>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</si>
  <si>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</si>
  <si>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</si>
  <si>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</si>
  <si>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</si>
  <si>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</si>
  <si>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</si>
  <si>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</si>
  <si>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</si>
  <si>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</si>
  <si>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</si>
  <si>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</si>
  <si>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</si>
  <si>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</si>
  <si>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</si>
  <si>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</si>
  <si>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</si>
  <si>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</si>
  <si>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</si>
  <si>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</si>
  <si>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</si>
  <si>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</si>
  <si>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</si>
  <si>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</si>
  <si>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</si>
  <si>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</si>
  <si>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</si>
  <si>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</si>
  <si>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</si>
  <si>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</si>
  <si>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</si>
  <si>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</si>
  <si>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</si>
  <si>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</si>
  <si>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</si>
  <si>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</si>
  <si>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</si>
  <si>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</si>
  <si>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</si>
  <si>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</si>
  <si>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</si>
  <si>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</si>
  <si>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</si>
  <si>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</si>
  <si>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</si>
  <si>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</si>
  <si>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</si>
  <si>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</si>
  <si>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</si>
  <si>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</si>
  <si>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</si>
  <si>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</si>
  <si>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</si>
  <si>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</si>
  <si>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</si>
  <si>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</si>
  <si>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</si>
  <si>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</si>
  <si>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</si>
  <si>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</si>
  <si>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</si>
  <si>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</si>
  <si>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</si>
  <si>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</si>
  <si>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</si>
  <si>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</si>
  <si>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</si>
  <si>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</si>
  <si>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</si>
  <si>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</si>
  <si>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</si>
  <si>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</si>
  <si>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</si>
  <si>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</si>
  <si>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</si>
  <si>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</si>
  <si>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</si>
  <si>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</si>
  <si>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</si>
  <si>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</si>
  <si>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</si>
  <si>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</si>
  <si>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</si>
  <si>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</si>
  <si>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</si>
  <si>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</si>
  <si>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</si>
  <si>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</si>
  <si>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</si>
  <si>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</si>
  <si>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</si>
  <si>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</si>
  <si>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</si>
  <si>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</si>
  <si>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</si>
  <si>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</si>
  <si>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</si>
  <si>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</si>
  <si>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</si>
  <si>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</si>
  <si>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</si>
  <si>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</si>
  <si>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</si>
  <si>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</si>
  <si>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</si>
  <si>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</si>
  <si>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</si>
  <si>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</si>
  <si>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</si>
  <si>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</si>
  <si>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</si>
  <si>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</si>
  <si>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</si>
  <si>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</si>
  <si>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</si>
  <si>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</si>
  <si>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</si>
  <si>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</si>
  <si>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</si>
  <si>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</si>
  <si>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</si>
  <si>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</si>
  <si>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</si>
  <si>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</si>
  <si>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</si>
  <si>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</si>
  <si>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</si>
  <si>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</si>
  <si>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</si>
  <si>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</si>
  <si>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</si>
  <si>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</si>
  <si>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</si>
  <si>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</si>
  <si>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</si>
  <si>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</si>
  <si>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</si>
  <si>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</si>
  <si>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</si>
  <si>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</si>
  <si>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</si>
  <si>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</si>
  <si>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</si>
  <si>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</si>
  <si>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</si>
  <si>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</si>
  <si>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</si>
  <si>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</si>
  <si>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</si>
  <si>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</si>
  <si>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</si>
  <si>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</si>
  <si>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</si>
  <si>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</si>
  <si>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</si>
  <si>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</si>
  <si>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</si>
  <si>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</si>
  <si>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</si>
  <si>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</si>
  <si>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</si>
  <si>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</si>
  <si>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</si>
  <si>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</si>
  <si>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</si>
  <si>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</si>
  <si>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</si>
  <si>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</si>
  <si>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</si>
  <si>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</si>
  <si>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</si>
  <si>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</si>
  <si>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</si>
  <si>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</si>
  <si>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</si>
  <si>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</si>
  <si>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</si>
  <si>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</si>
  <si>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</si>
  <si>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</si>
  <si>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</si>
  <si>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</si>
  <si>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</si>
  <si>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</si>
  <si>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</si>
  <si>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</si>
  <si>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</si>
  <si>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</si>
  <si>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</si>
  <si>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</si>
  <si>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</si>
  <si>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</si>
  <si>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</si>
  <si>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</si>
  <si>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</si>
  <si>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</si>
  <si>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</si>
  <si>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</si>
  <si>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</si>
  <si>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</si>
  <si>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</si>
  <si>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</si>
  <si>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</si>
  <si>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</si>
  <si>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</si>
  <si>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</si>
  <si>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</si>
  <si>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</si>
  <si>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</si>
  <si>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</si>
  <si>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</si>
  <si>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</si>
  <si>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</si>
  <si>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</si>
  <si>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</si>
  <si>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</si>
  <si>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</si>
  <si>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</si>
  <si>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</si>
  <si>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</si>
  <si>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</si>
  <si>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</si>
  <si>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</si>
  <si>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</si>
  <si>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</si>
  <si>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</si>
  <si>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</si>
  <si>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</si>
  <si>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</si>
  <si>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</si>
  <si>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</si>
  <si>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</si>
  <si>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</si>
  <si>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</si>
  <si>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</si>
  <si>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</si>
  <si>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</si>
  <si>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</si>
  <si>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</si>
  <si>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</si>
  <si>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</si>
  <si>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</si>
  <si>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</si>
  <si>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</si>
  <si>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</si>
  <si>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</si>
  <si>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</si>
  <si>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</si>
  <si>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</si>
  <si>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</si>
  <si>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</si>
  <si>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</si>
  <si>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</si>
  <si>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</si>
  <si>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</si>
  <si>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</si>
  <si>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</si>
  <si>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</si>
  <si>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</si>
  <si>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</si>
  <si>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</si>
  <si>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</si>
  <si>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</si>
  <si>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</si>
  <si>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</si>
  <si>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</si>
  <si>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</si>
  <si>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</si>
  <si>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</si>
  <si>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</si>
  <si>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</si>
  <si>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</si>
  <si>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</si>
  <si>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</si>
  <si>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</si>
  <si>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</si>
  <si>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</si>
  <si>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</si>
  <si>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</si>
  <si>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</si>
  <si>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</si>
  <si>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</si>
  <si>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</si>
  <si>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</si>
  <si>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</si>
  <si>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</si>
  <si>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</si>
  <si>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</si>
  <si>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</si>
  <si>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</si>
  <si>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</si>
  <si>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</si>
  <si>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</si>
  <si>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</si>
  <si>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</si>
  <si>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</si>
  <si>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</si>
  <si>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</si>
  <si>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</si>
  <si>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</si>
  <si>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</si>
  <si>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</si>
  <si>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</si>
  <si>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</si>
  <si>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</si>
  <si>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</si>
  <si>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</si>
  <si>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</si>
  <si>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</si>
  <si>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</si>
  <si>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</si>
  <si>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</si>
  <si>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</si>
  <si>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</si>
  <si>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</si>
  <si>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</si>
  <si>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</si>
  <si>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</si>
  <si>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</si>
  <si>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</si>
  <si>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</si>
  <si>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</si>
  <si>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</si>
  <si>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</si>
  <si>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</si>
  <si>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</si>
  <si>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</si>
  <si>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</si>
  <si>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</si>
  <si>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</si>
  <si>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</si>
  <si>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</si>
  <si>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</si>
  <si>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</si>
  <si>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</si>
  <si>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</si>
  <si>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</si>
  <si>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</si>
  <si>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</si>
  <si>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</si>
  <si>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</si>
  <si>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</si>
  <si>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</si>
  <si>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</si>
  <si>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</si>
  <si>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</si>
  <si>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</si>
  <si>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</si>
  <si>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</si>
  <si>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</si>
  <si>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</si>
  <si>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</si>
  <si>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</si>
  <si>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</si>
  <si>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</si>
  <si>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</si>
  <si>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</si>
  <si>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</si>
  <si>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</si>
  <si>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</si>
  <si>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</si>
  <si>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</si>
  <si>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</si>
  <si>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</si>
  <si>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</si>
  <si>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</si>
  <si>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</si>
  <si>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</si>
  <si>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</si>
  <si>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</si>
  <si>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</si>
  <si>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</si>
  <si>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</si>
  <si>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</si>
  <si>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</si>
  <si>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</si>
  <si>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</si>
  <si>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</si>
  <si>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</si>
  <si>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</si>
  <si>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</si>
  <si>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</si>
  <si>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</si>
  <si>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</si>
  <si>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</si>
  <si>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</si>
  <si>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</si>
  <si>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</si>
  <si>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</si>
  <si>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</si>
  <si>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</si>
  <si>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</si>
  <si>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</si>
  <si>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</si>
  <si>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</si>
  <si>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</si>
  <si>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</si>
  <si>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</si>
  <si>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</si>
  <si>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</si>
  <si>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</si>
  <si>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</si>
  <si>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</si>
  <si>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</si>
  <si>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</si>
  <si>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</si>
  <si>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</si>
  <si>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</si>
  <si>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</si>
  <si>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</si>
  <si>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</si>
  <si>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</si>
  <si>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</si>
  <si>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</si>
  <si>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</si>
  <si>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</si>
  <si>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</si>
  <si>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</si>
  <si>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</si>
  <si>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</si>
  <si>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</si>
  <si>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</si>
  <si>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</si>
  <si>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</si>
  <si>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</si>
  <si>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</si>
  <si>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</si>
  <si>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</si>
  <si>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</si>
  <si>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</si>
  <si>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</si>
  <si>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</si>
  <si>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</si>
  <si>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</si>
  <si>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</si>
  <si>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</si>
  <si>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</si>
  <si>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</si>
  <si>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</si>
  <si>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</si>
  <si>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</si>
  <si>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</si>
  <si>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</si>
  <si>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</si>
  <si>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</si>
  <si>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</si>
  <si>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</si>
  <si>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</si>
  <si>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</si>
  <si>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</si>
  <si>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</si>
  <si>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</si>
  <si>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</si>
  <si>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</si>
  <si>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</si>
  <si>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</si>
  <si>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</si>
  <si>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</si>
  <si>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</si>
  <si>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</si>
  <si>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</si>
  <si>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</si>
  <si>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</si>
  <si>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</si>
  <si>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</si>
  <si>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</si>
  <si>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</si>
  <si>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</si>
  <si>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</si>
  <si>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</si>
  <si>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</si>
  <si>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</si>
  <si>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</si>
  <si>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</si>
  <si>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</si>
  <si>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</si>
  <si>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</si>
  <si>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</si>
  <si>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</si>
  <si>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</si>
  <si>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</si>
  <si>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</si>
  <si>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</si>
  <si>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</si>
  <si>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</si>
  <si>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</si>
  <si>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</si>
  <si>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</si>
  <si>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</si>
  <si>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</si>
  <si>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</si>
  <si>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</si>
  <si>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</si>
  <si>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</si>
  <si>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</si>
  <si>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</si>
  <si>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</si>
  <si>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</si>
  <si>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</si>
  <si>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</si>
  <si>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</si>
  <si>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</si>
  <si>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</si>
  <si>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</si>
  <si>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</si>
  <si>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</si>
  <si>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</si>
  <si>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</si>
  <si>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</si>
  <si>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</si>
  <si>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</si>
  <si>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</si>
  <si>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</si>
  <si>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</si>
  <si>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</si>
  <si>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</si>
  <si>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</si>
  <si>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</si>
  <si>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</si>
  <si>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</si>
  <si>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</si>
  <si>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</si>
  <si>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</si>
  <si>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</si>
  <si>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</si>
  <si>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</si>
  <si>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</si>
  <si>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</si>
  <si>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</si>
  <si>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</si>
  <si>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</si>
  <si>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</si>
  <si>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</si>
  <si>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</si>
  <si>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</si>
  <si>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</si>
  <si>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</si>
  <si>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</si>
  <si>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</si>
  <si>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</si>
  <si>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</si>
  <si>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</si>
  <si>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</si>
  <si>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</si>
  <si>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</si>
  <si>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</si>
  <si>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</si>
  <si>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</si>
  <si>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</si>
  <si>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</si>
  <si>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</si>
  <si>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</si>
  <si>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</si>
  <si>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</si>
  <si>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</si>
  <si>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</si>
  <si>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</si>
  <si>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</si>
  <si>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</si>
  <si>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</si>
  <si>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</si>
  <si>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</si>
  <si>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</si>
  <si>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</si>
  <si>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</si>
  <si>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</si>
  <si>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</si>
  <si>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</si>
  <si>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</si>
  <si>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</si>
  <si>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</si>
  <si>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</si>
  <si>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</si>
  <si>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</si>
  <si>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</si>
  <si>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</si>
  <si>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</si>
  <si>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</si>
  <si>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</si>
  <si>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</si>
  <si>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</si>
  <si>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</si>
  <si>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</si>
  <si>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</si>
  <si>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</si>
  <si>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</si>
  <si>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</si>
  <si>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</si>
  <si>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</si>
  <si>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</si>
  <si>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</si>
  <si>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</si>
  <si>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</si>
  <si>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</si>
  <si>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</si>
  <si>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</si>
  <si>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</si>
  <si>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</si>
  <si>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</si>
  <si>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</si>
  <si>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</si>
  <si>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</si>
  <si>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</si>
  <si>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</si>
  <si>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</si>
  <si>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</si>
  <si>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</si>
  <si>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</si>
  <si>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</si>
  <si>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</si>
  <si>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</si>
  <si>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</si>
  <si>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</si>
  <si>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</si>
  <si>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</si>
  <si>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</si>
  <si>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</si>
  <si>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</si>
  <si>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</si>
  <si>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</si>
  <si>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</si>
  <si>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</si>
  <si>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</si>
  <si>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</si>
  <si>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</si>
  <si>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</si>
  <si>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</si>
  <si>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</si>
  <si>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</si>
  <si>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</si>
  <si>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</si>
  <si>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</si>
  <si>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</si>
  <si>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</si>
  <si>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</si>
  <si>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</si>
  <si>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</si>
  <si>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</si>
  <si>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</si>
  <si>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</si>
  <si>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</si>
  <si>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</si>
  <si>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</si>
  <si>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</si>
  <si>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</si>
  <si>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</si>
  <si>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</si>
  <si>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</si>
  <si>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</si>
  <si>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</si>
  <si>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</si>
  <si>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</si>
  <si>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</si>
  <si>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</si>
  <si>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</si>
  <si>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</si>
  <si>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</si>
  <si>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</si>
  <si>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</si>
  <si>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</si>
  <si>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</si>
  <si>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</si>
  <si>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</si>
  <si>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</si>
  <si>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</si>
  <si>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</si>
  <si>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</si>
  <si>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</si>
  <si>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</si>
  <si>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</si>
  <si>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</si>
  <si>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</si>
  <si>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</si>
  <si>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</si>
  <si>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</si>
  <si>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</si>
  <si>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</si>
  <si>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</si>
  <si>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</si>
  <si>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</si>
  <si>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</si>
  <si>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</si>
  <si>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</si>
  <si>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</si>
  <si>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</si>
  <si>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</si>
  <si>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</si>
  <si>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</si>
  <si>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</si>
  <si>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</si>
  <si>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</si>
  <si>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</si>
  <si>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</si>
  <si>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</si>
  <si>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</si>
  <si>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</si>
  <si>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</si>
  <si>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</si>
  <si>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</si>
  <si>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</si>
  <si>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</si>
  <si>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</si>
  <si>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</si>
  <si>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</si>
  <si>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</si>
  <si>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</si>
  <si>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</si>
  <si>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</si>
  <si>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</si>
  <si>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</si>
  <si>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</si>
  <si>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</si>
  <si>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</si>
  <si>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</si>
  <si>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</si>
  <si>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</si>
  <si>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</si>
  <si>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</si>
  <si>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</si>
  <si>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</si>
  <si>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</si>
  <si>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</si>
  <si>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</si>
  <si>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</si>
  <si>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</si>
  <si>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</si>
  <si>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</si>
  <si>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</si>
  <si>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</si>
  <si>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</si>
  <si>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</si>
  <si>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</si>
  <si>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</si>
  <si>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</si>
  <si>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</si>
  <si>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</si>
  <si>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</si>
  <si>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</si>
  <si>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</si>
  <si>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</si>
  <si>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</si>
  <si>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</si>
  <si>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</si>
  <si>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</si>
  <si>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</si>
  <si>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</si>
  <si>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</si>
  <si>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</si>
  <si>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</si>
  <si>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</si>
  <si>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</si>
  <si>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</si>
  <si>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</si>
  <si>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</si>
  <si>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</si>
  <si>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</si>
  <si>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</si>
  <si>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</si>
  <si>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</si>
  <si>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</si>
  <si>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</si>
  <si>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</si>
  <si>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</si>
  <si>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</si>
  <si>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</si>
  <si>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</si>
  <si>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</si>
  <si>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</si>
  <si>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</si>
  <si>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</si>
  <si>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</si>
  <si>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</si>
  <si>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</si>
  <si>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</si>
  <si>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</si>
  <si>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</si>
  <si>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</si>
  <si>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</si>
  <si>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</si>
  <si>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</si>
  <si>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</si>
  <si>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</si>
  <si>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</si>
  <si>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</si>
  <si>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</si>
  <si>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</si>
  <si>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</si>
  <si>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</si>
  <si>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</si>
  <si>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</si>
  <si>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</si>
  <si>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</si>
  <si>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</si>
  <si>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</si>
  <si>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</si>
  <si>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</si>
  <si>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</si>
  <si>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</si>
  <si>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</si>
  <si>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</si>
  <si>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</si>
  <si>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</si>
  <si>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</si>
  <si>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</si>
  <si>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</si>
  <si>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</si>
  <si>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</si>
  <si>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</si>
  <si>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</si>
  <si>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</si>
  <si>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</si>
  <si>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</si>
  <si>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</si>
  <si>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</si>
  <si>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</si>
  <si>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</si>
  <si>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</si>
  <si>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</si>
  <si>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</si>
  <si>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</si>
  <si>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</si>
  <si>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</si>
  <si>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</si>
  <si>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</si>
  <si>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</si>
  <si>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</si>
  <si>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</si>
  <si>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</si>
  <si>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</si>
  <si>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</si>
  <si>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</si>
  <si>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</si>
  <si>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</si>
  <si>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</si>
  <si>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</si>
  <si>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</si>
  <si>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</si>
  <si>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</si>
  <si>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</si>
  <si>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</si>
  <si>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</si>
  <si>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</si>
  <si>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</si>
  <si>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</si>
  <si>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</si>
  <si>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</si>
  <si>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</si>
  <si>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</si>
  <si>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</si>
  <si>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</si>
  <si>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</si>
  <si>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</si>
  <si>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</si>
  <si>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</si>
  <si>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</si>
  <si>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</si>
  <si>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</si>
  <si>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</si>
  <si>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</si>
  <si>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</si>
  <si>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</si>
  <si>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</si>
  <si>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</si>
  <si>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</si>
  <si>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</si>
  <si>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</si>
  <si>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</si>
  <si>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</si>
  <si>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</si>
  <si>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</si>
  <si>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</si>
  <si>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</si>
  <si>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</si>
  <si>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</si>
  <si>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</si>
  <si>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</si>
  <si>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</si>
  <si>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</si>
  <si>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</si>
  <si>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</si>
  <si>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</si>
  <si>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</si>
  <si>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</si>
  <si>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</si>
  <si>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</si>
  <si>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</si>
  <si>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</si>
  <si>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</si>
  <si>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</si>
  <si>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</si>
  <si>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</si>
  <si>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</si>
  <si>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</si>
  <si>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</si>
  <si>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</si>
  <si>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</si>
  <si>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</si>
  <si>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</si>
  <si>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</si>
  <si>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</si>
  <si>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</si>
  <si>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</si>
  <si>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</si>
  <si>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</si>
  <si>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</si>
  <si>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</si>
  <si>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</si>
  <si>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</si>
  <si>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</si>
  <si>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</si>
  <si>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</si>
  <si>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</si>
  <si>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</si>
  <si>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</si>
  <si>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</si>
  <si>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</si>
  <si>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</si>
  <si>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</si>
  <si>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</si>
  <si>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</si>
  <si>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</si>
  <si>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</si>
  <si>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</si>
  <si>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</si>
  <si>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</si>
  <si>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</si>
  <si>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</si>
  <si>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</si>
  <si>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</si>
  <si>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</si>
  <si>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</si>
  <si>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</si>
  <si>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</si>
  <si>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</si>
  <si>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</si>
  <si>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</si>
  <si>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</si>
  <si>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</si>
  <si>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</si>
  <si>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</si>
  <si>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</si>
  <si>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</si>
  <si>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</si>
  <si>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</si>
  <si>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</si>
  <si>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</si>
  <si>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</si>
  <si>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</si>
  <si>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</si>
  <si>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</si>
  <si>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</si>
  <si>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</si>
  <si>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</si>
  <si>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</si>
  <si>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</si>
  <si>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</si>
  <si>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</si>
  <si>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</si>
  <si>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</si>
  <si>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</si>
  <si>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</si>
  <si>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</si>
  <si>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</si>
  <si>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</si>
  <si>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</si>
  <si>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</si>
  <si>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</si>
  <si>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</si>
  <si>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</si>
  <si>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</si>
  <si>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</si>
  <si>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</si>
  <si>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</si>
  <si>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</si>
  <si>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</si>
  <si>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</si>
  <si>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</si>
  <si>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</si>
  <si>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</si>
  <si>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</si>
  <si>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</si>
  <si>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</si>
  <si>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</si>
  <si>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</si>
  <si>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</si>
  <si>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</si>
  <si>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</si>
  <si>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</si>
  <si>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</si>
  <si>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</si>
  <si>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</si>
  <si>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</si>
  <si>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</si>
  <si>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</si>
  <si>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</si>
  <si>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</si>
  <si>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</si>
  <si>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</si>
  <si>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</si>
  <si>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</si>
  <si>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</si>
  <si>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</si>
  <si>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</si>
  <si>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</si>
  <si>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</si>
  <si>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</si>
  <si>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</si>
  <si>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</si>
  <si>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</si>
  <si>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</si>
  <si>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</si>
  <si>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</si>
  <si>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</si>
  <si>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</si>
  <si>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</si>
  <si>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</si>
  <si>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</si>
  <si>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</si>
  <si>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</si>
  <si>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</si>
  <si>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</si>
  <si>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</si>
  <si>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</si>
  <si>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</si>
  <si>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</si>
  <si>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</si>
  <si>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</si>
  <si>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</si>
  <si>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</si>
  <si>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</si>
  <si>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</si>
  <si>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</si>
  <si>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</si>
  <si>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</si>
  <si>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</si>
  <si>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</si>
  <si>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</si>
  <si>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</si>
  <si>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</si>
  <si>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</si>
  <si>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</si>
  <si>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</si>
  <si>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</si>
  <si>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</si>
  <si>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</si>
  <si>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</si>
  <si>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</si>
  <si>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</si>
  <si>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</si>
  <si>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</si>
  <si>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</si>
  <si>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</si>
  <si>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</si>
  <si>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</si>
  <si>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</si>
  <si>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</si>
  <si>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</si>
  <si>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</si>
  <si>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</si>
  <si>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</si>
  <si>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</si>
  <si>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</si>
  <si>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</si>
  <si>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</si>
  <si>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</si>
  <si>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</si>
  <si>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</si>
  <si>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</si>
  <si>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</si>
  <si>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</si>
  <si>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</si>
  <si>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</si>
  <si>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</si>
  <si>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</si>
  <si>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</si>
  <si>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</si>
  <si>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</si>
  <si>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</si>
  <si>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</si>
  <si>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</si>
  <si>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</si>
  <si>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</si>
  <si>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</si>
  <si>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</si>
  <si>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</si>
  <si>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</si>
  <si>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</si>
  <si>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</si>
  <si>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</si>
  <si>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</si>
  <si>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</si>
  <si>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</si>
  <si>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</si>
  <si>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</si>
  <si>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</si>
  <si>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</si>
  <si>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</si>
  <si>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</si>
  <si>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</si>
  <si>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</si>
  <si>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</si>
  <si>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</si>
  <si>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</si>
  <si>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</si>
  <si>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</si>
  <si>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</si>
  <si>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</si>
  <si>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</si>
  <si>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</si>
  <si>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</si>
  <si>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</si>
  <si>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</si>
  <si>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</si>
  <si>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</si>
  <si>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</si>
  <si>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</si>
  <si>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</si>
  <si>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</si>
  <si>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</si>
  <si>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</si>
  <si>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</si>
  <si>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</si>
  <si>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</si>
  <si>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</si>
  <si>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</si>
  <si>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</si>
  <si>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</si>
  <si>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</si>
  <si>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</si>
  <si>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</si>
  <si>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</si>
  <si>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</si>
  <si>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</si>
  <si>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</si>
  <si>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</si>
  <si>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</si>
  <si>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</si>
  <si>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</si>
  <si>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</si>
  <si>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</si>
  <si>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</si>
  <si>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</si>
  <si>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</si>
  <si>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</si>
  <si>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</si>
  <si>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</si>
  <si>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</si>
  <si>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</si>
  <si>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</si>
  <si>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</si>
  <si>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</si>
  <si>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</si>
  <si>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</si>
  <si>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</si>
  <si>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</si>
  <si>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</si>
  <si>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</si>
  <si>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</si>
  <si>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</si>
  <si>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</si>
  <si>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</si>
  <si>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</si>
  <si>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</si>
  <si>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</si>
  <si>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</si>
  <si>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</si>
  <si>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</si>
  <si>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</si>
  <si>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</si>
  <si>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</si>
  <si>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</si>
  <si>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</si>
  <si>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</si>
  <si>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</si>
  <si>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</si>
  <si>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</si>
  <si>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</si>
  <si>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</si>
  <si>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</si>
  <si>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</si>
  <si>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</si>
  <si>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</si>
  <si>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</si>
  <si>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</si>
  <si>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</si>
  <si>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</si>
  <si>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</si>
  <si>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</si>
  <si>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</si>
  <si>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</si>
  <si>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</si>
  <si>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</si>
  <si>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</si>
  <si>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</si>
  <si>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</si>
  <si>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</si>
  <si>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</si>
  <si>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</si>
  <si>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</si>
  <si>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</si>
  <si>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</si>
  <si>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</si>
  <si>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</si>
  <si>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</si>
  <si>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</si>
  <si>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</si>
  <si>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</si>
  <si>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</si>
  <si>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</si>
  <si>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</si>
  <si>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</si>
  <si>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</si>
  <si>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</si>
  <si>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</si>
  <si>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</si>
  <si>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</si>
  <si>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</si>
  <si>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</si>
  <si>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</si>
  <si>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</si>
  <si>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</si>
  <si>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</si>
  <si>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</si>
  <si>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</si>
  <si>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</si>
  <si>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</si>
  <si>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</si>
  <si>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</si>
  <si>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</si>
  <si>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</si>
  <si>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</si>
  <si>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</si>
  <si>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</si>
  <si>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</si>
  <si>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</si>
  <si>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</si>
  <si>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</si>
  <si>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</si>
  <si>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</si>
  <si>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</si>
  <si>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</si>
  <si>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</si>
  <si>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</si>
  <si>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</si>
  <si>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</si>
  <si>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</si>
  <si>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</si>
  <si>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</si>
  <si>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</si>
  <si>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</si>
  <si>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</si>
  <si>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</si>
  <si>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</si>
  <si>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</si>
  <si>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</si>
  <si>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</si>
  <si>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</si>
  <si>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</si>
  <si>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</si>
  <si>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</si>
  <si>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</si>
  <si>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</si>
  <si>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</si>
  <si>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</si>
  <si>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</si>
  <si>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</si>
  <si>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</si>
  <si>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</si>
  <si>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</si>
  <si>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</si>
  <si>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</si>
  <si>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</si>
  <si>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</si>
  <si>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</si>
  <si>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</si>
  <si>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</si>
  <si>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</si>
  <si>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</si>
  <si>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</si>
  <si>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</si>
  <si>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</si>
  <si>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</si>
  <si>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</si>
  <si>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</si>
  <si>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</si>
  <si>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</si>
  <si>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</si>
  <si>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</si>
  <si>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</si>
  <si>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</si>
  <si>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</si>
  <si>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</si>
  <si>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</si>
  <si>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</si>
  <si>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</si>
  <si>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</si>
  <si>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</si>
  <si>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</si>
  <si>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</si>
  <si>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</si>
  <si>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</si>
  <si>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</si>
  <si>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</si>
  <si>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</si>
  <si>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</si>
  <si>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</si>
  <si>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</si>
  <si>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</si>
  <si>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</si>
  <si>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</si>
  <si>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</si>
  <si>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</si>
  <si>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</si>
  <si>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</si>
  <si>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</si>
  <si>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</si>
  <si>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</si>
  <si>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</si>
  <si>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</si>
  <si>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</si>
  <si>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</si>
  <si>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</si>
  <si>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</si>
  <si>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</si>
  <si>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</si>
  <si>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</si>
  <si>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</si>
  <si>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</si>
  <si>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</si>
  <si>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</si>
  <si>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</si>
  <si>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</si>
  <si>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</si>
  <si>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</si>
  <si>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</si>
  <si>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</si>
  <si>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</si>
  <si>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</si>
  <si>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</si>
  <si>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</si>
  <si>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</si>
  <si>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</si>
  <si>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</si>
  <si>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</si>
  <si>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</si>
  <si>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</si>
  <si>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</si>
  <si>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</si>
  <si>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</si>
  <si>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</si>
  <si>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</si>
  <si>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</si>
  <si>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</si>
  <si>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</si>
  <si>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</si>
  <si>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</si>
  <si>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</si>
  <si>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</si>
  <si>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</si>
  <si>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</si>
  <si>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</si>
  <si>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</si>
  <si>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</si>
  <si>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</si>
  <si>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</si>
  <si>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</si>
  <si>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</si>
  <si>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</si>
  <si>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</si>
  <si>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</si>
  <si>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</si>
  <si>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</si>
  <si>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</si>
  <si>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</si>
  <si>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</si>
  <si>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</si>
  <si>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</si>
  <si>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</si>
  <si>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</si>
  <si>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</si>
  <si>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</si>
  <si>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</si>
  <si>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</si>
  <si>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</si>
  <si>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</si>
  <si>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</si>
  <si>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</si>
  <si>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</si>
  <si>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</si>
  <si>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</si>
  <si>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</si>
  <si>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</si>
  <si>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</si>
  <si>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</si>
  <si>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</si>
  <si>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</si>
  <si>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</si>
  <si>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</si>
  <si>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</si>
  <si>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</si>
  <si>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</si>
  <si>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</si>
  <si>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</si>
  <si>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</si>
  <si>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</si>
  <si>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</si>
  <si>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</si>
  <si>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</si>
  <si>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</si>
  <si>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</si>
  <si>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</si>
  <si>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</si>
  <si>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</si>
  <si>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</si>
  <si>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</si>
  <si>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</si>
  <si>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</si>
  <si>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</si>
  <si>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</si>
  <si>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</si>
  <si>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</si>
  <si>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</si>
  <si>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</si>
  <si>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</si>
  <si>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</si>
  <si>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</si>
  <si>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</si>
  <si>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</si>
  <si>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</si>
  <si>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</si>
  <si>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</si>
  <si>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</si>
  <si>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</si>
  <si>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</si>
  <si>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</si>
  <si>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</si>
  <si>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</si>
  <si>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</si>
  <si>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</si>
  <si>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</si>
  <si>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</si>
  <si>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</si>
  <si>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</si>
  <si>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</si>
  <si>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</si>
  <si>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</si>
  <si>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</si>
  <si>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</si>
  <si>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</si>
  <si>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</si>
  <si>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</si>
  <si>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</si>
  <si>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</si>
  <si>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</si>
  <si>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</si>
  <si>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</si>
  <si>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</si>
  <si>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</si>
  <si>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</si>
  <si>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</si>
  <si>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</si>
  <si>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</si>
  <si>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</si>
  <si>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</si>
  <si>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</si>
  <si>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</si>
  <si>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</si>
  <si>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</si>
  <si>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</si>
  <si>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</si>
  <si>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</si>
  <si>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</si>
  <si>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</si>
  <si>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</si>
  <si>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</si>
  <si>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</si>
  <si>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</si>
  <si>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</si>
  <si>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</si>
  <si>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</si>
  <si>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</si>
  <si>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</si>
  <si>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</si>
  <si>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</si>
  <si>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</si>
  <si>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</si>
  <si>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</si>
  <si>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</si>
  <si>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</si>
  <si>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</si>
  <si>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</si>
  <si>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</si>
  <si>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</si>
  <si>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</si>
  <si>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</si>
  <si>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</si>
  <si>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Milk production</t>
  </si>
  <si>
    <t>bgc: HP associated with gain in conceptus</t>
  </si>
  <si>
    <t>bgl: HP associated with gain in milk</t>
  </si>
  <si>
    <t>bgc exponent: HP associated with gain in conceptus</t>
  </si>
  <si>
    <t>bgc intercept: HP associated with gain in conceptus</t>
  </si>
  <si>
    <t>Heat production (or MR) &amp; LWC</t>
  </si>
  <si>
    <t>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</si>
  <si>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</si>
  <si>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bf: HP from body fat</t>
  </si>
  <si>
    <t>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</si>
  <si>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C(M,23)</t>
  </si>
  <si>
    <t>C(M,24)</t>
  </si>
  <si>
    <t>C(M,26)</t>
  </si>
  <si>
    <t>C(M,25)</t>
  </si>
  <si>
    <t>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</si>
  <si>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Graham et al. 1974</t>
  </si>
  <si>
    <t>Oddy et al. 2024</t>
  </si>
  <si>
    <t>ms</t>
  </si>
  <si>
    <t>energy</t>
  </si>
  <si>
    <t xml:space="preserve"> (MJ / t DM)</t>
  </si>
  <si>
    <t>cp</t>
  </si>
  <si>
    <t>dry matter content</t>
  </si>
  <si>
    <t>prop consumed</t>
  </si>
  <si>
    <t>prop consumed confinement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</si>
</sst>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2">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2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0" fontId="0" fillId="2" borderId="0" xfId="0" applyFill="1" applyAlignment="1">
      <alignment horizontal="center"/>
    </xf>
    <xf numFmtId="2" fontId="4" fillId="0" borderId="0" xfId="0" applyNumberFormat="1" applyFont="1" applyAlignment="1">
      <alignment horizontal="right" vertical="top" wrapText="1"/>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multiLvlStrRef>
              <c:f>Sheep!$AV$179:$AV$187</c:f>
            </c:multiLvlStrRef>
          </c:cat>
          <c:val>
            <c:numRef>
              <c:f>Sheep!$AW$179:$AW$187</c:f>
            </c:numRef>
          </c:val>
          <c:smooth val="0"/>
          <c:extLst>
            <c:ext xmlns:c16="http://schemas.microsoft.com/office/drawing/2014/chart" uri="{C3380CC4-5D6E-409C-BE32-E72D297353CC}">
              <c16:uniqueId val="{00000000-5E65-4C6D-A22F-B672FD853854}"/>
            </c:ext>
          </c:extLst>
        </c:ser>
        <c:ser>
          <c:idx val="1"/>
          <c:order val="1"/>
          <c:tx>
            <c:strRef>
              <c:f>Sheep!$AX$177:$AX$178</c:f>
              <c:strCache>
                <c:ptCount val="2"/>
                <c:pt idx="0">
                  <c:v>empty grid (1)</c:v>
                </c:pt>
                <c:pt idx="1">
                  <c:v>42%</c:v>
                </c:pt>
              </c:strCache>
              <c:extLst xmlns:c15="http://schemas.microsoft.com/office/drawing/2012/chart"/>
            </c:strRef>
          </c:tx>
          <c:spPr>
            <a:ln w="28575" cap="rnd">
              <a:solidFill>
                <a:schemeClr val="accent2"/>
              </a:solidFill>
              <a:round/>
            </a:ln>
            <a:effectLst/>
          </c:spPr>
          <c:marker>
            <c:symbol val="none"/>
          </c:marker>
          <c:cat>
            <c:multiLvlStrRef>
              <c:f>Sheep!$AV$179:$AV$187</c:f>
            </c:multiLvlStrRef>
          </c:cat>
          <c:val>
            <c:numRef>
              <c:f>Sheep!$AX$179:$AX$187</c:f>
              <c:extLst xmlns:c15="http://schemas.microsoft.com/office/drawing/2012/chart"/>
            </c:numRef>
          </c:val>
          <c:smooth val="0"/>
          <c:extLst xmlns:c15="http://schemas.microsoft.com/office/drawing/2012/chart">
            <c:ext xmlns:c16="http://schemas.microsoft.com/office/drawing/2014/chart" uri="{C3380CC4-5D6E-409C-BE32-E72D297353CC}">
              <c16:uniqueId val="{00000001-5E65-4C6D-A22F-B672FD853854}"/>
            </c:ext>
          </c:extLst>
        </c:ser>
        <c:ser>
          <c:idx val="2"/>
          <c:order val="2"/>
          <c:tx>
            <c:strRef>
              <c:f>Sheep!$AY$177:$AY$178</c:f>
              <c:strCache>
                <c:ptCount val="2"/>
                <c:pt idx="0">
                  <c:v>empty grid (2)</c:v>
                </c:pt>
                <c:pt idx="1">
                  <c:v>42%</c:v>
                </c:pt>
              </c:strCache>
              <c:extLst xmlns:c15="http://schemas.microsoft.com/office/drawing/2012/chart"/>
            </c:strRef>
          </c:tx>
          <c:spPr>
            <a:ln w="28575" cap="rnd">
              <a:solidFill>
                <a:schemeClr val="accent3"/>
              </a:solidFill>
              <a:round/>
            </a:ln>
            <a:effectLst/>
          </c:spPr>
          <c:marker>
            <c:symbol val="none"/>
          </c:marker>
          <c:cat>
            <c:multiLvlStrRef>
              <c:f>Sheep!$AV$179:$AV$187</c:f>
            </c:multiLvlStrRef>
          </c:cat>
          <c:val>
            <c:numRef>
              <c:f>Sheep!$AY$179:$AY$187</c:f>
              <c:extLst xmlns:c15="http://schemas.microsoft.com/office/drawing/2012/chart"/>
            </c:numRef>
          </c:val>
          <c:smooth val="0"/>
          <c:extLst xmlns:c15="http://schemas.microsoft.com/office/drawing/2012/chart">
            <c:ext xmlns:c16="http://schemas.microsoft.com/office/drawing/2014/chart" uri="{C3380CC4-5D6E-409C-BE32-E72D297353CC}">
              <c16:uniqueId val="{00000002-5E65-4C6D-A22F-B672FD853854}"/>
            </c:ext>
          </c:extLst>
        </c:ser>
        <c:ser>
          <c:idx val="3"/>
          <c:order val="3"/>
          <c:tx>
            <c:strRef>
              <c:f>Sheep!$AZ$177:$AZ$178</c:f>
              <c:strCache>
                <c:ptCount val="2"/>
                <c:pt idx="0">
                  <c:v>Yearling grid (3)</c:v>
                </c:pt>
                <c:pt idx="1">
                  <c:v>42%</c:v>
                </c:pt>
              </c:strCache>
              <c:extLst xmlns:c15="http://schemas.microsoft.com/office/drawing/2012/chart"/>
            </c:strRef>
          </c:tx>
          <c:spPr>
            <a:ln w="28575" cap="rnd">
              <a:solidFill>
                <a:schemeClr val="accent4"/>
              </a:solidFill>
              <a:round/>
            </a:ln>
            <a:effectLst/>
          </c:spPr>
          <c:marker>
            <c:symbol val="none"/>
          </c:marker>
          <c:cat>
            <c:multiLvlStrRef>
              <c:f>Sheep!$AV$179:$AV$187</c:f>
            </c:multiLvlStrRef>
          </c:cat>
          <c:val>
            <c:numRef>
              <c:f>Sheep!$AZ$179:$AZ$187</c:f>
              <c:extLst xmlns:c15="http://schemas.microsoft.com/office/drawing/2012/chart"/>
            </c:numRef>
          </c:val>
          <c:smooth val="0"/>
          <c:extLst xmlns:c15="http://schemas.microsoft.com/office/drawing/2012/chart">
            <c:ext xmlns:c16="http://schemas.microsoft.com/office/drawing/2014/chart" uri="{C3380CC4-5D6E-409C-BE32-E72D297353CC}">
              <c16:uniqueId val="{00000003-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multiLvlStrRef>
              <c:f>Sheep!$AV$179:$AV$187</c:f>
            </c:multiLvlStrRef>
          </c:cat>
          <c:val>
            <c:numRef>
              <c:f>Sheep!$BA$179:$BA$187</c:f>
            </c:numRef>
          </c:val>
          <c:smooth val="0"/>
          <c:extLst>
            <c:ext xmlns:c16="http://schemas.microsoft.com/office/drawing/2014/chart" uri="{C3380CC4-5D6E-409C-BE32-E72D297353CC}">
              <c16:uniqueId val="{00000004-5E65-4C6D-A22F-B672FD853854}"/>
            </c:ext>
          </c:extLst>
        </c:ser>
        <c:ser>
          <c:idx val="5"/>
          <c:order val="5"/>
          <c:tx>
            <c:strRef>
              <c:f>Sheep!$BB$177:$BB$178</c:f>
              <c:strCache>
                <c:ptCount val="2"/>
                <c:pt idx="0">
                  <c:v>Breeder grid (5)</c:v>
                </c:pt>
                <c:pt idx="1">
                  <c:v>100%</c:v>
                </c:pt>
              </c:strCache>
              <c:extLst xmlns:c15="http://schemas.microsoft.com/office/drawing/2012/chart"/>
            </c:strRef>
          </c:tx>
          <c:spPr>
            <a:ln w="28575" cap="rnd">
              <a:solidFill>
                <a:schemeClr val="accent6"/>
              </a:solidFill>
              <a:round/>
            </a:ln>
            <a:effectLst/>
          </c:spPr>
          <c:marker>
            <c:symbol val="none"/>
          </c:marker>
          <c:cat>
            <c:multiLvlStrRef>
              <c:f>Sheep!$AV$179:$AV$187</c:f>
            </c:multiLvlStrRef>
          </c:cat>
          <c:val>
            <c:numRef>
              <c:f>Sheep!$BB$179:$BB$187</c:f>
              <c:extLst xmlns:c15="http://schemas.microsoft.com/office/drawing/2012/chart"/>
            </c:numRef>
          </c:val>
          <c:smooth val="0"/>
          <c:extLst xmlns:c15="http://schemas.microsoft.com/office/drawing/2012/chart">
            <c:ext xmlns:c16="http://schemas.microsoft.com/office/drawing/2014/chart" uri="{C3380CC4-5D6E-409C-BE32-E72D297353CC}">
              <c16:uniqueId val="{00000005-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multiLvlStrRef>
              <c:f>Sheep!$AV$179:$AV$187</c:f>
            </c:multiLvlStrRef>
          </c:cat>
          <c:val>
            <c:numRef>
              <c:f>Sheep!$BC$179:$BC$187</c:f>
            </c:numRef>
          </c:val>
          <c:smooth val="0"/>
          <c:extLst>
            <c:ext xmlns:c16="http://schemas.microsoft.com/office/drawing/2014/chart" uri="{C3380CC4-5D6E-409C-BE32-E72D297353CC}">
              <c16:uniqueId val="{00000006-5E65-4C6D-A22F-B672FD853854}"/>
            </c:ext>
          </c:extLst>
        </c:ser>
        <c:ser>
          <c:idx val="7"/>
          <c:order val="7"/>
          <c:tx>
            <c:strRef>
              <c:f>Sheep!$BD$177:$BD$178</c:f>
              <c:strCache>
                <c:ptCount val="2"/>
                <c:pt idx="0">
                  <c:v>Ram grid (7)</c:v>
                </c:pt>
                <c:pt idx="1">
                  <c:v>42%</c:v>
                </c:pt>
              </c:strCache>
              <c:extLst xmlns:c15="http://schemas.microsoft.com/office/drawing/2012/chart"/>
            </c:strRef>
          </c:tx>
          <c:spPr>
            <a:ln w="28575" cap="rnd">
              <a:solidFill>
                <a:schemeClr val="accent2">
                  <a:lumMod val="60000"/>
                </a:schemeClr>
              </a:solidFill>
              <a:round/>
            </a:ln>
            <a:effectLst/>
          </c:spPr>
          <c:marker>
            <c:symbol val="none"/>
          </c:marker>
          <c:cat>
            <c:multiLvlStrRef>
              <c:f>Sheep!$AV$179:$AV$187</c:f>
            </c:multiLvlStrRef>
          </c:cat>
          <c:val>
            <c:numRef>
              <c:f>Sheep!$BD$179:$BD$187</c:f>
              <c:extLst xmlns:c15="http://schemas.microsoft.com/office/drawing/2012/chart"/>
            </c:numRef>
          </c:val>
          <c:smooth val="0"/>
          <c:extLst xmlns:c15="http://schemas.microsoft.com/office/drawing/2012/chart">
            <c:ext xmlns:c16="http://schemas.microsoft.com/office/drawing/2014/chart" uri="{C3380CC4-5D6E-409C-BE32-E72D297353CC}">
              <c16:uniqueId val="{00000007-5E65-4C6D-A22F-B672FD853854}"/>
            </c:ext>
          </c:extLst>
        </c:ser>
        <c:dLbls>
          <c:showLegendKey val="0"/>
          <c:showVal val="0"/>
          <c:showCatName val="0"/>
          <c:showSerName val="0"/>
          <c:showPercent val="0"/>
          <c:showBubbleSize val="0"/>
        </c:dLbls>
        <c:marker val="1"/>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64</xdr:row>
      <xdr:rowOff>47625</xdr:rowOff>
    </xdr:from>
    <xdr:to>
      <xdr:col>16</xdr:col>
      <xdr:colOff>226218</xdr:colOff>
      <xdr:row>70</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144</xdr:row>
      <xdr:rowOff>26987</xdr:rowOff>
    </xdr:from>
    <xdr:to>
      <xdr:col>13</xdr:col>
      <xdr:colOff>336549</xdr:colOff>
      <xdr:row>148</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young\Dropbox\Michael\Work-Uni-Coding\Models\AFO\ExcelInputs\Property_GSW.xlsx" TargetMode="External"/><Relationship Id="rId1" Type="http://schemas.openxmlformats.org/officeDocument/2006/relationships/externalLinkPath" Target="Property_GS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me"/>
      <sheetName val="General"/>
      <sheetName val="Sup Feed"/>
      <sheetName val="Crop"/>
      <sheetName val="Emissions"/>
      <sheetName val="CropGrazing"/>
      <sheetName val="Saltbush"/>
      <sheetName val="Periods"/>
      <sheetName val="Annual"/>
      <sheetName val="Understory"/>
      <sheetName val="Labour"/>
      <sheetName val="Sheep"/>
      <sheetName val="FeedSupply"/>
      <sheetName val="Mach"/>
      <sheetName val="CropResidue"/>
      <sheetName val="Finance"/>
      <sheetName val="MVEnergy"/>
    </sheetNames>
    <definedNames>
      <definedName name="i_startyear" refersTo="='Sheep'!$I$255" sheetId="11"/>
    </definedNames>
    <sheetDataSet>
      <sheetData sheetId="0" refreshError="1"/>
      <sheetData sheetId="1">
        <row r="17">
          <cell r="G17" t="str">
            <v>b</v>
          </cell>
        </row>
      </sheetData>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ow r="255">
          <cell r="I255">
            <v>2019</v>
          </cell>
        </row>
      </sheetData>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2214</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2358</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2366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2368</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2359</v>
      </c>
      <c r="G21" s="400" t="s">
        <v>2361</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2367</v>
      </c>
      <c r="G23" s="94"/>
      <c r="H23" s="94"/>
      <c r="I23" s="94"/>
      <c r="J23" s="94"/>
      <c r="K23" s="363" t="s">
        <v>2361</v>
      </c>
      <c r="L23" s="94"/>
      <c r="M23" s="94"/>
      <c r="N23" s="94"/>
      <c r="O23" s="94"/>
      <c r="P23" s="363" t="s">
        <v>2362</v>
      </c>
      <c r="Q23" s="94"/>
      <c r="R23" s="94"/>
      <c r="S23" s="94"/>
      <c r="T23" s="94"/>
      <c r="U23" s="94"/>
      <c r="V23" s="94"/>
      <c r="W23" s="73"/>
      <c r="X23" s="57"/>
      <c r="Y23" s="45"/>
      <c r="Z23" s="45"/>
      <c r="AA23" s="45"/>
    </row>
    <row r="24" spans="1:27" ht="56" outlineLevel="3" x14ac:dyDescent="0.35">
      <c r="A24" s="45"/>
      <c r="B24" s="54"/>
      <c r="C24" s="73"/>
      <c r="D24" s="73"/>
      <c r="E24" s="76"/>
      <c r="F24" s="367" t="s">
        <v>2360</v>
      </c>
      <c r="G24" s="366" t="s">
        <v>2361</v>
      </c>
      <c r="H24" s="76"/>
      <c r="I24" s="76"/>
      <c r="J24" s="76"/>
      <c r="K24" s="367" t="s">
        <v>2363</v>
      </c>
      <c r="L24" s="364">
        <v>5.0000000000000004E-6</v>
      </c>
      <c r="M24" s="76"/>
      <c r="N24" s="76"/>
      <c r="O24" s="76"/>
      <c r="P24" s="367" t="s">
        <v>2364</v>
      </c>
      <c r="Q24" s="364">
        <v>0.7</v>
      </c>
      <c r="R24" s="76"/>
      <c r="S24" s="76"/>
      <c r="T24" s="76"/>
      <c r="U24" s="76"/>
      <c r="V24" s="76"/>
      <c r="W24" s="73"/>
      <c r="X24" s="57"/>
      <c r="Y24" s="45"/>
      <c r="Z24" s="45"/>
      <c r="AA24" s="45"/>
    </row>
    <row r="25" spans="1:27" outlineLevel="3" x14ac:dyDescent="0.35">
      <c r="A25" s="45"/>
      <c r="B25" s="54"/>
      <c r="C25" s="73"/>
      <c r="D25" s="73"/>
      <c r="E25" s="76"/>
      <c r="F25" s="76"/>
      <c r="G25" s="366" t="s">
        <v>2362</v>
      </c>
      <c r="H25" s="76"/>
      <c r="I25" s="76"/>
      <c r="J25" s="76"/>
      <c r="K25" s="76"/>
      <c r="L25" s="76"/>
      <c r="M25" s="76"/>
      <c r="N25" s="76"/>
      <c r="O25" s="76"/>
      <c r="P25" s="76" t="s">
        <v>2365</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2334</v>
      </c>
      <c r="I36" t="s">
        <v>2335</v>
      </c>
      <c r="K36" t="s">
        <v>2745</v>
      </c>
      <c r="M36" t="s">
        <v>2746</v>
      </c>
    </row>
    <row r="37" spans="1:27" x14ac:dyDescent="0.35">
      <c r="G37" s="351" t="s">
        <v>4</v>
      </c>
      <c r="I37" s="351" t="s">
        <v>2336</v>
      </c>
      <c r="K37" s="351" t="s">
        <v>49</v>
      </c>
      <c r="M37" s="448" t="s">
        <v>2747</v>
      </c>
    </row>
    <row r="38" spans="1:27" x14ac:dyDescent="0.35">
      <c r="G38" s="352" t="s">
        <v>2328</v>
      </c>
      <c r="I38" s="352" t="s">
        <v>2604</v>
      </c>
      <c r="K38" s="352" t="s">
        <v>2955</v>
      </c>
      <c r="M38" s="449" t="s">
        <v>2748</v>
      </c>
    </row>
    <row r="39" spans="1:27" ht="43.5" x14ac:dyDescent="0.35">
      <c r="G39" s="352" t="s">
        <v>10</v>
      </c>
      <c r="I39" s="352" t="s">
        <v>4</v>
      </c>
      <c r="K39" s="352" t="s">
        <v>2737</v>
      </c>
      <c r="M39" s="449" t="s">
        <v>2749</v>
      </c>
    </row>
    <row r="40" spans="1:27" x14ac:dyDescent="0.35">
      <c r="G40" t="s">
        <v>67</v>
      </c>
      <c r="H40" s="356"/>
      <c r="I40" s="352" t="s">
        <v>2328</v>
      </c>
      <c r="K40" s="352" t="s">
        <v>2738</v>
      </c>
      <c r="M40" s="450" t="s">
        <v>2750</v>
      </c>
    </row>
    <row r="41" spans="1:27" x14ac:dyDescent="0.35">
      <c r="G41" s="352" t="s">
        <v>68</v>
      </c>
      <c r="I41" s="352" t="s">
        <v>10</v>
      </c>
      <c r="K41" s="353" t="s">
        <v>2956</v>
      </c>
    </row>
    <row r="42" spans="1:27" x14ac:dyDescent="0.35">
      <c r="G42" s="352" t="s">
        <v>69</v>
      </c>
      <c r="I42" s="352" t="s">
        <v>67</v>
      </c>
    </row>
    <row r="43" spans="1:27" x14ac:dyDescent="0.35">
      <c r="G43" s="352" t="s">
        <v>7</v>
      </c>
      <c r="I43" s="352" t="s">
        <v>68</v>
      </c>
    </row>
    <row r="44" spans="1:27" x14ac:dyDescent="0.35">
      <c r="G44" s="352" t="s">
        <v>3263</v>
      </c>
      <c r="I44" s="352" t="s">
        <v>2337</v>
      </c>
    </row>
    <row r="45" spans="1:27" x14ac:dyDescent="0.35">
      <c r="G45" s="352" t="s">
        <v>6</v>
      </c>
      <c r="I45" s="352" t="s">
        <v>114</v>
      </c>
    </row>
    <row r="46" spans="1:27" x14ac:dyDescent="0.35">
      <c r="G46" s="352" t="s">
        <v>2332</v>
      </c>
      <c r="I46" s="352" t="s">
        <v>69</v>
      </c>
    </row>
    <row r="47" spans="1:27" x14ac:dyDescent="0.35">
      <c r="G47" s="352" t="s">
        <v>79</v>
      </c>
      <c r="I47" s="352" t="s">
        <v>7</v>
      </c>
    </row>
    <row r="48" spans="1:27" x14ac:dyDescent="0.35">
      <c r="G48" s="352" t="s">
        <v>9</v>
      </c>
      <c r="I48" s="352" t="s">
        <v>121</v>
      </c>
    </row>
    <row r="49" spans="7:9" x14ac:dyDescent="0.35">
      <c r="G49" s="352" t="s">
        <v>2331</v>
      </c>
      <c r="I49" s="352" t="s">
        <v>3263</v>
      </c>
    </row>
    <row r="50" spans="7:9" x14ac:dyDescent="0.35">
      <c r="G50" s="352" t="s">
        <v>70</v>
      </c>
      <c r="I50" s="352" t="s">
        <v>6</v>
      </c>
    </row>
    <row r="51" spans="7:9" x14ac:dyDescent="0.35">
      <c r="G51" s="352" t="s">
        <v>5</v>
      </c>
      <c r="I51" s="352" t="s">
        <v>2332</v>
      </c>
    </row>
    <row r="52" spans="7:9" x14ac:dyDescent="0.35">
      <c r="G52" s="352" t="s">
        <v>2330</v>
      </c>
      <c r="I52" s="352" t="s">
        <v>79</v>
      </c>
    </row>
    <row r="53" spans="7:9" x14ac:dyDescent="0.35">
      <c r="G53" s="352" t="s">
        <v>8</v>
      </c>
      <c r="I53" s="352" t="s">
        <v>9</v>
      </c>
    </row>
    <row r="54" spans="7:9" x14ac:dyDescent="0.35">
      <c r="G54" s="353" t="s">
        <v>2329</v>
      </c>
      <c r="I54" s="352" t="s">
        <v>2331</v>
      </c>
    </row>
    <row r="55" spans="7:9" x14ac:dyDescent="0.35">
      <c r="I55" s="352" t="s">
        <v>2338</v>
      </c>
    </row>
    <row r="56" spans="7:9" x14ac:dyDescent="0.35">
      <c r="I56" s="352" t="s">
        <v>2590</v>
      </c>
    </row>
    <row r="57" spans="7:9" x14ac:dyDescent="0.35">
      <c r="I57" s="352" t="s">
        <v>2339</v>
      </c>
    </row>
    <row r="58" spans="7:9" x14ac:dyDescent="0.35">
      <c r="I58" s="352" t="s">
        <v>113</v>
      </c>
    </row>
    <row r="59" spans="7:9" x14ac:dyDescent="0.35">
      <c r="I59" s="352" t="s">
        <v>2340</v>
      </c>
    </row>
    <row r="60" spans="7:9" x14ac:dyDescent="0.35">
      <c r="I60" s="352" t="s">
        <v>115</v>
      </c>
    </row>
    <row r="61" spans="7:9" x14ac:dyDescent="0.35">
      <c r="I61" s="352" t="s">
        <v>70</v>
      </c>
    </row>
    <row r="62" spans="7:9" x14ac:dyDescent="0.35">
      <c r="I62" s="352" t="s">
        <v>5</v>
      </c>
    </row>
    <row r="63" spans="7:9" x14ac:dyDescent="0.35">
      <c r="I63" s="352" t="s">
        <v>2330</v>
      </c>
    </row>
    <row r="64" spans="7:9" x14ac:dyDescent="0.35">
      <c r="I64" s="352" t="s">
        <v>2341</v>
      </c>
    </row>
    <row r="65" spans="9:9" x14ac:dyDescent="0.35">
      <c r="I65" s="352" t="s">
        <v>116</v>
      </c>
    </row>
    <row r="66" spans="9:9" x14ac:dyDescent="0.35">
      <c r="I66" s="352" t="s">
        <v>8</v>
      </c>
    </row>
    <row r="67" spans="9:9" x14ac:dyDescent="0.35">
      <c r="I67" s="353" t="s">
        <v>2329</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6"/>
  <sheetViews>
    <sheetView topLeftCell="A39" workbookViewId="0">
      <selection activeCell="B16" sqref="B16"/>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3062</v>
      </c>
    </row>
    <row r="9" spans="1:3" x14ac:dyDescent="0.35">
      <c r="A9" s="354" t="str">
        <f>General!G37</f>
        <v>b</v>
      </c>
      <c r="B9">
        <v>680</v>
      </c>
      <c r="C9" s="1" t="s">
        <v>2933</v>
      </c>
    </row>
    <row r="10" spans="1:3" x14ac:dyDescent="0.35">
      <c r="A10" s="354" t="str">
        <f>General!G38</f>
        <v>bd</v>
      </c>
      <c r="B10">
        <v>680</v>
      </c>
      <c r="C10" s="1" t="s">
        <v>2933</v>
      </c>
    </row>
    <row r="11" spans="1:3" x14ac:dyDescent="0.35">
      <c r="A11" s="354" t="str">
        <f>General!G39</f>
        <v>f</v>
      </c>
      <c r="B11">
        <v>680</v>
      </c>
      <c r="C11" s="1" t="s">
        <v>2933</v>
      </c>
    </row>
    <row r="12" spans="1:3" x14ac:dyDescent="0.35">
      <c r="A12" s="354" t="str">
        <f>General!G40</f>
        <v>h</v>
      </c>
      <c r="B12">
        <v>680</v>
      </c>
      <c r="C12" s="1" t="s">
        <v>2933</v>
      </c>
    </row>
    <row r="13" spans="1:3" x14ac:dyDescent="0.35">
      <c r="A13" s="354" t="str">
        <f>General!G41</f>
        <v>i</v>
      </c>
      <c r="B13">
        <v>680</v>
      </c>
      <c r="C13" s="1" t="s">
        <v>2933</v>
      </c>
    </row>
    <row r="14" spans="1:3" x14ac:dyDescent="0.35">
      <c r="A14" s="354" t="str">
        <f>General!G42</f>
        <v>k</v>
      </c>
      <c r="B14">
        <v>680</v>
      </c>
      <c r="C14" s="1" t="s">
        <v>2933</v>
      </c>
    </row>
    <row r="15" spans="1:3" x14ac:dyDescent="0.35">
      <c r="A15" s="354" t="str">
        <f>General!G43</f>
        <v>l</v>
      </c>
      <c r="B15">
        <v>680</v>
      </c>
      <c r="C15" s="1" t="s">
        <v>2933</v>
      </c>
    </row>
    <row r="16" spans="1:3" x14ac:dyDescent="0.35">
      <c r="A16" s="354" t="str">
        <f>General!G44</f>
        <v>ms</v>
      </c>
      <c r="B16">
        <v>680</v>
      </c>
      <c r="C16" s="1" t="s">
        <v>2933</v>
      </c>
    </row>
    <row r="17" spans="1:3" x14ac:dyDescent="0.35">
      <c r="A17" s="354" t="str">
        <f>General!G45</f>
        <v>o</v>
      </c>
      <c r="B17">
        <v>680</v>
      </c>
      <c r="C17" s="1" t="s">
        <v>2933</v>
      </c>
    </row>
    <row r="18" spans="1:3" x14ac:dyDescent="0.35">
      <c r="A18" s="354" t="str">
        <f>General!G46</f>
        <v>od</v>
      </c>
      <c r="B18">
        <v>680</v>
      </c>
      <c r="C18" s="1" t="s">
        <v>2933</v>
      </c>
    </row>
    <row r="19" spans="1:3" x14ac:dyDescent="0.35">
      <c r="A19" s="354" t="str">
        <f>General!G47</f>
        <v>of</v>
      </c>
      <c r="B19">
        <v>680</v>
      </c>
      <c r="C19" s="1" t="s">
        <v>2933</v>
      </c>
    </row>
    <row r="20" spans="1:3" x14ac:dyDescent="0.35">
      <c r="A20" s="354" t="str">
        <f>General!G48</f>
        <v>r</v>
      </c>
      <c r="B20">
        <v>680</v>
      </c>
      <c r="C20" s="1" t="s">
        <v>2933</v>
      </c>
    </row>
    <row r="21" spans="1:3" x14ac:dyDescent="0.35">
      <c r="A21" s="354" t="str">
        <f>General!G49</f>
        <v>rd</v>
      </c>
      <c r="B21">
        <v>680</v>
      </c>
      <c r="C21" s="1" t="s">
        <v>2933</v>
      </c>
    </row>
    <row r="22" spans="1:3" x14ac:dyDescent="0.35">
      <c r="A22" s="354" t="str">
        <f>General!G50</f>
        <v>v</v>
      </c>
      <c r="B22">
        <v>680</v>
      </c>
      <c r="C22" s="1" t="s">
        <v>2933</v>
      </c>
    </row>
    <row r="23" spans="1:3" x14ac:dyDescent="0.35">
      <c r="A23" s="354" t="str">
        <f>General!G51</f>
        <v>w</v>
      </c>
      <c r="B23">
        <v>680</v>
      </c>
      <c r="C23" s="1" t="s">
        <v>2933</v>
      </c>
    </row>
    <row r="24" spans="1:3" x14ac:dyDescent="0.35">
      <c r="A24" s="354" t="str">
        <f>General!G52</f>
        <v>wd</v>
      </c>
      <c r="B24">
        <v>680</v>
      </c>
      <c r="C24" s="1" t="s">
        <v>2933</v>
      </c>
    </row>
    <row r="25" spans="1:3" x14ac:dyDescent="0.35">
      <c r="A25" s="354" t="str">
        <f>General!G53</f>
        <v>z</v>
      </c>
      <c r="B25">
        <v>680</v>
      </c>
      <c r="C25" s="1" t="s">
        <v>2933</v>
      </c>
    </row>
    <row r="26" spans="1:3" x14ac:dyDescent="0.35">
      <c r="A26" s="354" t="str">
        <f>General!G54</f>
        <v>zd</v>
      </c>
      <c r="B26">
        <v>680</v>
      </c>
      <c r="C26" s="1" t="s">
        <v>2933</v>
      </c>
    </row>
    <row r="28" spans="1:3" x14ac:dyDescent="0.35">
      <c r="A28" t="s">
        <v>12</v>
      </c>
      <c r="B28">
        <v>100</v>
      </c>
      <c r="C28" t="s">
        <v>13</v>
      </c>
    </row>
    <row r="29" spans="1:3" ht="4.9000000000000004" customHeight="1" x14ac:dyDescent="0.35"/>
    <row r="30" spans="1:3" x14ac:dyDescent="0.35">
      <c r="A30" s="1" t="s">
        <v>18</v>
      </c>
    </row>
    <row r="31" spans="1:3" x14ac:dyDescent="0.35">
      <c r="A31" t="s">
        <v>14</v>
      </c>
      <c r="B31">
        <v>60</v>
      </c>
      <c r="C31" s="1" t="s">
        <v>13</v>
      </c>
    </row>
    <row r="32" spans="1:3" ht="6" customHeight="1" x14ac:dyDescent="0.35"/>
    <row r="33" spans="1:18" x14ac:dyDescent="0.35">
      <c r="A33" t="s">
        <v>15</v>
      </c>
      <c r="B33">
        <v>35</v>
      </c>
      <c r="C33" s="1" t="s">
        <v>17</v>
      </c>
    </row>
    <row r="34" spans="1:18" ht="6" customHeight="1" x14ac:dyDescent="0.35"/>
    <row r="35" spans="1:18" x14ac:dyDescent="0.35">
      <c r="A35" t="s">
        <v>16</v>
      </c>
      <c r="B35">
        <v>15</v>
      </c>
      <c r="C35" s="1" t="s">
        <v>17</v>
      </c>
    </row>
    <row r="37" spans="1:18" x14ac:dyDescent="0.35">
      <c r="A37" s="3" t="s">
        <v>91</v>
      </c>
    </row>
    <row r="38" spans="1:18" x14ac:dyDescent="0.35">
      <c r="A38" s="6" t="s">
        <v>90</v>
      </c>
      <c r="B38" s="6">
        <v>15</v>
      </c>
      <c r="C38" s="1" t="s">
        <v>17</v>
      </c>
    </row>
    <row r="39" spans="1:18" ht="6.65" customHeight="1" x14ac:dyDescent="0.35">
      <c r="A39" s="3"/>
    </row>
    <row r="40" spans="1:18" x14ac:dyDescent="0.35">
      <c r="A40" s="6" t="s">
        <v>89</v>
      </c>
      <c r="B40" s="6">
        <v>20</v>
      </c>
      <c r="C40" s="1" t="s">
        <v>17</v>
      </c>
    </row>
    <row r="41" spans="1:18" ht="9" customHeight="1" x14ac:dyDescent="0.35"/>
    <row r="42" spans="1:18" ht="15" customHeight="1" x14ac:dyDescent="0.35">
      <c r="A42" s="3" t="s">
        <v>65</v>
      </c>
    </row>
    <row r="43" spans="1:18" x14ac:dyDescent="0.35">
      <c r="A43" t="s">
        <v>75</v>
      </c>
      <c r="B43">
        <v>2</v>
      </c>
    </row>
    <row r="45" spans="1:18" x14ac:dyDescent="0.35">
      <c r="A45" t="s">
        <v>87</v>
      </c>
      <c r="B45" s="398">
        <f>MIN(364,INT((C45 - DATE(YEAR(C45),1,1))))</f>
        <v>226</v>
      </c>
      <c r="C45" s="4">
        <v>43692</v>
      </c>
    </row>
    <row r="47" spans="1:18" x14ac:dyDescent="0.35">
      <c r="A47" s="1" t="s">
        <v>2291</v>
      </c>
      <c r="B47">
        <v>50</v>
      </c>
      <c r="J47" s="1" t="s">
        <v>2292</v>
      </c>
    </row>
    <row r="48" spans="1:18" x14ac:dyDescent="0.35">
      <c r="A48" s="3"/>
      <c r="J48" s="611" t="s">
        <v>2342</v>
      </c>
      <c r="K48" s="611"/>
      <c r="L48" s="611"/>
      <c r="M48" s="611" t="s">
        <v>2346</v>
      </c>
      <c r="N48" s="611"/>
      <c r="O48" s="611"/>
      <c r="P48" s="611" t="s">
        <v>2347</v>
      </c>
      <c r="Q48" s="611"/>
      <c r="R48" s="611"/>
    </row>
    <row r="49" spans="1:18" x14ac:dyDescent="0.35">
      <c r="A49" s="3"/>
      <c r="I49" s="1" t="s">
        <v>2348</v>
      </c>
      <c r="J49" t="s">
        <v>2343</v>
      </c>
      <c r="K49" t="s">
        <v>2343</v>
      </c>
      <c r="L49" t="s">
        <v>2343</v>
      </c>
      <c r="M49" t="s">
        <v>2345</v>
      </c>
      <c r="N49" t="s">
        <v>2345</v>
      </c>
      <c r="O49" t="s">
        <v>2345</v>
      </c>
      <c r="P49" t="s">
        <v>2344</v>
      </c>
      <c r="Q49" t="s">
        <v>2344</v>
      </c>
      <c r="R49" t="s">
        <v>2344</v>
      </c>
    </row>
    <row r="50" spans="1:18" x14ac:dyDescent="0.35">
      <c r="A50" t="s">
        <v>66</v>
      </c>
      <c r="B50" t="s">
        <v>2293</v>
      </c>
      <c r="C50" t="s">
        <v>71</v>
      </c>
      <c r="D50" t="s">
        <v>72</v>
      </c>
      <c r="E50" t="s">
        <v>73</v>
      </c>
      <c r="F50" t="s">
        <v>74</v>
      </c>
      <c r="G50" t="s">
        <v>80</v>
      </c>
      <c r="I50" s="1" t="s">
        <v>2290</v>
      </c>
      <c r="J50">
        <v>20</v>
      </c>
      <c r="K50">
        <v>50</v>
      </c>
      <c r="L50">
        <v>80</v>
      </c>
      <c r="M50">
        <v>20</v>
      </c>
      <c r="N50">
        <v>50</v>
      </c>
      <c r="O50">
        <v>80</v>
      </c>
      <c r="P50">
        <v>20</v>
      </c>
      <c r="Q50">
        <v>50</v>
      </c>
      <c r="R50">
        <v>80</v>
      </c>
    </row>
    <row r="51" spans="1:18" x14ac:dyDescent="0.35">
      <c r="A51" s="354" t="str">
        <f>General!G37</f>
        <v>b</v>
      </c>
      <c r="B51" s="396">
        <v>0.1</v>
      </c>
      <c r="C51" s="396">
        <v>0.7</v>
      </c>
      <c r="D51" s="395">
        <f t="shared" ref="D51:D64" si="0">1-C51</f>
        <v>0.30000000000000004</v>
      </c>
      <c r="E51" s="397">
        <v>0.15</v>
      </c>
      <c r="F51" s="397">
        <v>13.45</v>
      </c>
      <c r="G51" s="397">
        <f>0.86*1.05</f>
        <v>0.90300000000000002</v>
      </c>
      <c r="I51" t="str">
        <f>A51</f>
        <v>b</v>
      </c>
      <c r="J51" s="362">
        <f>225/(1-$B51)</f>
        <v>250</v>
      </c>
      <c r="K51" s="362">
        <f>255/(1-$B51)</f>
        <v>283.33333333333331</v>
      </c>
      <c r="L51" s="362">
        <f>286/(1-$B51)</f>
        <v>317.77777777777777</v>
      </c>
      <c r="M51" s="357">
        <v>0</v>
      </c>
      <c r="N51" s="357">
        <v>0</v>
      </c>
      <c r="O51" s="357">
        <v>0</v>
      </c>
      <c r="P51" s="357">
        <f>Q51*0.75</f>
        <v>112.5</v>
      </c>
      <c r="Q51" s="357">
        <v>150</v>
      </c>
      <c r="R51" s="357">
        <f>Q51*1.25</f>
        <v>187.5</v>
      </c>
    </row>
    <row r="52" spans="1:18" x14ac:dyDescent="0.35">
      <c r="A52" s="354" t="str">
        <f>General!G38</f>
        <v>bd</v>
      </c>
      <c r="B52" s="393">
        <f t="shared" ref="B52:G52" si="1">B51</f>
        <v>0.1</v>
      </c>
      <c r="C52" s="393">
        <f t="shared" si="1"/>
        <v>0.7</v>
      </c>
      <c r="D52" s="393">
        <f t="shared" si="1"/>
        <v>0.30000000000000004</v>
      </c>
      <c r="E52" s="393">
        <f t="shared" si="1"/>
        <v>0.15</v>
      </c>
      <c r="F52" s="393">
        <f t="shared" si="1"/>
        <v>13.45</v>
      </c>
      <c r="G52" s="393">
        <f t="shared" si="1"/>
        <v>0.90300000000000002</v>
      </c>
      <c r="I52" t="str">
        <f t="shared" ref="I52:I68" si="2">A52</f>
        <v>bd</v>
      </c>
      <c r="J52" s="393">
        <f>J51</f>
        <v>250</v>
      </c>
      <c r="K52" s="393">
        <f>K51</f>
        <v>283.33333333333331</v>
      </c>
      <c r="L52" s="393">
        <f>L51</f>
        <v>317.77777777777777</v>
      </c>
      <c r="M52" s="393">
        <f t="shared" ref="M52:R52" si="3">M51</f>
        <v>0</v>
      </c>
      <c r="N52" s="393">
        <f t="shared" si="3"/>
        <v>0</v>
      </c>
      <c r="O52" s="393">
        <f t="shared" si="3"/>
        <v>0</v>
      </c>
      <c r="P52" s="393">
        <f t="shared" si="3"/>
        <v>112.5</v>
      </c>
      <c r="Q52" s="393">
        <f t="shared" si="3"/>
        <v>150</v>
      </c>
      <c r="R52" s="393">
        <f t="shared" si="3"/>
        <v>187.5</v>
      </c>
    </row>
    <row r="53" spans="1:18" x14ac:dyDescent="0.35">
      <c r="A53" s="354" t="str">
        <f>General!G39</f>
        <v>f</v>
      </c>
      <c r="B53" s="396">
        <v>0</v>
      </c>
      <c r="C53" s="396">
        <v>1</v>
      </c>
      <c r="D53" s="395">
        <f t="shared" si="0"/>
        <v>0</v>
      </c>
      <c r="E53" s="397">
        <v>0.15</v>
      </c>
      <c r="F53" s="397">
        <v>15.85</v>
      </c>
      <c r="G53" s="397">
        <f>1.04*1.05</f>
        <v>1.0920000000000001</v>
      </c>
      <c r="I53" t="str">
        <f t="shared" si="2"/>
        <v>f</v>
      </c>
      <c r="J53" s="357">
        <f t="shared" ref="J53:J64" si="4">K53*0.75</f>
        <v>262.5</v>
      </c>
      <c r="K53" s="357">
        <v>350</v>
      </c>
      <c r="L53" s="357">
        <f t="shared" ref="L53:L64" si="5">K53*1.25</f>
        <v>437.5</v>
      </c>
      <c r="M53" s="357">
        <v>0</v>
      </c>
      <c r="N53" s="357">
        <v>0</v>
      </c>
      <c r="O53" s="357">
        <v>0</v>
      </c>
      <c r="P53" s="357">
        <f t="shared" ref="P53:P65" si="6">Q53*0.75</f>
        <v>112.5</v>
      </c>
      <c r="Q53" s="357">
        <v>150</v>
      </c>
      <c r="R53" s="357">
        <f t="shared" ref="R53:R65" si="7">Q53*1.25</f>
        <v>187.5</v>
      </c>
    </row>
    <row r="54" spans="1:18" x14ac:dyDescent="0.35">
      <c r="A54" s="354" t="str">
        <f>General!G40</f>
        <v>h</v>
      </c>
      <c r="B54" s="396">
        <v>0</v>
      </c>
      <c r="C54" s="396">
        <v>1</v>
      </c>
      <c r="D54" s="395">
        <f t="shared" si="0"/>
        <v>0</v>
      </c>
      <c r="E54" s="397">
        <v>0.5</v>
      </c>
      <c r="F54" s="397">
        <v>1.5</v>
      </c>
      <c r="G54" s="397">
        <f>0.86*1.05</f>
        <v>0.90300000000000002</v>
      </c>
      <c r="I54" t="str">
        <f t="shared" si="2"/>
        <v>h</v>
      </c>
      <c r="J54" s="357">
        <f t="shared" si="4"/>
        <v>176.25</v>
      </c>
      <c r="K54" s="357">
        <v>235</v>
      </c>
      <c r="L54" s="357">
        <f t="shared" si="5"/>
        <v>293.75</v>
      </c>
      <c r="M54" s="357">
        <v>0</v>
      </c>
      <c r="N54" s="357">
        <v>0</v>
      </c>
      <c r="O54" s="357">
        <v>0</v>
      </c>
      <c r="P54" s="357">
        <f t="shared" si="6"/>
        <v>112.5</v>
      </c>
      <c r="Q54" s="357">
        <v>150</v>
      </c>
      <c r="R54" s="357">
        <f t="shared" si="7"/>
        <v>187.5</v>
      </c>
    </row>
    <row r="55" spans="1:18" x14ac:dyDescent="0.35">
      <c r="A55" s="354" t="str">
        <f>General!G41</f>
        <v>i</v>
      </c>
      <c r="B55" s="396">
        <v>0</v>
      </c>
      <c r="C55" s="396">
        <v>1</v>
      </c>
      <c r="D55" s="395">
        <f t="shared" si="0"/>
        <v>0</v>
      </c>
      <c r="E55" s="397">
        <v>0.15</v>
      </c>
      <c r="F55" s="397">
        <v>15.85</v>
      </c>
      <c r="G55" s="397">
        <f>1.04*1.05</f>
        <v>1.0920000000000001</v>
      </c>
      <c r="I55" t="str">
        <f t="shared" si="2"/>
        <v>i</v>
      </c>
      <c r="J55" s="357">
        <f t="shared" si="4"/>
        <v>262.5</v>
      </c>
      <c r="K55" s="357">
        <v>350</v>
      </c>
      <c r="L55" s="357">
        <f t="shared" si="5"/>
        <v>437.5</v>
      </c>
      <c r="M55" s="357">
        <v>0</v>
      </c>
      <c r="N55" s="357">
        <v>0</v>
      </c>
      <c r="O55" s="357">
        <v>0</v>
      </c>
      <c r="P55" s="357">
        <f t="shared" si="6"/>
        <v>112.5</v>
      </c>
      <c r="Q55" s="357">
        <v>150</v>
      </c>
      <c r="R55" s="357">
        <f t="shared" si="7"/>
        <v>187.5</v>
      </c>
    </row>
    <row r="56" spans="1:18" x14ac:dyDescent="0.35">
      <c r="A56" s="354" t="str">
        <f>General!G42</f>
        <v>k</v>
      </c>
      <c r="B56" s="396">
        <v>0</v>
      </c>
      <c r="C56" s="396">
        <v>1</v>
      </c>
      <c r="D56" s="395">
        <f t="shared" si="0"/>
        <v>0</v>
      </c>
      <c r="E56" s="397">
        <v>0.15</v>
      </c>
      <c r="F56" s="397">
        <v>15.85</v>
      </c>
      <c r="G56" s="397">
        <f>1.04*1.05</f>
        <v>1.0920000000000001</v>
      </c>
      <c r="I56" t="str">
        <f t="shared" si="2"/>
        <v>k</v>
      </c>
      <c r="J56" s="357">
        <f t="shared" si="4"/>
        <v>262.5</v>
      </c>
      <c r="K56" s="357">
        <v>350</v>
      </c>
      <c r="L56" s="357">
        <f t="shared" si="5"/>
        <v>437.5</v>
      </c>
      <c r="M56" s="357">
        <v>0</v>
      </c>
      <c r="N56" s="357">
        <v>0</v>
      </c>
      <c r="O56" s="357">
        <v>0</v>
      </c>
      <c r="P56" s="357">
        <f t="shared" si="6"/>
        <v>112.5</v>
      </c>
      <c r="Q56" s="357">
        <v>150</v>
      </c>
      <c r="R56" s="357">
        <f t="shared" si="7"/>
        <v>187.5</v>
      </c>
    </row>
    <row r="57" spans="1:18" x14ac:dyDescent="0.35">
      <c r="A57" s="354" t="str">
        <f>General!G43</f>
        <v>l</v>
      </c>
      <c r="B57" s="396">
        <v>0</v>
      </c>
      <c r="C57" s="396">
        <v>1</v>
      </c>
      <c r="D57" s="395">
        <f t="shared" si="0"/>
        <v>0</v>
      </c>
      <c r="E57" s="397">
        <v>0.15</v>
      </c>
      <c r="F57" s="397">
        <v>12.05</v>
      </c>
      <c r="G57" s="397">
        <f>1.04*1.05</f>
        <v>1.0920000000000001</v>
      </c>
      <c r="I57" t="str">
        <f t="shared" si="2"/>
        <v>l</v>
      </c>
      <c r="J57" s="357">
        <f t="shared" si="4"/>
        <v>247.5</v>
      </c>
      <c r="K57" s="357">
        <v>330</v>
      </c>
      <c r="L57" s="357">
        <f t="shared" si="5"/>
        <v>412.5</v>
      </c>
      <c r="M57" s="357">
        <v>0</v>
      </c>
      <c r="N57" s="357">
        <v>0</v>
      </c>
      <c r="O57" s="357">
        <v>0</v>
      </c>
      <c r="P57" s="357">
        <f t="shared" si="6"/>
        <v>112.5</v>
      </c>
      <c r="Q57" s="357">
        <v>150</v>
      </c>
      <c r="R57" s="357">
        <f t="shared" si="7"/>
        <v>187.5</v>
      </c>
    </row>
    <row r="58" spans="1:18" x14ac:dyDescent="0.35">
      <c r="A58" s="354" t="str">
        <f>General!G44</f>
        <v>ms</v>
      </c>
      <c r="B58" s="396">
        <v>0</v>
      </c>
      <c r="C58" s="396">
        <v>1</v>
      </c>
      <c r="D58" s="395">
        <f t="shared" ref="D58" si="8">1-C58</f>
        <v>0</v>
      </c>
      <c r="E58" s="397">
        <v>0.15</v>
      </c>
      <c r="F58" s="397">
        <v>12.05</v>
      </c>
      <c r="G58" s="397">
        <f>1.04*1.05</f>
        <v>1.0920000000000001</v>
      </c>
      <c r="I58" t="str">
        <f t="shared" ref="I58" si="9">A58</f>
        <v>ms</v>
      </c>
      <c r="J58" s="357">
        <v>0</v>
      </c>
      <c r="K58" s="357">
        <v>0</v>
      </c>
      <c r="L58" s="357">
        <v>0</v>
      </c>
      <c r="M58" s="357">
        <v>0</v>
      </c>
      <c r="N58" s="357">
        <v>0</v>
      </c>
      <c r="O58" s="357">
        <v>0</v>
      </c>
      <c r="P58" s="357">
        <v>0</v>
      </c>
      <c r="Q58" s="357">
        <v>0</v>
      </c>
      <c r="R58" s="357">
        <v>0</v>
      </c>
    </row>
    <row r="59" spans="1:18" x14ac:dyDescent="0.35">
      <c r="A59" s="354" t="str">
        <f>General!G45</f>
        <v>o</v>
      </c>
      <c r="B59" s="396">
        <v>0</v>
      </c>
      <c r="C59" s="396">
        <v>1</v>
      </c>
      <c r="D59" s="395">
        <f t="shared" si="0"/>
        <v>0</v>
      </c>
      <c r="E59" s="397">
        <v>0.15</v>
      </c>
      <c r="F59" s="397">
        <v>12.85</v>
      </c>
      <c r="G59" s="397">
        <f>0.86*1.05</f>
        <v>0.90300000000000002</v>
      </c>
      <c r="I59" t="str">
        <f t="shared" si="2"/>
        <v>o</v>
      </c>
      <c r="J59" s="357">
        <f t="shared" si="4"/>
        <v>176.25</v>
      </c>
      <c r="K59" s="357">
        <v>235</v>
      </c>
      <c r="L59" s="357">
        <f t="shared" si="5"/>
        <v>293.75</v>
      </c>
      <c r="M59" s="357">
        <v>0</v>
      </c>
      <c r="N59" s="357">
        <v>0</v>
      </c>
      <c r="O59" s="357">
        <v>0</v>
      </c>
      <c r="P59" s="357">
        <f t="shared" si="6"/>
        <v>112.5</v>
      </c>
      <c r="Q59" s="357">
        <v>150</v>
      </c>
      <c r="R59" s="357">
        <f t="shared" si="7"/>
        <v>187.5</v>
      </c>
    </row>
    <row r="60" spans="1:18" x14ac:dyDescent="0.35">
      <c r="A60" s="354" t="str">
        <f>General!G46</f>
        <v>od</v>
      </c>
      <c r="B60" s="394">
        <f t="shared" ref="B60:G60" si="10">B59</f>
        <v>0</v>
      </c>
      <c r="C60" s="394">
        <f t="shared" si="10"/>
        <v>1</v>
      </c>
      <c r="D60" s="394">
        <f t="shared" si="10"/>
        <v>0</v>
      </c>
      <c r="E60" s="394">
        <f t="shared" si="10"/>
        <v>0.15</v>
      </c>
      <c r="F60" s="394">
        <f t="shared" si="10"/>
        <v>12.85</v>
      </c>
      <c r="G60" s="394">
        <f t="shared" si="10"/>
        <v>0.90300000000000002</v>
      </c>
      <c r="I60" t="str">
        <f t="shared" si="2"/>
        <v>od</v>
      </c>
      <c r="J60" s="393">
        <f>J59</f>
        <v>176.25</v>
      </c>
      <c r="K60" s="393">
        <f t="shared" ref="K60:R60" si="11">K59</f>
        <v>235</v>
      </c>
      <c r="L60" s="393">
        <f t="shared" si="11"/>
        <v>293.75</v>
      </c>
      <c r="M60" s="393">
        <f t="shared" si="11"/>
        <v>0</v>
      </c>
      <c r="N60" s="393">
        <f t="shared" si="11"/>
        <v>0</v>
      </c>
      <c r="O60" s="393">
        <f t="shared" si="11"/>
        <v>0</v>
      </c>
      <c r="P60" s="393">
        <f t="shared" si="11"/>
        <v>112.5</v>
      </c>
      <c r="Q60" s="393">
        <f t="shared" si="11"/>
        <v>150</v>
      </c>
      <c r="R60" s="393">
        <f t="shared" si="11"/>
        <v>187.5</v>
      </c>
    </row>
    <row r="61" spans="1:18" x14ac:dyDescent="0.35">
      <c r="A61" s="354" t="str">
        <f>General!G47</f>
        <v>of</v>
      </c>
      <c r="B61" s="394">
        <f t="shared" ref="B61:G61" si="12">B59</f>
        <v>0</v>
      </c>
      <c r="C61" s="394">
        <f t="shared" si="12"/>
        <v>1</v>
      </c>
      <c r="D61" s="394">
        <f t="shared" si="12"/>
        <v>0</v>
      </c>
      <c r="E61" s="394">
        <f t="shared" si="12"/>
        <v>0.15</v>
      </c>
      <c r="F61" s="394">
        <f t="shared" si="12"/>
        <v>12.85</v>
      </c>
      <c r="G61" s="394">
        <f t="shared" si="12"/>
        <v>0.90300000000000002</v>
      </c>
      <c r="I61" t="str">
        <f t="shared" si="2"/>
        <v>of</v>
      </c>
      <c r="J61" s="393">
        <f>J59</f>
        <v>176.25</v>
      </c>
      <c r="K61" s="393">
        <f>K59</f>
        <v>235</v>
      </c>
      <c r="L61" s="393">
        <f t="shared" ref="L61:R61" si="13">L59</f>
        <v>293.75</v>
      </c>
      <c r="M61" s="393">
        <f t="shared" si="13"/>
        <v>0</v>
      </c>
      <c r="N61" s="393">
        <f t="shared" si="13"/>
        <v>0</v>
      </c>
      <c r="O61" s="393">
        <f t="shared" si="13"/>
        <v>0</v>
      </c>
      <c r="P61" s="393">
        <f t="shared" si="13"/>
        <v>112.5</v>
      </c>
      <c r="Q61" s="393">
        <f t="shared" si="13"/>
        <v>150</v>
      </c>
      <c r="R61" s="393">
        <f t="shared" si="13"/>
        <v>187.5</v>
      </c>
    </row>
    <row r="62" spans="1:18" x14ac:dyDescent="0.35">
      <c r="A62" s="354" t="str">
        <f>General!G48</f>
        <v>r</v>
      </c>
      <c r="B62" s="396">
        <v>0</v>
      </c>
      <c r="C62" s="396">
        <v>1</v>
      </c>
      <c r="D62" s="395">
        <f t="shared" si="0"/>
        <v>0</v>
      </c>
      <c r="E62" s="392">
        <v>0.12</v>
      </c>
      <c r="F62" s="392">
        <v>21.95</v>
      </c>
      <c r="G62" s="392">
        <f>1.04*1.05</f>
        <v>1.0920000000000001</v>
      </c>
      <c r="I62" t="str">
        <f t="shared" si="2"/>
        <v>r</v>
      </c>
      <c r="J62" s="357">
        <v>521</v>
      </c>
      <c r="K62" s="357">
        <v>566</v>
      </c>
      <c r="L62" s="357">
        <v>617</v>
      </c>
      <c r="M62" s="357">
        <v>0</v>
      </c>
      <c r="N62" s="357">
        <v>0</v>
      </c>
      <c r="O62" s="357">
        <v>0</v>
      </c>
      <c r="P62" s="357">
        <f t="shared" si="6"/>
        <v>112.5</v>
      </c>
      <c r="Q62" s="357">
        <v>150</v>
      </c>
      <c r="R62" s="357">
        <f t="shared" si="7"/>
        <v>187.5</v>
      </c>
    </row>
    <row r="63" spans="1:18" x14ac:dyDescent="0.35">
      <c r="A63" s="354" t="str">
        <f>General!G49</f>
        <v>rd</v>
      </c>
      <c r="B63" s="396">
        <v>0</v>
      </c>
      <c r="C63" s="396">
        <v>1</v>
      </c>
      <c r="D63" s="395">
        <f>1-C63</f>
        <v>0</v>
      </c>
      <c r="E63" s="392">
        <v>0.12</v>
      </c>
      <c r="F63" s="392">
        <v>21.95</v>
      </c>
      <c r="G63" s="392">
        <f>1.04*1.05</f>
        <v>1.0920000000000001</v>
      </c>
      <c r="I63" t="str">
        <f t="shared" si="2"/>
        <v>rd</v>
      </c>
      <c r="J63" s="393">
        <f>J$62</f>
        <v>521</v>
      </c>
      <c r="K63" s="393">
        <f t="shared" ref="K63:R63" si="14">K$62</f>
        <v>566</v>
      </c>
      <c r="L63" s="393">
        <f t="shared" si="14"/>
        <v>617</v>
      </c>
      <c r="M63" s="393">
        <f t="shared" si="14"/>
        <v>0</v>
      </c>
      <c r="N63" s="393">
        <f t="shared" si="14"/>
        <v>0</v>
      </c>
      <c r="O63" s="393">
        <f t="shared" si="14"/>
        <v>0</v>
      </c>
      <c r="P63" s="393">
        <f t="shared" si="14"/>
        <v>112.5</v>
      </c>
      <c r="Q63" s="393">
        <f t="shared" si="14"/>
        <v>150</v>
      </c>
      <c r="R63" s="393">
        <f t="shared" si="14"/>
        <v>187.5</v>
      </c>
    </row>
    <row r="64" spans="1:18" x14ac:dyDescent="0.35">
      <c r="A64" s="354" t="str">
        <f>General!G50</f>
        <v>v</v>
      </c>
      <c r="B64" s="396">
        <v>0</v>
      </c>
      <c r="C64" s="396">
        <v>1</v>
      </c>
      <c r="D64" s="395">
        <f t="shared" si="0"/>
        <v>0</v>
      </c>
      <c r="E64" s="392">
        <v>0.15</v>
      </c>
      <c r="F64" s="392">
        <v>15.85</v>
      </c>
      <c r="G64" s="392">
        <f>1.04*1.05</f>
        <v>1.0920000000000001</v>
      </c>
      <c r="I64" t="str">
        <f t="shared" si="2"/>
        <v>v</v>
      </c>
      <c r="J64" s="357">
        <f t="shared" si="4"/>
        <v>262.5</v>
      </c>
      <c r="K64" s="357">
        <v>350</v>
      </c>
      <c r="L64" s="357">
        <f t="shared" si="5"/>
        <v>437.5</v>
      </c>
      <c r="M64" s="357">
        <v>0</v>
      </c>
      <c r="N64" s="357">
        <v>0</v>
      </c>
      <c r="O64" s="357">
        <v>0</v>
      </c>
      <c r="P64" s="357">
        <f t="shared" si="6"/>
        <v>112.5</v>
      </c>
      <c r="Q64" s="357">
        <v>150</v>
      </c>
      <c r="R64" s="357">
        <f t="shared" si="7"/>
        <v>187.5</v>
      </c>
    </row>
    <row r="65" spans="1:18" x14ac:dyDescent="0.35">
      <c r="A65" s="354" t="str">
        <f>General!G51</f>
        <v>w</v>
      </c>
      <c r="B65" s="396">
        <v>0.1</v>
      </c>
      <c r="C65" s="396">
        <v>0.8</v>
      </c>
      <c r="D65" s="395">
        <f>1-C65</f>
        <v>0.19999999999999996</v>
      </c>
      <c r="E65" s="392">
        <v>0.15</v>
      </c>
      <c r="F65" s="392">
        <v>12.05</v>
      </c>
      <c r="G65" s="392">
        <f>0.86*1.05</f>
        <v>0.90300000000000002</v>
      </c>
      <c r="I65" t="str">
        <f t="shared" si="2"/>
        <v>w</v>
      </c>
      <c r="J65" s="357">
        <v>266</v>
      </c>
      <c r="K65" s="357">
        <v>301</v>
      </c>
      <c r="L65" s="357">
        <v>337</v>
      </c>
      <c r="M65" s="357">
        <v>0</v>
      </c>
      <c r="N65" s="357">
        <v>0</v>
      </c>
      <c r="O65" s="357">
        <v>0</v>
      </c>
      <c r="P65" s="357">
        <f t="shared" si="6"/>
        <v>112.5</v>
      </c>
      <c r="Q65" s="357">
        <v>150</v>
      </c>
      <c r="R65" s="357">
        <f t="shared" si="7"/>
        <v>187.5</v>
      </c>
    </row>
    <row r="66" spans="1:18" x14ac:dyDescent="0.35">
      <c r="A66" s="354" t="str">
        <f>General!G52</f>
        <v>wd</v>
      </c>
      <c r="B66" s="394">
        <f t="shared" ref="B66:G66" si="15">B65</f>
        <v>0.1</v>
      </c>
      <c r="C66" s="394">
        <f t="shared" si="15"/>
        <v>0.8</v>
      </c>
      <c r="D66" s="394">
        <f t="shared" si="15"/>
        <v>0.19999999999999996</v>
      </c>
      <c r="E66" s="394">
        <f t="shared" si="15"/>
        <v>0.15</v>
      </c>
      <c r="F66" s="394">
        <f t="shared" si="15"/>
        <v>12.05</v>
      </c>
      <c r="G66" s="394">
        <f t="shared" si="15"/>
        <v>0.90300000000000002</v>
      </c>
      <c r="I66" t="str">
        <f t="shared" si="2"/>
        <v>wd</v>
      </c>
      <c r="J66" s="393">
        <f>J65</f>
        <v>266</v>
      </c>
      <c r="K66" s="393">
        <f>K65</f>
        <v>301</v>
      </c>
      <c r="L66" s="393">
        <f t="shared" ref="L66:R66" si="16">L65</f>
        <v>337</v>
      </c>
      <c r="M66" s="393">
        <f t="shared" si="16"/>
        <v>0</v>
      </c>
      <c r="N66" s="393">
        <f t="shared" si="16"/>
        <v>0</v>
      </c>
      <c r="O66" s="393">
        <f t="shared" si="16"/>
        <v>0</v>
      </c>
      <c r="P66" s="393">
        <f t="shared" si="16"/>
        <v>112.5</v>
      </c>
      <c r="Q66" s="393">
        <f t="shared" si="16"/>
        <v>150</v>
      </c>
      <c r="R66" s="393">
        <f t="shared" si="16"/>
        <v>187.5</v>
      </c>
    </row>
    <row r="67" spans="1:18" x14ac:dyDescent="0.35">
      <c r="A67" s="354" t="str">
        <f>General!G53</f>
        <v>z</v>
      </c>
      <c r="B67" s="396">
        <v>0</v>
      </c>
      <c r="C67" s="396">
        <v>1</v>
      </c>
      <c r="D67" s="395">
        <f>1-C67</f>
        <v>0</v>
      </c>
      <c r="E67" s="397">
        <v>0.12</v>
      </c>
      <c r="F67" s="397">
        <v>21.95</v>
      </c>
      <c r="G67" s="397">
        <f>1.04*1.05</f>
        <v>1.0920000000000001</v>
      </c>
      <c r="I67" t="str">
        <f t="shared" si="2"/>
        <v>z</v>
      </c>
      <c r="J67" s="393">
        <f t="shared" ref="J67:R68" si="17">J$62</f>
        <v>521</v>
      </c>
      <c r="K67" s="393">
        <f t="shared" si="17"/>
        <v>566</v>
      </c>
      <c r="L67" s="393">
        <f t="shared" si="17"/>
        <v>617</v>
      </c>
      <c r="M67" s="393">
        <f t="shared" si="17"/>
        <v>0</v>
      </c>
      <c r="N67" s="393">
        <f t="shared" si="17"/>
        <v>0</v>
      </c>
      <c r="O67" s="393">
        <f t="shared" si="17"/>
        <v>0</v>
      </c>
      <c r="P67" s="393">
        <f t="shared" si="17"/>
        <v>112.5</v>
      </c>
      <c r="Q67" s="393">
        <f t="shared" si="17"/>
        <v>150</v>
      </c>
      <c r="R67" s="393">
        <f t="shared" si="17"/>
        <v>187.5</v>
      </c>
    </row>
    <row r="68" spans="1:18" x14ac:dyDescent="0.35">
      <c r="A68" s="354" t="str">
        <f>General!G54</f>
        <v>zd</v>
      </c>
      <c r="B68" s="396">
        <v>0</v>
      </c>
      <c r="C68" s="396">
        <v>1</v>
      </c>
      <c r="D68" s="395">
        <f>1-C68</f>
        <v>0</v>
      </c>
      <c r="E68" s="397">
        <v>0.12</v>
      </c>
      <c r="F68" s="397">
        <v>21.95</v>
      </c>
      <c r="G68" s="397">
        <f>1.04*1.05</f>
        <v>1.0920000000000001</v>
      </c>
      <c r="I68" t="str">
        <f t="shared" si="2"/>
        <v>zd</v>
      </c>
      <c r="J68" s="393">
        <f t="shared" si="17"/>
        <v>521</v>
      </c>
      <c r="K68" s="393">
        <f t="shared" si="17"/>
        <v>566</v>
      </c>
      <c r="L68" s="393">
        <f t="shared" si="17"/>
        <v>617</v>
      </c>
      <c r="M68" s="393">
        <f t="shared" si="17"/>
        <v>0</v>
      </c>
      <c r="N68" s="393">
        <f t="shared" si="17"/>
        <v>0</v>
      </c>
      <c r="O68" s="393">
        <f t="shared" si="17"/>
        <v>0</v>
      </c>
      <c r="P68" s="393">
        <f t="shared" si="17"/>
        <v>112.5</v>
      </c>
      <c r="Q68" s="393">
        <f t="shared" si="17"/>
        <v>150</v>
      </c>
      <c r="R68" s="393">
        <f t="shared" si="17"/>
        <v>187.5</v>
      </c>
    </row>
    <row r="71" spans="1:18" x14ac:dyDescent="0.35">
      <c r="A71" s="3" t="s">
        <v>81</v>
      </c>
    </row>
    <row r="72" spans="1:18" x14ac:dyDescent="0.35">
      <c r="A72" t="s">
        <v>117</v>
      </c>
      <c r="B72">
        <v>100000</v>
      </c>
    </row>
    <row r="74" spans="1:18" x14ac:dyDescent="0.35">
      <c r="A74" t="s">
        <v>118</v>
      </c>
      <c r="B74">
        <v>100000</v>
      </c>
    </row>
    <row r="76" spans="1:18" x14ac:dyDescent="0.35">
      <c r="A76" t="s">
        <v>82</v>
      </c>
      <c r="B76" s="44">
        <v>0.11</v>
      </c>
    </row>
    <row r="78" spans="1:18" x14ac:dyDescent="0.35">
      <c r="A78" t="s">
        <v>83</v>
      </c>
      <c r="B78" s="44">
        <v>3.5000000000000003E-2</v>
      </c>
    </row>
    <row r="80" spans="1:18" x14ac:dyDescent="0.35">
      <c r="A80" t="s">
        <v>84</v>
      </c>
      <c r="B80">
        <v>2.3E-2</v>
      </c>
    </row>
    <row r="82" spans="1:2" x14ac:dyDescent="0.35">
      <c r="A82" t="s">
        <v>119</v>
      </c>
      <c r="B82">
        <v>40</v>
      </c>
    </row>
    <row r="84" spans="1:2" x14ac:dyDescent="0.35">
      <c r="A84" t="s">
        <v>85</v>
      </c>
      <c r="B84" s="44">
        <v>0.11</v>
      </c>
    </row>
    <row r="86" spans="1:2" x14ac:dyDescent="0.35">
      <c r="A86" t="s">
        <v>86</v>
      </c>
      <c r="B86" s="44">
        <v>3.5000000000000003E-2</v>
      </c>
    </row>
  </sheetData>
  <mergeCells count="3">
    <mergeCell ref="J48:L48"/>
    <mergeCell ref="M48:O48"/>
    <mergeCell ref="P48:R48"/>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2333</v>
      </c>
      <c r="B3" s="42">
        <v>4.4999999999999998E-2</v>
      </c>
    </row>
    <row r="5" spans="1:2" x14ac:dyDescent="0.35">
      <c r="A5" s="3" t="s">
        <v>110</v>
      </c>
    </row>
    <row r="6" spans="1:2" x14ac:dyDescent="0.35">
      <c r="A6" t="s">
        <v>109</v>
      </c>
      <c r="B6" s="42">
        <v>4.4999999999999998E-2</v>
      </c>
    </row>
    <row r="8" spans="1:2" x14ac:dyDescent="0.35">
      <c r="A8" s="3" t="s">
        <v>108</v>
      </c>
    </row>
    <row r="9" spans="1:2" x14ac:dyDescent="0.35">
      <c r="A9" t="s">
        <v>2238</v>
      </c>
      <c r="B9" s="42">
        <v>0</v>
      </c>
    </row>
    <row r="10" spans="1:2" x14ac:dyDescent="0.35">
      <c r="A10" t="s">
        <v>2239</v>
      </c>
      <c r="B10" s="42">
        <v>0</v>
      </c>
    </row>
    <row r="12" spans="1:2" x14ac:dyDescent="0.35">
      <c r="A12" s="3" t="s">
        <v>111</v>
      </c>
    </row>
    <row r="13" spans="1:2" x14ac:dyDescent="0.35">
      <c r="A13" t="s">
        <v>20</v>
      </c>
      <c r="B13" s="42">
        <v>0.02</v>
      </c>
    </row>
    <row r="15" spans="1:2" x14ac:dyDescent="0.35">
      <c r="A15" s="3" t="s">
        <v>92</v>
      </c>
    </row>
    <row r="16" spans="1:2" x14ac:dyDescent="0.35">
      <c r="A16" t="s">
        <v>112</v>
      </c>
      <c r="B16" s="42">
        <v>0.02</v>
      </c>
    </row>
    <row r="18" spans="1:2" x14ac:dyDescent="0.35">
      <c r="A18" s="3" t="s">
        <v>3072</v>
      </c>
    </row>
    <row r="19" spans="1:2" ht="29" x14ac:dyDescent="0.35">
      <c r="A19" s="5" t="s">
        <v>3071</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abSelected="1" topLeftCell="A37" workbookViewId="0">
      <selection activeCell="I43" sqref="I43"/>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5"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15" customHeight="1" x14ac:dyDescent="0.3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35">
      <c r="A4" s="7"/>
      <c r="B4" s="8"/>
      <c r="C4" s="13"/>
      <c r="D4" s="13"/>
      <c r="E4" s="13" t="s">
        <v>94</v>
      </c>
      <c r="F4" s="14"/>
      <c r="G4" s="15" t="s">
        <v>2597</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35">
      <c r="A5" s="7"/>
      <c r="B5" s="8"/>
      <c r="C5" s="13"/>
      <c r="D5" s="13"/>
      <c r="E5" s="18"/>
      <c r="F5" s="14"/>
      <c r="G5" s="14" t="s">
        <v>2598</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3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35">
      <c r="A7" s="7"/>
      <c r="B7" s="8"/>
      <c r="C7" s="412">
        <v>0</v>
      </c>
      <c r="D7" s="13"/>
      <c r="E7" s="18"/>
      <c r="F7" s="14"/>
      <c r="G7" s="413"/>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35">
      <c r="A9" s="7"/>
      <c r="B9" s="8"/>
      <c r="C9" s="18"/>
      <c r="D9" s="18"/>
      <c r="E9" s="18"/>
      <c r="F9" s="18"/>
      <c r="G9" s="18"/>
      <c r="H9" s="18"/>
      <c r="I9" s="18"/>
      <c r="J9" s="18" t="s">
        <v>2599</v>
      </c>
      <c r="K9" s="18"/>
      <c r="L9" s="21" t="s">
        <v>2599</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35">
      <c r="A10" s="7"/>
      <c r="B10" s="8"/>
      <c r="C10" s="18"/>
      <c r="D10" s="18"/>
      <c r="E10" s="18"/>
      <c r="F10" s="18"/>
      <c r="G10" s="18"/>
      <c r="H10" s="18"/>
      <c r="I10" s="18"/>
      <c r="J10" s="18" t="s">
        <v>2600</v>
      </c>
      <c r="K10" s="22"/>
      <c r="L10" s="21" t="s">
        <v>2601</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15" customHeight="1" x14ac:dyDescent="0.3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35">
      <c r="A18" s="7"/>
      <c r="B18" s="8"/>
      <c r="C18" s="13"/>
      <c r="D18" s="13"/>
      <c r="E18" s="13" t="s">
        <v>94</v>
      </c>
      <c r="F18" s="14"/>
      <c r="G18" s="15" t="s">
        <v>2725</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35">
      <c r="A19" s="7"/>
      <c r="B19" s="8"/>
      <c r="C19" s="13"/>
      <c r="D19" s="13"/>
      <c r="E19" s="18"/>
      <c r="F19" s="14"/>
      <c r="G19" s="14" t="s">
        <v>2726</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3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35">
      <c r="A21" s="7"/>
      <c r="B21" s="8"/>
      <c r="C21" s="412">
        <v>0</v>
      </c>
      <c r="D21" s="13"/>
      <c r="E21" s="18"/>
      <c r="F21" s="14"/>
      <c r="G21" s="413"/>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35">
      <c r="A22" s="7"/>
      <c r="B22" s="8"/>
      <c r="C22" s="18"/>
      <c r="D22" s="18"/>
      <c r="E22" s="18"/>
      <c r="F22" s="18"/>
      <c r="G22" s="18"/>
      <c r="H22" s="18"/>
      <c r="I22" s="18"/>
      <c r="J22" s="21" t="s">
        <v>2728</v>
      </c>
      <c r="K22" s="21"/>
      <c r="L22" s="21" t="s">
        <v>2728</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35">
      <c r="A23" s="7"/>
      <c r="B23" s="8"/>
      <c r="C23" s="18"/>
      <c r="D23" s="18"/>
      <c r="E23" s="18"/>
      <c r="F23" s="18"/>
      <c r="G23" s="18"/>
      <c r="H23" s="18"/>
      <c r="I23" s="18"/>
      <c r="J23" s="18" t="s">
        <v>2729</v>
      </c>
      <c r="K23" s="18"/>
      <c r="L23" s="18" t="s">
        <v>2730</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35">
      <c r="A24" s="7"/>
      <c r="B24" s="8"/>
      <c r="C24" s="18"/>
      <c r="D24" s="18"/>
      <c r="E24" s="18"/>
      <c r="F24" s="18"/>
      <c r="G24" s="18"/>
      <c r="H24" s="18"/>
      <c r="I24" s="18"/>
      <c r="J24" s="18" t="s">
        <v>2727</v>
      </c>
      <c r="K24" s="22"/>
      <c r="L24" s="18" t="s">
        <v>2731</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15" customHeight="1" x14ac:dyDescent="0.3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3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3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3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35">
      <c r="A38" s="7"/>
      <c r="B38" s="8"/>
      <c r="C38" s="18"/>
      <c r="D38" s="18"/>
      <c r="E38" s="18"/>
      <c r="F38" s="18"/>
      <c r="G38" s="18"/>
      <c r="H38" s="18"/>
      <c r="I38" s="18"/>
      <c r="J38" s="354" t="str" cm="1">
        <f t="array" ref="J38:AA38">TRANSPOSE(General!G37:G54)</f>
        <v>b</v>
      </c>
      <c r="K38" s="354" t="str">
        <v>bd</v>
      </c>
      <c r="L38" s="354" t="str">
        <v>f</v>
      </c>
      <c r="M38" s="354" t="str">
        <v>h</v>
      </c>
      <c r="N38" s="354" t="str">
        <v>i</v>
      </c>
      <c r="O38" s="354" t="str">
        <v>k</v>
      </c>
      <c r="P38" s="354" t="str">
        <v>l</v>
      </c>
      <c r="Q38" s="354" t="str">
        <v>ms</v>
      </c>
      <c r="R38" s="354" t="str">
        <v>o</v>
      </c>
      <c r="S38" s="354" t="str">
        <v>od</v>
      </c>
      <c r="T38" s="354" t="str">
        <v>of</v>
      </c>
      <c r="U38" s="354" t="str">
        <v>r</v>
      </c>
      <c r="V38" s="354" t="str">
        <v>rd</v>
      </c>
      <c r="W38" s="354" t="str">
        <v>v</v>
      </c>
      <c r="X38" s="354" t="str">
        <v>w</v>
      </c>
      <c r="Y38" s="354" t="str">
        <v>wd</v>
      </c>
      <c r="Z38" s="354" t="str">
        <v>z</v>
      </c>
      <c r="AA38" s="354" t="str">
        <v>zd</v>
      </c>
      <c r="AB38" s="21"/>
      <c r="AC38" s="21"/>
      <c r="AD38" s="21"/>
      <c r="AE38" s="21"/>
      <c r="AF38" s="17"/>
      <c r="AG38" s="9"/>
      <c r="AH38" s="9"/>
      <c r="AI38" s="9"/>
    </row>
    <row r="39" spans="1:35" ht="12" customHeight="1" x14ac:dyDescent="0.35">
      <c r="A39" s="7"/>
      <c r="B39" s="8"/>
      <c r="C39" s="18"/>
      <c r="D39" s="18"/>
      <c r="E39" s="18"/>
      <c r="F39" s="24"/>
      <c r="G39" s="28" t="s">
        <v>3265</v>
      </c>
      <c r="H39" s="28"/>
      <c r="I39" s="41" t="s">
        <v>3264</v>
      </c>
      <c r="J39" s="29">
        <v>12100</v>
      </c>
      <c r="K39" s="29">
        <v>12100</v>
      </c>
      <c r="L39" s="29">
        <v>0</v>
      </c>
      <c r="M39" s="29">
        <v>7000</v>
      </c>
      <c r="N39" s="29">
        <v>0</v>
      </c>
      <c r="O39" s="29">
        <v>0</v>
      </c>
      <c r="P39" s="29">
        <v>13300</v>
      </c>
      <c r="Q39" s="29">
        <v>13300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35">
      <c r="A40" s="7"/>
      <c r="B40" s="8"/>
      <c r="C40" s="18"/>
      <c r="D40" s="18"/>
      <c r="E40" s="18"/>
      <c r="F40" s="24"/>
      <c r="G40" s="30" t="s">
        <v>248</v>
      </c>
      <c r="H40" s="28"/>
      <c r="I40" s="41" t="s">
        <v>3266</v>
      </c>
      <c r="J40" s="43">
        <v>0.12</v>
      </c>
      <c r="K40" s="43">
        <v>0.12</v>
      </c>
      <c r="L40" s="43">
        <v>0.216</v>
      </c>
      <c r="M40" s="43">
        <v>0.08</v>
      </c>
      <c r="N40" s="43">
        <v>0.216</v>
      </c>
      <c r="O40" s="43">
        <v>0.216</v>
      </c>
      <c r="P40" s="43">
        <v>0.3</v>
      </c>
      <c r="Q40" s="43">
        <v>0.3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35">
      <c r="A41" s="7"/>
      <c r="B41" s="8"/>
      <c r="C41" s="18"/>
      <c r="D41" s="18"/>
      <c r="E41" s="18"/>
      <c r="F41" s="24"/>
      <c r="G41" s="30" t="s">
        <v>248</v>
      </c>
      <c r="H41" s="28"/>
      <c r="I41" s="41" t="s">
        <v>3267</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35">
      <c r="A42" s="7"/>
      <c r="B42" s="8"/>
      <c r="C42" s="18"/>
      <c r="D42" s="18"/>
      <c r="E42" s="18"/>
      <c r="F42" s="24"/>
      <c r="G42" s="30" t="s">
        <v>248</v>
      </c>
      <c r="H42" s="28"/>
      <c r="I42" s="41" t="s">
        <v>3268</v>
      </c>
      <c r="J42" s="43">
        <v>0.8</v>
      </c>
      <c r="K42" s="43">
        <v>0.8</v>
      </c>
      <c r="L42" s="43">
        <v>0.8</v>
      </c>
      <c r="M42" s="43">
        <v>0.75</v>
      </c>
      <c r="N42" s="43">
        <v>0.95</v>
      </c>
      <c r="O42" s="43">
        <v>0.8</v>
      </c>
      <c r="P42" s="43">
        <v>0.95</v>
      </c>
      <c r="Q42" s="43">
        <v>0.95</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35">
      <c r="A43" s="7"/>
      <c r="B43" s="8"/>
      <c r="C43" s="18"/>
      <c r="D43" s="18"/>
      <c r="E43" s="18"/>
      <c r="F43" s="24"/>
      <c r="G43" s="30" t="s">
        <v>248</v>
      </c>
      <c r="H43" s="28"/>
      <c r="I43" s="41" t="s">
        <v>3269</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3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3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3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3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35">
      <c r="A55" s="7"/>
      <c r="B55" s="8"/>
      <c r="C55" s="18"/>
      <c r="D55" s="18"/>
      <c r="E55" s="18"/>
      <c r="F55" s="18"/>
      <c r="G55" s="18"/>
      <c r="H55" s="18"/>
      <c r="I55" s="18" t="s">
        <v>104</v>
      </c>
      <c r="J55" s="354" t="str" cm="1">
        <f t="array" ref="J55:AA55">TRANSPOSE(General!G37:G54)</f>
        <v>b</v>
      </c>
      <c r="K55" s="354" t="str">
        <v>bd</v>
      </c>
      <c r="L55" s="354" t="str">
        <v>f</v>
      </c>
      <c r="M55" s="354" t="str">
        <v>h</v>
      </c>
      <c r="N55" s="354" t="str">
        <v>i</v>
      </c>
      <c r="O55" s="354" t="str">
        <v>k</v>
      </c>
      <c r="P55" s="354" t="str">
        <v>l</v>
      </c>
      <c r="Q55" s="354" t="str">
        <v>ms</v>
      </c>
      <c r="R55" s="354" t="str">
        <v>o</v>
      </c>
      <c r="S55" s="354" t="str">
        <v>od</v>
      </c>
      <c r="T55" s="354" t="str">
        <v>of</v>
      </c>
      <c r="U55" s="354" t="str">
        <v>r</v>
      </c>
      <c r="V55" s="354" t="str">
        <v>rd</v>
      </c>
      <c r="W55" s="354" t="str">
        <v>v</v>
      </c>
      <c r="X55" s="354" t="str">
        <v>w</v>
      </c>
      <c r="Y55" s="354" t="str">
        <v>wd</v>
      </c>
      <c r="Z55" s="354" t="str">
        <v>z</v>
      </c>
      <c r="AA55" s="354" t="str">
        <v>zd</v>
      </c>
      <c r="AB55" s="21"/>
      <c r="AC55" s="21"/>
      <c r="AD55" s="21"/>
      <c r="AE55" s="21"/>
      <c r="AF55" s="17"/>
      <c r="AG55" s="9"/>
      <c r="AH55" s="9"/>
      <c r="AI55" s="9"/>
    </row>
    <row r="56" spans="1:35" ht="12" customHeight="1" x14ac:dyDescent="0.35">
      <c r="A56" s="7"/>
      <c r="B56" s="8"/>
      <c r="C56" s="18"/>
      <c r="D56" s="18"/>
      <c r="E56" s="18"/>
      <c r="F56" s="24"/>
      <c r="G56" s="25"/>
      <c r="H56" s="25"/>
      <c r="I56" s="25" t="s">
        <v>103</v>
      </c>
      <c r="J56" s="26" t="s">
        <v>102</v>
      </c>
      <c r="K56" s="26" t="s">
        <v>102</v>
      </c>
      <c r="L56" s="26" t="s">
        <v>102</v>
      </c>
      <c r="M56" s="26" t="s">
        <v>2349</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35">
      <c r="A57" s="7"/>
      <c r="B57" s="8"/>
      <c r="C57" s="18"/>
      <c r="D57" s="18"/>
      <c r="E57" s="18"/>
      <c r="F57" s="24"/>
      <c r="H57" s="28" t="s">
        <v>101</v>
      </c>
      <c r="I57" s="41" t="s">
        <v>107</v>
      </c>
      <c r="J57" s="40">
        <v>0.62</v>
      </c>
      <c r="K57" s="40">
        <v>0.62</v>
      </c>
      <c r="L57" s="40">
        <v>0.65</v>
      </c>
      <c r="M57" s="39">
        <v>1</v>
      </c>
      <c r="N57" s="40">
        <v>0.74</v>
      </c>
      <c r="O57" s="40">
        <v>0.74</v>
      </c>
      <c r="P57" s="40">
        <v>0.72</v>
      </c>
      <c r="Q57" s="40">
        <v>0.72</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3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35">
      <c r="A64" s="7"/>
      <c r="B64" s="8"/>
      <c r="C64" s="13"/>
      <c r="D64" s="13"/>
      <c r="E64" s="13" t="s">
        <v>94</v>
      </c>
      <c r="F64" s="14"/>
      <c r="G64" s="15" t="s">
        <v>2350</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3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3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35">
      <c r="A71" s="7"/>
      <c r="B71" s="8"/>
      <c r="C71" s="18"/>
      <c r="D71" s="18"/>
      <c r="E71" s="18"/>
      <c r="F71" s="24"/>
      <c r="I71" t="s">
        <v>2351</v>
      </c>
      <c r="AC71" s="27"/>
      <c r="AD71" s="27"/>
      <c r="AE71" s="27"/>
      <c r="AF71" s="17"/>
      <c r="AG71" s="9"/>
      <c r="AH71" s="9"/>
      <c r="AI71" s="9"/>
    </row>
    <row r="72" spans="1:35" ht="12" customHeight="1" x14ac:dyDescent="0.35">
      <c r="A72" s="7"/>
      <c r="B72" s="8"/>
      <c r="C72" s="18"/>
      <c r="D72" s="18"/>
      <c r="E72" s="18"/>
      <c r="F72" s="24"/>
      <c r="I72" s="358"/>
      <c r="J72" s="358"/>
      <c r="K72" s="358"/>
      <c r="L72" s="358"/>
      <c r="M72" s="358"/>
      <c r="AC72" s="27"/>
      <c r="AD72" s="27"/>
      <c r="AE72" s="27"/>
      <c r="AF72" s="17"/>
      <c r="AG72" s="9"/>
      <c r="AH72" s="9"/>
      <c r="AI72" s="9"/>
    </row>
    <row r="73" spans="1:35" ht="12" customHeight="1" x14ac:dyDescent="0.35">
      <c r="A73" s="7"/>
      <c r="B73" s="8"/>
      <c r="C73" s="18"/>
      <c r="D73" s="18"/>
      <c r="E73" s="18"/>
      <c r="F73" s="24"/>
      <c r="J73" t="s">
        <v>2343</v>
      </c>
      <c r="K73" t="s">
        <v>2345</v>
      </c>
      <c r="L73" t="s">
        <v>2344</v>
      </c>
      <c r="AC73" s="27"/>
      <c r="AD73" s="27"/>
      <c r="AE73" s="27"/>
      <c r="AF73" s="17"/>
      <c r="AG73" s="9"/>
      <c r="AH73" s="9"/>
      <c r="AI73" s="9"/>
    </row>
    <row r="74" spans="1:35" ht="12" customHeight="1" x14ac:dyDescent="0.35">
      <c r="A74" s="7"/>
      <c r="B74" s="8"/>
      <c r="C74" s="18"/>
      <c r="D74" s="18"/>
      <c r="E74" s="18"/>
      <c r="F74" s="24"/>
      <c r="I74" s="359" t="str">
        <f>General!G37</f>
        <v>b</v>
      </c>
      <c r="J74" s="361">
        <v>1</v>
      </c>
      <c r="K74" s="361">
        <v>0</v>
      </c>
      <c r="L74" s="361">
        <v>0</v>
      </c>
      <c r="M74" s="360" t="str">
        <f>IF(SUM(J74:L74)&gt;1,"***ERROR***","")</f>
        <v/>
      </c>
      <c r="AC74" s="27"/>
      <c r="AD74" s="27"/>
      <c r="AE74" s="27"/>
      <c r="AF74" s="17"/>
      <c r="AG74" s="9"/>
      <c r="AH74" s="9"/>
      <c r="AI74" s="9"/>
    </row>
    <row r="75" spans="1:35" ht="12" customHeight="1" x14ac:dyDescent="0.35">
      <c r="A75" s="7"/>
      <c r="B75" s="8"/>
      <c r="C75" s="18"/>
      <c r="D75" s="18"/>
      <c r="E75" s="18"/>
      <c r="F75" s="24"/>
      <c r="I75" s="359" t="str">
        <f>General!G38</f>
        <v>bd</v>
      </c>
      <c r="J75" s="361">
        <v>1</v>
      </c>
      <c r="K75" s="361">
        <v>0</v>
      </c>
      <c r="L75" s="361">
        <v>0</v>
      </c>
      <c r="M75" s="360" t="str">
        <f t="shared" ref="M75:M91" si="0">IF(SUM(J75:L75)&gt;1,"***ERROR***","")</f>
        <v/>
      </c>
      <c r="AC75" s="27"/>
      <c r="AD75" s="27"/>
      <c r="AE75" s="27"/>
      <c r="AF75" s="17"/>
      <c r="AG75" s="9"/>
      <c r="AH75" s="9"/>
      <c r="AI75" s="9"/>
    </row>
    <row r="76" spans="1:35" ht="12" customHeight="1" x14ac:dyDescent="0.35">
      <c r="A76" s="7"/>
      <c r="B76" s="8"/>
      <c r="C76" s="18"/>
      <c r="D76" s="18"/>
      <c r="E76" s="18"/>
      <c r="F76" s="24"/>
      <c r="I76" s="359" t="str">
        <f>General!G39</f>
        <v>f</v>
      </c>
      <c r="J76" s="361">
        <v>1</v>
      </c>
      <c r="K76" s="361">
        <v>0</v>
      </c>
      <c r="L76" s="361">
        <v>0</v>
      </c>
      <c r="M76" s="360" t="str">
        <f t="shared" si="0"/>
        <v/>
      </c>
      <c r="AC76" s="27"/>
      <c r="AD76" s="27"/>
      <c r="AE76" s="27"/>
      <c r="AF76" s="17"/>
      <c r="AG76" s="9"/>
      <c r="AH76" s="9"/>
      <c r="AI76" s="9"/>
    </row>
    <row r="77" spans="1:35" ht="12" customHeight="1" x14ac:dyDescent="0.35">
      <c r="A77" s="7"/>
      <c r="B77" s="8"/>
      <c r="C77" s="18"/>
      <c r="D77" s="18"/>
      <c r="E77" s="18"/>
      <c r="F77" s="24"/>
      <c r="I77" s="359" t="str">
        <f>General!G40</f>
        <v>h</v>
      </c>
      <c r="J77" s="361">
        <v>0</v>
      </c>
      <c r="K77" s="361">
        <v>0</v>
      </c>
      <c r="L77" s="361">
        <v>1</v>
      </c>
      <c r="M77" s="360" t="str">
        <f t="shared" si="0"/>
        <v/>
      </c>
      <c r="AC77" s="27"/>
      <c r="AD77" s="27"/>
      <c r="AE77" s="27"/>
      <c r="AF77" s="17"/>
      <c r="AG77" s="9"/>
      <c r="AH77" s="9"/>
      <c r="AI77" s="9"/>
    </row>
    <row r="78" spans="1:35" ht="12" customHeight="1" x14ac:dyDescent="0.35">
      <c r="A78" s="7"/>
      <c r="B78" s="8"/>
      <c r="C78" s="18"/>
      <c r="D78" s="18"/>
      <c r="E78" s="18"/>
      <c r="F78" s="24"/>
      <c r="I78" s="359" t="str">
        <f>General!G41</f>
        <v>i</v>
      </c>
      <c r="J78" s="361">
        <v>1</v>
      </c>
      <c r="K78" s="361">
        <v>0</v>
      </c>
      <c r="L78" s="361">
        <v>0</v>
      </c>
      <c r="M78" s="360" t="str">
        <f t="shared" si="0"/>
        <v/>
      </c>
      <c r="AC78" s="27"/>
      <c r="AD78" s="27"/>
      <c r="AE78" s="27"/>
      <c r="AF78" s="17"/>
      <c r="AG78" s="9"/>
      <c r="AH78" s="9"/>
      <c r="AI78" s="9"/>
    </row>
    <row r="79" spans="1:35" ht="12" customHeight="1" x14ac:dyDescent="0.35">
      <c r="A79" s="7"/>
      <c r="B79" s="8"/>
      <c r="C79" s="18"/>
      <c r="D79" s="18"/>
      <c r="E79" s="18"/>
      <c r="F79" s="24"/>
      <c r="I79" s="359" t="str">
        <f>General!G42</f>
        <v>k</v>
      </c>
      <c r="J79" s="361">
        <v>1</v>
      </c>
      <c r="K79" s="361">
        <v>0</v>
      </c>
      <c r="L79" s="361">
        <v>0</v>
      </c>
      <c r="M79" s="360" t="str">
        <f t="shared" si="0"/>
        <v/>
      </c>
      <c r="AC79" s="27"/>
      <c r="AD79" s="27"/>
      <c r="AE79" s="27"/>
      <c r="AF79" s="17"/>
      <c r="AG79" s="9"/>
      <c r="AH79" s="9"/>
      <c r="AI79" s="9"/>
    </row>
    <row r="80" spans="1:35" ht="12" customHeight="1" x14ac:dyDescent="0.35">
      <c r="A80" s="7"/>
      <c r="B80" s="8"/>
      <c r="C80" s="18"/>
      <c r="D80" s="18"/>
      <c r="E80" s="18"/>
      <c r="F80" s="24"/>
      <c r="I80" s="359" t="str">
        <f>General!G43</f>
        <v>l</v>
      </c>
      <c r="J80" s="361">
        <v>1</v>
      </c>
      <c r="K80" s="361">
        <v>0</v>
      </c>
      <c r="L80" s="361">
        <v>0</v>
      </c>
      <c r="M80" s="360" t="str">
        <f t="shared" si="0"/>
        <v/>
      </c>
      <c r="AC80" s="27"/>
      <c r="AD80" s="27"/>
      <c r="AE80" s="27"/>
      <c r="AF80" s="17"/>
      <c r="AG80" s="9"/>
      <c r="AH80" s="9"/>
      <c r="AI80" s="9"/>
    </row>
    <row r="81" spans="1:35" ht="12" customHeight="1" x14ac:dyDescent="0.35">
      <c r="A81" s="7"/>
      <c r="B81" s="8"/>
      <c r="C81" s="18"/>
      <c r="D81" s="18"/>
      <c r="E81" s="18"/>
      <c r="F81" s="24"/>
      <c r="I81" s="359" t="str">
        <f>General!G44</f>
        <v>ms</v>
      </c>
      <c r="J81" s="361">
        <v>1</v>
      </c>
      <c r="K81" s="361">
        <v>0</v>
      </c>
      <c r="L81" s="361">
        <v>0</v>
      </c>
      <c r="M81" s="360" t="str">
        <f t="shared" ref="M81" si="1">IF(SUM(J81:L81)&gt;1,"***ERROR***","")</f>
        <v/>
      </c>
      <c r="AC81" s="27"/>
      <c r="AD81" s="27"/>
      <c r="AE81" s="27"/>
      <c r="AF81" s="17"/>
      <c r="AG81" s="9"/>
      <c r="AH81" s="9"/>
      <c r="AI81" s="9"/>
    </row>
    <row r="82" spans="1:35" ht="12" customHeight="1" x14ac:dyDescent="0.35">
      <c r="A82" s="7"/>
      <c r="B82" s="8"/>
      <c r="C82" s="18"/>
      <c r="D82" s="18"/>
      <c r="E82" s="18"/>
      <c r="F82" s="24"/>
      <c r="I82" s="359" t="str">
        <f>General!G45</f>
        <v>o</v>
      </c>
      <c r="J82" s="361">
        <v>1</v>
      </c>
      <c r="K82" s="361">
        <v>0</v>
      </c>
      <c r="L82" s="361">
        <v>0</v>
      </c>
      <c r="M82" s="360" t="str">
        <f t="shared" si="0"/>
        <v/>
      </c>
      <c r="AC82" s="27"/>
      <c r="AD82" s="27"/>
      <c r="AE82" s="27"/>
      <c r="AF82" s="17"/>
      <c r="AG82" s="9"/>
      <c r="AH82" s="9"/>
      <c r="AI82" s="9"/>
    </row>
    <row r="83" spans="1:35" ht="12" customHeight="1" x14ac:dyDescent="0.35">
      <c r="A83" s="7"/>
      <c r="B83" s="8"/>
      <c r="C83" s="18"/>
      <c r="D83" s="18"/>
      <c r="E83" s="18"/>
      <c r="F83" s="24"/>
      <c r="I83" s="359" t="str">
        <f>General!G46</f>
        <v>od</v>
      </c>
      <c r="J83" s="361">
        <v>1</v>
      </c>
      <c r="K83" s="361">
        <v>0</v>
      </c>
      <c r="L83" s="361">
        <v>0</v>
      </c>
      <c r="M83" s="360" t="str">
        <f t="shared" si="0"/>
        <v/>
      </c>
      <c r="AC83" s="27"/>
      <c r="AD83" s="27"/>
      <c r="AE83" s="27"/>
      <c r="AF83" s="17"/>
      <c r="AG83" s="9"/>
      <c r="AH83" s="9"/>
      <c r="AI83" s="9"/>
    </row>
    <row r="84" spans="1:35" ht="12" customHeight="1" x14ac:dyDescent="0.35">
      <c r="A84" s="7"/>
      <c r="B84" s="8"/>
      <c r="C84" s="18"/>
      <c r="D84" s="18"/>
      <c r="E84" s="18"/>
      <c r="F84" s="24"/>
      <c r="I84" s="359" t="str">
        <f>General!G47</f>
        <v>of</v>
      </c>
      <c r="J84" s="361">
        <v>0</v>
      </c>
      <c r="K84" s="361">
        <v>1</v>
      </c>
      <c r="L84" s="361">
        <v>0</v>
      </c>
      <c r="M84" s="360" t="str">
        <f t="shared" si="0"/>
        <v/>
      </c>
      <c r="AC84" s="27"/>
      <c r="AD84" s="27"/>
      <c r="AE84" s="27"/>
      <c r="AF84" s="17"/>
      <c r="AG84" s="9"/>
      <c r="AH84" s="9"/>
      <c r="AI84" s="9"/>
    </row>
    <row r="85" spans="1:35" ht="12" customHeight="1" x14ac:dyDescent="0.35">
      <c r="A85" s="7"/>
      <c r="B85" s="8"/>
      <c r="C85" s="18"/>
      <c r="D85" s="18"/>
      <c r="E85" s="18"/>
      <c r="F85" s="24"/>
      <c r="I85" s="359" t="str">
        <f>General!G48</f>
        <v>r</v>
      </c>
      <c r="J85" s="361">
        <v>1</v>
      </c>
      <c r="K85" s="361">
        <v>0</v>
      </c>
      <c r="L85" s="361">
        <v>0</v>
      </c>
      <c r="M85" s="360" t="str">
        <f t="shared" si="0"/>
        <v/>
      </c>
      <c r="AC85" s="27"/>
      <c r="AD85" s="27"/>
      <c r="AE85" s="27"/>
      <c r="AF85" s="17"/>
      <c r="AG85" s="9"/>
      <c r="AH85" s="9"/>
      <c r="AI85" s="9"/>
    </row>
    <row r="86" spans="1:35" ht="12" customHeight="1" x14ac:dyDescent="0.35">
      <c r="A86" s="7"/>
      <c r="B86" s="8"/>
      <c r="C86" s="18"/>
      <c r="D86" s="18"/>
      <c r="E86" s="18"/>
      <c r="F86" s="24"/>
      <c r="I86" s="359" t="str">
        <f>General!G49</f>
        <v>rd</v>
      </c>
      <c r="J86" s="361">
        <v>1</v>
      </c>
      <c r="K86" s="361">
        <v>0</v>
      </c>
      <c r="L86" s="361">
        <v>0</v>
      </c>
      <c r="M86" s="360" t="str">
        <f t="shared" si="0"/>
        <v/>
      </c>
      <c r="AC86" s="27"/>
      <c r="AD86" s="27"/>
      <c r="AE86" s="27"/>
      <c r="AF86" s="17"/>
      <c r="AG86" s="9"/>
      <c r="AH86" s="9"/>
      <c r="AI86" s="9"/>
    </row>
    <row r="87" spans="1:35" ht="12" customHeight="1" x14ac:dyDescent="0.35">
      <c r="A87" s="7"/>
      <c r="B87" s="8"/>
      <c r="C87" s="18"/>
      <c r="D87" s="18"/>
      <c r="E87" s="18"/>
      <c r="F87" s="24"/>
      <c r="I87" s="359" t="str">
        <f>General!G50</f>
        <v>v</v>
      </c>
      <c r="J87" s="361">
        <v>1</v>
      </c>
      <c r="K87" s="361">
        <v>0</v>
      </c>
      <c r="L87" s="361">
        <v>0</v>
      </c>
      <c r="M87" s="360" t="str">
        <f t="shared" si="0"/>
        <v/>
      </c>
      <c r="AC87" s="27"/>
      <c r="AD87" s="27"/>
      <c r="AE87" s="27"/>
      <c r="AF87" s="17"/>
      <c r="AG87" s="9"/>
      <c r="AH87" s="9"/>
      <c r="AI87" s="9"/>
    </row>
    <row r="88" spans="1:35" ht="12" customHeight="1" x14ac:dyDescent="0.35">
      <c r="A88" s="7"/>
      <c r="B88" s="8"/>
      <c r="C88" s="18"/>
      <c r="D88" s="18"/>
      <c r="E88" s="18"/>
      <c r="F88" s="24"/>
      <c r="I88" s="359" t="str">
        <f>General!G51</f>
        <v>w</v>
      </c>
      <c r="J88" s="361">
        <v>1</v>
      </c>
      <c r="K88" s="361">
        <v>0</v>
      </c>
      <c r="L88" s="361">
        <v>0</v>
      </c>
      <c r="M88" s="360" t="str">
        <f t="shared" si="0"/>
        <v/>
      </c>
      <c r="AC88" s="27"/>
      <c r="AD88" s="27"/>
      <c r="AE88" s="27"/>
      <c r="AF88" s="17"/>
      <c r="AG88" s="9"/>
      <c r="AH88" s="9"/>
      <c r="AI88" s="9"/>
    </row>
    <row r="89" spans="1:35" ht="12" customHeight="1" x14ac:dyDescent="0.35">
      <c r="A89" s="7"/>
      <c r="B89" s="8"/>
      <c r="C89" s="18"/>
      <c r="D89" s="18"/>
      <c r="E89" s="18"/>
      <c r="F89" s="24"/>
      <c r="I89" s="359" t="str">
        <f>General!G52</f>
        <v>wd</v>
      </c>
      <c r="J89" s="361">
        <v>1</v>
      </c>
      <c r="K89" s="361">
        <v>0</v>
      </c>
      <c r="L89" s="361">
        <v>0</v>
      </c>
      <c r="M89" s="360" t="str">
        <f t="shared" si="0"/>
        <v/>
      </c>
      <c r="AC89" s="27"/>
      <c r="AD89" s="27"/>
      <c r="AE89" s="27"/>
      <c r="AF89" s="17"/>
      <c r="AG89" s="9"/>
      <c r="AH89" s="9"/>
      <c r="AI89" s="9"/>
    </row>
    <row r="90" spans="1:35" ht="12" customHeight="1" x14ac:dyDescent="0.35">
      <c r="A90" s="7"/>
      <c r="B90" s="8"/>
      <c r="C90" s="18"/>
      <c r="D90" s="18"/>
      <c r="E90" s="18"/>
      <c r="F90" s="24"/>
      <c r="I90" s="359" t="str">
        <f>General!G53</f>
        <v>z</v>
      </c>
      <c r="J90" s="361">
        <v>1</v>
      </c>
      <c r="K90" s="361">
        <v>0</v>
      </c>
      <c r="L90" s="361">
        <v>0</v>
      </c>
      <c r="M90" s="360" t="str">
        <f t="shared" si="0"/>
        <v/>
      </c>
      <c r="AC90" s="27"/>
      <c r="AD90" s="27"/>
      <c r="AE90" s="27"/>
      <c r="AF90" s="17"/>
      <c r="AG90" s="9"/>
      <c r="AH90" s="9"/>
      <c r="AI90" s="9"/>
    </row>
    <row r="91" spans="1:35" ht="12" customHeight="1" x14ac:dyDescent="0.35">
      <c r="A91" s="7"/>
      <c r="B91" s="8"/>
      <c r="C91" s="18"/>
      <c r="D91" s="18"/>
      <c r="E91" s="18"/>
      <c r="F91" s="24"/>
      <c r="I91" s="359" t="str">
        <f>General!G54</f>
        <v>zd</v>
      </c>
      <c r="J91" s="361">
        <v>1</v>
      </c>
      <c r="K91" s="361">
        <v>0</v>
      </c>
      <c r="L91" s="361">
        <v>0</v>
      </c>
      <c r="M91" s="360" t="str">
        <f t="shared" si="0"/>
        <v/>
      </c>
      <c r="AC91" s="27"/>
      <c r="AD91" s="27"/>
      <c r="AE91" s="27"/>
      <c r="AF91" s="17"/>
      <c r="AG91" s="9"/>
      <c r="AH91" s="9"/>
      <c r="AI91" s="9"/>
    </row>
    <row r="92" spans="1:35" ht="12" customHeight="1" x14ac:dyDescent="0.35">
      <c r="A92" s="7"/>
      <c r="B92" s="8"/>
      <c r="C92" s="18"/>
      <c r="D92" s="18"/>
      <c r="E92" s="18"/>
      <c r="F92" s="24"/>
      <c r="AC92" s="27"/>
      <c r="AD92" s="27"/>
      <c r="AE92" s="27"/>
      <c r="AF92" s="17"/>
      <c r="AG92" s="9"/>
      <c r="AH92" s="9"/>
      <c r="AI92" s="9"/>
    </row>
    <row r="93" spans="1:35" ht="12" customHeight="1" x14ac:dyDescent="0.3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3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3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66"/>
  <sheetViews>
    <sheetView topLeftCell="A82" zoomScale="80" zoomScaleNormal="80" workbookViewId="0">
      <selection activeCell="H106" sqref="H106"/>
    </sheetView>
  </sheetViews>
  <sheetFormatPr defaultColWidth="8.54296875" defaultRowHeight="14.5" outlineLevelRow="2" x14ac:dyDescent="0.35"/>
  <cols>
    <col min="1" max="1" width="5.453125" style="1" customWidth="1"/>
    <col min="2" max="3" width="4.453125" style="1" customWidth="1"/>
    <col min="4" max="4" width="1.54296875" style="1" customWidth="1"/>
    <col min="5" max="5" width="2.54296875" style="1" customWidth="1"/>
    <col min="6" max="6" width="2.453125" style="1" customWidth="1"/>
    <col min="7" max="7" width="10.54296875" style="1" customWidth="1"/>
    <col min="8" max="8" width="11.54296875" style="1" customWidth="1"/>
    <col min="9" max="9" width="17.54296875" style="1" customWidth="1"/>
    <col min="10" max="10" width="14" style="1" customWidth="1"/>
    <col min="11" max="11" width="14.7265625" style="1" customWidth="1"/>
    <col min="12" max="12" width="15.453125" style="1" customWidth="1"/>
    <col min="13" max="13" width="14.453125" style="1" customWidth="1"/>
    <col min="14" max="15" width="14.54296875" style="1" customWidth="1"/>
    <col min="16" max="17" width="13.453125" style="1" customWidth="1"/>
    <col min="18" max="18" width="13.26953125" style="1" customWidth="1"/>
    <col min="19" max="21" width="11.7265625" style="1" customWidth="1"/>
    <col min="22" max="41" width="12.54296875" style="1" customWidth="1"/>
    <col min="42" max="16384" width="8.54296875" style="1"/>
  </cols>
  <sheetData>
    <row r="1" spans="1:26" customFormat="1" ht="12" customHeight="1" x14ac:dyDescent="0.35">
      <c r="A1" s="7"/>
      <c r="B1" s="8"/>
      <c r="C1" s="8"/>
      <c r="D1" s="8"/>
      <c r="E1" s="8"/>
      <c r="F1" s="8"/>
      <c r="G1" s="8"/>
      <c r="H1" s="9"/>
      <c r="I1" s="9"/>
      <c r="J1" s="9"/>
      <c r="K1" s="9"/>
      <c r="L1" s="9"/>
      <c r="M1" s="9"/>
      <c r="N1" s="9"/>
      <c r="O1" s="9"/>
      <c r="P1" s="9"/>
      <c r="Q1" s="9"/>
      <c r="R1" s="9"/>
      <c r="S1" s="9"/>
      <c r="T1" s="9"/>
      <c r="U1" s="9"/>
      <c r="V1" s="9"/>
      <c r="W1" s="9"/>
      <c r="X1" s="8"/>
      <c r="Y1" s="8"/>
      <c r="Z1" s="8"/>
    </row>
    <row r="2" spans="1:26" customFormat="1" ht="5.15" customHeight="1" thickBot="1" x14ac:dyDescent="0.4">
      <c r="A2" s="7"/>
      <c r="B2" s="8"/>
      <c r="C2" s="8"/>
      <c r="D2" s="8"/>
      <c r="E2" s="8"/>
      <c r="F2" s="8"/>
      <c r="G2" s="8"/>
      <c r="H2" s="9"/>
      <c r="I2" s="9"/>
      <c r="J2" s="9"/>
      <c r="K2" s="9"/>
      <c r="L2" s="9"/>
      <c r="M2" s="9"/>
      <c r="N2" s="9"/>
      <c r="O2" s="9"/>
      <c r="P2" s="9"/>
      <c r="Q2" s="9"/>
      <c r="R2" s="9"/>
      <c r="S2" s="9"/>
      <c r="T2" s="9"/>
      <c r="U2" s="9"/>
      <c r="V2" s="9"/>
      <c r="W2" s="9"/>
      <c r="X2" s="8"/>
      <c r="Y2" s="8"/>
      <c r="Z2" s="8"/>
    </row>
    <row r="3" spans="1:26" customFormat="1" ht="5.15" customHeight="1" x14ac:dyDescent="0.35">
      <c r="A3" s="7"/>
      <c r="B3" s="8"/>
      <c r="C3" s="10" t="s">
        <v>93</v>
      </c>
      <c r="D3" s="10"/>
      <c r="E3" s="10"/>
      <c r="F3" s="10"/>
      <c r="G3" s="10"/>
      <c r="H3" s="10"/>
      <c r="I3" s="10"/>
      <c r="J3" s="10"/>
      <c r="K3" s="11"/>
      <c r="L3" s="11"/>
      <c r="M3" s="11"/>
      <c r="N3" s="11"/>
      <c r="O3" s="11"/>
      <c r="P3" s="11"/>
      <c r="Q3" s="11"/>
      <c r="R3" s="11"/>
      <c r="S3" s="11"/>
      <c r="T3" s="11"/>
      <c r="U3" s="11"/>
      <c r="V3" s="11"/>
      <c r="W3" s="12"/>
      <c r="X3" s="9"/>
      <c r="Y3" s="9"/>
      <c r="Z3" s="9"/>
    </row>
    <row r="4" spans="1:26" customFormat="1" ht="12" customHeight="1" x14ac:dyDescent="0.35">
      <c r="A4" s="7"/>
      <c r="B4" s="8"/>
      <c r="C4" s="13"/>
      <c r="D4" s="13"/>
      <c r="E4" s="13" t="s">
        <v>94</v>
      </c>
      <c r="F4" s="14"/>
      <c r="G4" s="15" t="s">
        <v>3074</v>
      </c>
      <c r="H4" s="14"/>
      <c r="I4" s="14"/>
      <c r="J4" s="14"/>
      <c r="K4" s="14"/>
      <c r="L4" s="14"/>
      <c r="M4" s="14"/>
      <c r="N4" s="14"/>
      <c r="O4" s="14"/>
      <c r="P4" s="14"/>
      <c r="Q4" s="14"/>
      <c r="R4" s="14"/>
      <c r="S4" s="16"/>
      <c r="T4" s="14"/>
      <c r="U4" s="16"/>
      <c r="V4" s="16"/>
      <c r="W4" s="17"/>
      <c r="X4" s="9"/>
      <c r="Y4" s="9"/>
      <c r="Z4" s="9"/>
    </row>
    <row r="5" spans="1:26" customFormat="1" ht="12" customHeight="1" outlineLevel="1" x14ac:dyDescent="0.35">
      <c r="A5" s="7"/>
      <c r="B5" s="8"/>
      <c r="C5" s="13"/>
      <c r="D5" s="13"/>
      <c r="E5" s="18"/>
      <c r="F5" s="14"/>
      <c r="G5" s="14" t="s">
        <v>3075</v>
      </c>
      <c r="H5" s="14"/>
      <c r="I5" s="14"/>
      <c r="J5" s="14"/>
      <c r="K5" s="14"/>
      <c r="L5" s="14"/>
      <c r="M5" s="14"/>
      <c r="N5" s="14"/>
      <c r="O5" s="14"/>
      <c r="P5" s="14"/>
      <c r="Q5" s="14"/>
      <c r="R5" s="14"/>
      <c r="S5" s="16"/>
      <c r="T5" s="19"/>
      <c r="U5" s="16"/>
      <c r="V5" s="16"/>
      <c r="W5" s="17"/>
      <c r="X5" s="9"/>
      <c r="Y5" s="9"/>
      <c r="Z5" s="9"/>
    </row>
    <row r="6" spans="1:26" customFormat="1" ht="12" customHeight="1" outlineLevel="1" x14ac:dyDescent="0.35">
      <c r="A6" s="7"/>
      <c r="B6" s="8"/>
      <c r="C6" s="18"/>
      <c r="D6" s="13"/>
      <c r="E6" s="18"/>
      <c r="F6" s="14"/>
      <c r="G6" s="20">
        <v>38576.728703703702</v>
      </c>
      <c r="H6" s="14"/>
      <c r="I6" s="14"/>
      <c r="J6" s="14"/>
      <c r="K6" s="14"/>
      <c r="L6" s="14"/>
      <c r="M6" s="14"/>
      <c r="N6" s="14"/>
      <c r="O6" s="14"/>
      <c r="P6" s="14"/>
      <c r="Q6" s="14"/>
      <c r="R6" s="14"/>
      <c r="S6" s="16"/>
      <c r="T6" s="19"/>
      <c r="U6" s="16"/>
      <c r="V6" s="16"/>
      <c r="W6" s="17"/>
      <c r="X6" s="9"/>
      <c r="Y6" s="9"/>
      <c r="Z6" s="9"/>
    </row>
    <row r="7" spans="1:26" customFormat="1" ht="12" customHeight="1" outlineLevel="1" x14ac:dyDescent="0.35">
      <c r="A7" s="7"/>
      <c r="B7" s="8"/>
      <c r="C7" s="412"/>
      <c r="D7" s="13"/>
      <c r="E7" s="18"/>
      <c r="F7" s="14"/>
      <c r="G7" s="511"/>
      <c r="H7" s="14"/>
      <c r="I7" s="14"/>
      <c r="J7" s="14"/>
      <c r="K7" s="14"/>
      <c r="L7" s="14"/>
      <c r="M7" s="14"/>
      <c r="N7" s="14"/>
      <c r="O7" s="14"/>
      <c r="P7" s="14"/>
      <c r="Q7" s="14"/>
      <c r="R7" s="14"/>
      <c r="S7" s="16"/>
      <c r="T7" s="19"/>
      <c r="U7" s="16"/>
      <c r="V7" s="16"/>
      <c r="W7" s="17"/>
      <c r="X7" s="9"/>
      <c r="Y7" s="9"/>
      <c r="Z7" s="9"/>
    </row>
    <row r="8" spans="1:26" customFormat="1" ht="12" customHeight="1" outlineLevel="1" x14ac:dyDescent="0.35">
      <c r="A8" s="7"/>
      <c r="B8" s="8"/>
      <c r="C8" s="18"/>
      <c r="D8" s="18"/>
      <c r="E8" s="18"/>
      <c r="F8" s="18"/>
      <c r="G8" s="18"/>
      <c r="H8" s="18"/>
      <c r="I8" s="18"/>
      <c r="J8" s="21"/>
      <c r="K8" s="21"/>
      <c r="L8" s="21"/>
      <c r="M8" s="21"/>
      <c r="N8" s="21"/>
      <c r="O8" s="21"/>
      <c r="P8" s="21"/>
      <c r="Q8" s="21"/>
      <c r="R8" s="21"/>
      <c r="S8" s="21"/>
      <c r="T8" s="21"/>
      <c r="U8" s="21"/>
      <c r="V8" s="21"/>
      <c r="W8" s="17"/>
      <c r="X8" s="9"/>
      <c r="Y8" s="9"/>
      <c r="Z8" s="9"/>
    </row>
    <row r="9" spans="1:26" customFormat="1" ht="12" customHeight="1" outlineLevel="1" x14ac:dyDescent="0.35">
      <c r="A9" s="7"/>
      <c r="B9" s="8"/>
      <c r="C9" s="18"/>
      <c r="D9" s="18"/>
      <c r="E9" s="18"/>
      <c r="F9" s="18"/>
      <c r="G9" s="18"/>
      <c r="H9" s="18"/>
      <c r="I9" s="18"/>
      <c r="J9" s="18"/>
      <c r="K9" s="18"/>
      <c r="L9" s="21"/>
      <c r="M9" s="21"/>
      <c r="N9" s="21"/>
      <c r="O9" s="21"/>
      <c r="P9" s="21"/>
      <c r="Q9" s="21"/>
      <c r="R9" s="21"/>
      <c r="S9" s="21"/>
      <c r="T9" s="21"/>
      <c r="U9" s="21"/>
      <c r="V9" s="21"/>
      <c r="W9" s="17"/>
      <c r="X9" s="9"/>
      <c r="Y9" s="9"/>
      <c r="Z9" s="9"/>
    </row>
    <row r="10" spans="1:26" customFormat="1" ht="12" customHeight="1" outlineLevel="1" x14ac:dyDescent="0.35">
      <c r="A10" s="7"/>
      <c r="B10" s="8"/>
      <c r="C10" s="18"/>
      <c r="D10" s="18"/>
      <c r="E10" s="18"/>
      <c r="F10" s="18"/>
      <c r="G10" s="18"/>
      <c r="H10" s="18"/>
      <c r="I10" s="18"/>
      <c r="J10" s="22"/>
      <c r="K10" s="22"/>
      <c r="L10" s="22"/>
      <c r="M10" s="22"/>
      <c r="N10" s="22"/>
      <c r="O10" s="22"/>
      <c r="P10" s="23"/>
      <c r="Q10" s="23"/>
      <c r="R10" s="23"/>
      <c r="S10" s="21"/>
      <c r="T10" s="21"/>
      <c r="U10" s="21"/>
      <c r="V10" s="21"/>
      <c r="W10" s="17"/>
      <c r="X10" s="9"/>
      <c r="Y10" s="9"/>
      <c r="Z10" s="9"/>
    </row>
    <row r="11" spans="1:26" customFormat="1" ht="12" customHeight="1" outlineLevel="1" x14ac:dyDescent="0.35">
      <c r="A11" s="7"/>
      <c r="B11" s="8"/>
      <c r="C11" s="18"/>
      <c r="D11" s="18"/>
      <c r="E11" s="18"/>
      <c r="F11" s="18"/>
      <c r="G11" s="18"/>
      <c r="H11" s="18"/>
      <c r="I11" s="21"/>
      <c r="J11" s="22"/>
      <c r="K11" s="22"/>
      <c r="L11" s="22"/>
      <c r="M11" s="22"/>
      <c r="N11" s="22"/>
      <c r="O11" s="22"/>
      <c r="P11" s="23"/>
      <c r="Q11" s="23"/>
      <c r="R11" s="23"/>
      <c r="S11" s="21"/>
      <c r="T11" s="21"/>
      <c r="U11" s="21"/>
      <c r="V11" s="21"/>
      <c r="W11" s="17"/>
      <c r="X11" s="9"/>
      <c r="Y11" s="9"/>
      <c r="Z11" s="9"/>
    </row>
    <row r="12" spans="1:26" customFormat="1" ht="5.15" customHeight="1" outlineLevel="1" x14ac:dyDescent="0.35">
      <c r="A12" s="7"/>
      <c r="B12" s="8"/>
      <c r="C12" s="18"/>
      <c r="D12" s="18"/>
      <c r="E12" s="18"/>
      <c r="F12" s="18"/>
      <c r="G12" s="18"/>
      <c r="H12" s="18"/>
      <c r="I12" s="18"/>
      <c r="J12" s="22"/>
      <c r="K12" s="22"/>
      <c r="L12" s="23"/>
      <c r="M12" s="23"/>
      <c r="N12" s="23"/>
      <c r="O12" s="23"/>
      <c r="P12" s="23"/>
      <c r="Q12" s="23"/>
      <c r="R12" s="23"/>
      <c r="S12" s="21"/>
      <c r="T12" s="21"/>
      <c r="U12" s="21"/>
      <c r="V12" s="21"/>
      <c r="W12" s="17"/>
      <c r="X12" s="9"/>
      <c r="Y12" s="9"/>
      <c r="Z12" s="9"/>
    </row>
    <row r="13" spans="1:26" customFormat="1" ht="5.15" customHeight="1" outlineLevel="1" x14ac:dyDescent="0.35">
      <c r="A13" s="7"/>
      <c r="B13" s="8"/>
      <c r="C13" s="18"/>
      <c r="D13" s="18"/>
      <c r="E13" s="18"/>
      <c r="F13" s="24"/>
      <c r="G13" s="25"/>
      <c r="H13" s="25"/>
      <c r="I13" s="512"/>
      <c r="J13" s="513"/>
      <c r="K13" s="513"/>
      <c r="L13" s="513"/>
      <c r="M13" s="513"/>
      <c r="N13" s="513"/>
      <c r="O13" s="513"/>
      <c r="P13" s="26"/>
      <c r="Q13" s="26"/>
      <c r="R13" s="26"/>
      <c r="S13" s="26"/>
      <c r="T13" s="26"/>
      <c r="U13" s="26"/>
      <c r="V13" s="27"/>
      <c r="W13" s="17"/>
      <c r="X13" s="9"/>
      <c r="Y13" s="9"/>
      <c r="Z13" s="9"/>
    </row>
    <row r="14" spans="1:26" customFormat="1" ht="12" customHeight="1" outlineLevel="1" x14ac:dyDescent="0.35">
      <c r="A14" s="7"/>
      <c r="B14" s="8"/>
      <c r="C14" s="18"/>
      <c r="D14" s="18"/>
      <c r="E14" s="18"/>
      <c r="F14" s="24"/>
      <c r="G14" s="514"/>
      <c r="H14" s="514"/>
      <c r="I14" s="514"/>
      <c r="J14" s="514"/>
      <c r="K14" s="514"/>
      <c r="Q14" s="30"/>
      <c r="R14" s="30"/>
      <c r="S14" s="30"/>
      <c r="T14" s="30"/>
      <c r="U14" s="30"/>
      <c r="V14" s="27"/>
      <c r="W14" s="17"/>
      <c r="X14" s="9"/>
      <c r="Y14" s="9"/>
      <c r="Z14" s="9"/>
    </row>
    <row r="15" spans="1:26" customFormat="1" ht="12" customHeight="1" outlineLevel="1" x14ac:dyDescent="0.35">
      <c r="A15" s="7"/>
      <c r="B15" s="8"/>
      <c r="C15" s="18"/>
      <c r="D15" s="18"/>
      <c r="E15" s="18"/>
      <c r="F15" s="24"/>
      <c r="G15" s="515"/>
      <c r="H15" s="515"/>
      <c r="I15" s="515" t="s">
        <v>3076</v>
      </c>
      <c r="J15" s="516">
        <v>1</v>
      </c>
      <c r="K15" s="515"/>
      <c r="Q15" s="30"/>
      <c r="R15" s="30"/>
      <c r="S15" s="30"/>
      <c r="T15" s="30"/>
      <c r="U15" s="30"/>
      <c r="V15" s="27"/>
      <c r="W15" s="17"/>
      <c r="X15" s="9"/>
      <c r="Y15" s="9"/>
      <c r="Z15" s="9"/>
    </row>
    <row r="16" spans="1:26" customFormat="1" ht="12" customHeight="1" outlineLevel="1" x14ac:dyDescent="0.35">
      <c r="A16" s="7"/>
      <c r="B16" s="8"/>
      <c r="C16" s="18"/>
      <c r="D16" s="18"/>
      <c r="E16" s="18"/>
      <c r="F16" s="24"/>
      <c r="G16" s="515"/>
      <c r="H16" s="515"/>
      <c r="I16" s="517" t="s">
        <v>3077</v>
      </c>
      <c r="J16" s="518">
        <v>0.05</v>
      </c>
      <c r="K16" s="515"/>
      <c r="L16" s="515"/>
      <c r="O16" s="515"/>
      <c r="P16" s="30"/>
      <c r="Q16" s="30"/>
      <c r="R16" s="30"/>
      <c r="S16" s="30"/>
      <c r="T16" s="30"/>
      <c r="U16" s="30"/>
      <c r="V16" s="27"/>
      <c r="W16" s="17"/>
      <c r="X16" s="9"/>
      <c r="Y16" s="9"/>
      <c r="Z16" s="9"/>
    </row>
    <row r="17" spans="1:80" customFormat="1" ht="12" customHeight="1" outlineLevel="1" x14ac:dyDescent="0.35">
      <c r="A17" s="7"/>
      <c r="B17" s="8"/>
      <c r="C17" s="18"/>
      <c r="D17" s="18"/>
      <c r="E17" s="18"/>
      <c r="F17" s="24"/>
      <c r="G17" s="519"/>
      <c r="H17" s="519"/>
      <c r="I17" s="517"/>
      <c r="J17" s="515"/>
      <c r="K17" s="515"/>
      <c r="L17" s="515"/>
      <c r="O17" s="515"/>
      <c r="P17" s="30"/>
      <c r="Q17" s="30"/>
      <c r="R17" s="30"/>
      <c r="S17" s="30"/>
      <c r="T17" s="30"/>
      <c r="U17" s="30"/>
      <c r="V17" s="27"/>
      <c r="W17" s="17"/>
      <c r="X17" s="9"/>
      <c r="Y17" s="9"/>
      <c r="Z17" s="9"/>
    </row>
    <row r="18" spans="1:80" customFormat="1" ht="12" customHeight="1" outlineLevel="1" x14ac:dyDescent="0.35">
      <c r="A18" s="7"/>
      <c r="B18" s="8"/>
      <c r="C18" s="18"/>
      <c r="D18" s="18"/>
      <c r="E18" s="18"/>
      <c r="F18" s="24"/>
      <c r="G18" s="519"/>
      <c r="H18" s="519"/>
      <c r="I18" s="28" t="s">
        <v>3078</v>
      </c>
      <c r="J18" s="28"/>
      <c r="K18" s="14" t="s">
        <v>3079</v>
      </c>
      <c r="L18" s="520"/>
      <c r="M18" s="521">
        <v>0.5</v>
      </c>
      <c r="O18" s="515"/>
      <c r="P18" s="30"/>
      <c r="Q18" s="30"/>
      <c r="R18" s="30"/>
      <c r="S18" s="30"/>
      <c r="T18" s="30"/>
      <c r="U18" s="30"/>
      <c r="V18" s="27"/>
      <c r="W18" s="17"/>
      <c r="X18" s="9"/>
      <c r="Y18" s="9"/>
      <c r="Z18" s="9"/>
    </row>
    <row r="19" spans="1:80" customFormat="1" ht="12" customHeight="1" outlineLevel="1" x14ac:dyDescent="0.35">
      <c r="A19" s="7"/>
      <c r="B19" s="8"/>
      <c r="C19" s="18"/>
      <c r="D19" s="18"/>
      <c r="E19" s="18"/>
      <c r="F19" s="24"/>
      <c r="G19" s="519"/>
      <c r="H19" s="519"/>
      <c r="I19" s="522" t="s">
        <v>3080</v>
      </c>
      <c r="J19" s="523"/>
      <c r="K19" s="524"/>
      <c r="L19" s="524"/>
      <c r="M19" s="525"/>
      <c r="O19" s="515"/>
      <c r="P19" s="30"/>
      <c r="Q19" s="30"/>
      <c r="R19" s="30"/>
      <c r="S19" s="30"/>
      <c r="T19" s="30"/>
      <c r="U19" s="30"/>
      <c r="V19" s="27"/>
      <c r="W19" s="17"/>
      <c r="X19" s="9"/>
      <c r="Y19" s="9"/>
      <c r="Z19" s="9"/>
    </row>
    <row r="20" spans="1:80" customFormat="1" ht="12" customHeight="1" outlineLevel="1" x14ac:dyDescent="0.35">
      <c r="A20" s="7"/>
      <c r="B20" s="8"/>
      <c r="C20" s="18"/>
      <c r="D20" s="18"/>
      <c r="E20" s="18"/>
      <c r="F20" s="24"/>
      <c r="G20" s="28"/>
      <c r="H20" s="28"/>
      <c r="I20" s="526"/>
      <c r="J20" s="515"/>
      <c r="K20" s="515"/>
      <c r="L20" s="515"/>
      <c r="O20" s="515"/>
      <c r="P20" s="30"/>
      <c r="Q20" s="30"/>
      <c r="R20" s="30"/>
      <c r="S20" s="30"/>
      <c r="T20" s="30"/>
      <c r="U20" s="30"/>
      <c r="V20" s="27"/>
      <c r="W20" s="17"/>
      <c r="X20" s="9"/>
      <c r="Y20" s="9"/>
      <c r="Z20" s="9"/>
    </row>
    <row r="21" spans="1:80" customFormat="1" ht="5.15" customHeight="1" outlineLevel="1" x14ac:dyDescent="0.35">
      <c r="A21" s="7"/>
      <c r="B21" s="8"/>
      <c r="C21" s="18"/>
      <c r="D21" s="18"/>
      <c r="E21" s="18"/>
      <c r="F21" s="33"/>
      <c r="G21" s="34"/>
      <c r="H21" s="34"/>
      <c r="I21" s="34"/>
      <c r="J21" s="35"/>
      <c r="K21" s="35"/>
      <c r="L21" s="35"/>
      <c r="M21" s="35"/>
      <c r="N21" s="35"/>
      <c r="O21" s="35"/>
      <c r="P21" s="35"/>
      <c r="Q21" s="35"/>
      <c r="R21" s="35"/>
      <c r="S21" s="35"/>
      <c r="T21" s="35"/>
      <c r="U21" s="35"/>
      <c r="V21" s="27"/>
      <c r="W21" s="17"/>
      <c r="X21" s="9"/>
      <c r="Y21" s="9"/>
      <c r="Z21" s="9"/>
    </row>
    <row r="22" spans="1:80" customFormat="1" ht="25.4" customHeight="1" outlineLevel="1" x14ac:dyDescent="0.35">
      <c r="A22" s="7"/>
      <c r="B22" s="8"/>
      <c r="C22" s="36"/>
      <c r="D22" s="36"/>
      <c r="E22" s="36"/>
      <c r="F22" s="36"/>
      <c r="G22" s="37" t="str">
        <f>G4</f>
        <v>STUBBLE As Feed</v>
      </c>
      <c r="H22" s="36"/>
      <c r="I22" s="36"/>
      <c r="J22" s="36"/>
      <c r="K22" s="36"/>
      <c r="L22" s="36"/>
      <c r="M22" s="36"/>
      <c r="N22" s="36"/>
      <c r="O22" s="36"/>
      <c r="P22" s="36"/>
      <c r="Q22" s="36"/>
      <c r="R22" s="36"/>
      <c r="S22" s="36"/>
      <c r="T22" s="36"/>
      <c r="U22" s="36"/>
      <c r="V22" s="36"/>
      <c r="W22" s="38" t="s">
        <v>98</v>
      </c>
      <c r="X22" s="9"/>
      <c r="Y22" s="9"/>
      <c r="Z22" s="9"/>
    </row>
    <row r="23" spans="1:80" customFormat="1" ht="12" customHeight="1" outlineLevel="1" x14ac:dyDescent="0.35">
      <c r="A23" s="7"/>
      <c r="B23" s="8"/>
      <c r="C23" s="8"/>
      <c r="D23" s="8"/>
      <c r="E23" s="8"/>
      <c r="F23" s="9"/>
      <c r="G23" s="9"/>
      <c r="H23" s="9"/>
      <c r="I23" s="9"/>
      <c r="J23" s="9"/>
      <c r="K23" s="9"/>
      <c r="L23" s="9"/>
      <c r="M23" s="9"/>
      <c r="N23" s="9"/>
      <c r="O23" s="9"/>
      <c r="P23" s="9"/>
      <c r="Q23" s="9"/>
      <c r="R23" s="9"/>
      <c r="S23" s="9"/>
      <c r="T23" s="9"/>
      <c r="U23" s="9"/>
      <c r="V23" s="9"/>
      <c r="W23" s="9"/>
      <c r="X23" s="9"/>
      <c r="Y23" s="9"/>
      <c r="Z23" s="9"/>
    </row>
    <row r="24" spans="1:80" customFormat="1" ht="12" customHeight="1" outlineLevel="1" x14ac:dyDescent="0.35">
      <c r="A24" s="7"/>
      <c r="B24" s="8"/>
      <c r="C24" s="8"/>
      <c r="D24" s="8"/>
      <c r="E24" s="8"/>
      <c r="F24" s="8"/>
      <c r="G24" s="8"/>
      <c r="H24" s="9"/>
      <c r="I24" s="9"/>
      <c r="J24" s="9"/>
      <c r="K24" s="9"/>
      <c r="L24" s="9"/>
      <c r="M24" s="9"/>
      <c r="N24" s="9"/>
      <c r="O24" s="9"/>
      <c r="P24" s="9"/>
      <c r="Q24" s="9"/>
      <c r="R24" s="9"/>
      <c r="S24" s="9"/>
      <c r="T24" s="9"/>
      <c r="U24" s="9"/>
      <c r="V24" s="9"/>
      <c r="W24" s="9"/>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row>
    <row r="25" spans="1:80" customFormat="1" ht="5.15" customHeight="1" thickBot="1" x14ac:dyDescent="0.4">
      <c r="A25" s="7"/>
      <c r="B25" s="8"/>
      <c r="C25" s="8"/>
      <c r="D25" s="8"/>
      <c r="E25" s="8"/>
      <c r="F25" s="8"/>
      <c r="G25" s="8"/>
      <c r="H25" s="9"/>
      <c r="I25" s="9"/>
      <c r="J25" s="9"/>
      <c r="K25" s="9"/>
      <c r="L25" s="9"/>
      <c r="M25" s="9"/>
      <c r="N25" s="9"/>
      <c r="O25" s="9"/>
      <c r="P25" s="9"/>
      <c r="Q25" s="9"/>
      <c r="R25" s="9"/>
      <c r="S25" s="9"/>
      <c r="T25" s="9"/>
      <c r="U25" s="9"/>
      <c r="V25" s="9"/>
      <c r="W25" s="9"/>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row>
    <row r="26" spans="1:80" customFormat="1" ht="5.15" customHeight="1" x14ac:dyDescent="0.35">
      <c r="A26" s="7"/>
      <c r="B26" s="8"/>
      <c r="C26" s="10" t="s">
        <v>93</v>
      </c>
      <c r="D26" s="10"/>
      <c r="E26" s="10"/>
      <c r="F26" s="10"/>
      <c r="G26" s="10"/>
      <c r="H26" s="10"/>
      <c r="I26" s="10"/>
      <c r="J26" s="10"/>
      <c r="K26" s="11"/>
      <c r="L26" s="11"/>
      <c r="M26" s="11"/>
      <c r="N26" s="11"/>
      <c r="O26" s="11"/>
      <c r="P26" s="11"/>
      <c r="Q26" s="11"/>
      <c r="R26" s="11"/>
      <c r="S26" s="11"/>
      <c r="T26" s="11"/>
      <c r="U26" s="11"/>
      <c r="V26" s="11"/>
      <c r="W26" s="12"/>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row>
    <row r="27" spans="1:80" customFormat="1" ht="12" customHeight="1" x14ac:dyDescent="0.35">
      <c r="A27" s="7"/>
      <c r="B27" s="8"/>
      <c r="C27" s="13"/>
      <c r="D27" s="13"/>
      <c r="E27" s="13" t="s">
        <v>94</v>
      </c>
      <c r="F27" s="14"/>
      <c r="G27" s="15" t="s">
        <v>3081</v>
      </c>
      <c r="H27" s="14"/>
      <c r="I27" s="14"/>
      <c r="J27" s="14"/>
      <c r="K27" s="14"/>
      <c r="L27" s="14"/>
      <c r="M27" s="14"/>
      <c r="N27" s="14"/>
      <c r="O27" s="14"/>
      <c r="P27" s="14"/>
      <c r="Q27" s="14"/>
      <c r="R27" s="14"/>
      <c r="S27" s="16"/>
      <c r="T27" s="14"/>
      <c r="U27" s="16"/>
      <c r="V27" s="16"/>
      <c r="W27" s="17"/>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row>
    <row r="28" spans="1:80" customFormat="1" ht="12" customHeight="1" outlineLevel="1" x14ac:dyDescent="0.35">
      <c r="A28" s="7"/>
      <c r="B28" s="8"/>
      <c r="C28" s="13"/>
      <c r="D28" s="13"/>
      <c r="E28" s="18"/>
      <c r="F28" s="14"/>
      <c r="G28" s="528"/>
      <c r="H28" s="14"/>
      <c r="I28" s="14"/>
      <c r="J28" s="14"/>
      <c r="K28" s="14"/>
      <c r="L28" s="14"/>
      <c r="M28" s="14"/>
      <c r="N28" s="14"/>
      <c r="O28" s="14"/>
      <c r="P28" s="14"/>
      <c r="Q28" s="14"/>
      <c r="R28" s="14"/>
      <c r="S28" s="16"/>
      <c r="T28" s="19"/>
      <c r="U28" s="16"/>
      <c r="V28" s="16"/>
      <c r="W28" s="17"/>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row>
    <row r="29" spans="1:80" customFormat="1" ht="12" customHeight="1" outlineLevel="1" x14ac:dyDescent="0.35">
      <c r="A29" s="7"/>
      <c r="B29" s="8"/>
      <c r="C29" s="18"/>
      <c r="D29" s="13"/>
      <c r="E29" s="18"/>
      <c r="F29" s="14"/>
      <c r="G29" s="14"/>
      <c r="H29" s="14"/>
      <c r="I29" s="14"/>
      <c r="J29" s="14"/>
      <c r="K29" s="14"/>
      <c r="L29" s="14"/>
      <c r="M29" s="14"/>
      <c r="N29" s="14"/>
      <c r="O29" s="14"/>
      <c r="P29" s="14"/>
      <c r="Q29" s="14"/>
      <c r="R29" s="14"/>
      <c r="S29" s="16"/>
      <c r="T29" s="19"/>
      <c r="U29" s="16"/>
      <c r="V29" s="16"/>
      <c r="W29" s="1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row>
    <row r="30" spans="1:80" customFormat="1" ht="12" customHeight="1" outlineLevel="1" x14ac:dyDescent="0.35">
      <c r="A30" s="7"/>
      <c r="B30" s="8"/>
      <c r="C30" s="412">
        <v>0</v>
      </c>
      <c r="D30" s="13"/>
      <c r="E30" s="18"/>
      <c r="F30" s="14"/>
      <c r="G30" s="511"/>
      <c r="H30" s="14"/>
      <c r="I30" s="14"/>
      <c r="J30" s="14"/>
      <c r="K30" s="14"/>
      <c r="L30" s="14"/>
      <c r="M30" s="14"/>
      <c r="N30" s="14"/>
      <c r="O30" s="14"/>
      <c r="P30" s="14"/>
      <c r="Q30" s="14"/>
      <c r="R30" s="14"/>
      <c r="S30" s="16"/>
      <c r="T30" s="19"/>
      <c r="U30" s="16"/>
      <c r="V30" s="16"/>
      <c r="W30" s="17"/>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row>
    <row r="31" spans="1:80" customFormat="1" ht="12" customHeight="1" outlineLevel="1" x14ac:dyDescent="0.35">
      <c r="A31" s="7"/>
      <c r="B31" s="8"/>
      <c r="C31" s="18"/>
      <c r="D31" s="18"/>
      <c r="E31" s="18"/>
      <c r="F31" s="18"/>
      <c r="G31" s="18"/>
      <c r="H31" s="18"/>
      <c r="I31" s="18"/>
      <c r="J31" s="21"/>
      <c r="K31" s="21"/>
      <c r="L31" s="21"/>
      <c r="M31" s="21"/>
      <c r="N31" s="21"/>
      <c r="O31" s="21"/>
      <c r="P31" s="21"/>
      <c r="Q31" s="21"/>
      <c r="R31" s="21"/>
      <c r="S31" s="21"/>
      <c r="T31" s="21"/>
      <c r="U31" s="21"/>
      <c r="V31" s="21"/>
      <c r="W31" s="17"/>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row>
    <row r="32" spans="1:80" customFormat="1" ht="12" customHeight="1" outlineLevel="1" x14ac:dyDescent="0.35">
      <c r="A32" s="7"/>
      <c r="B32" s="8"/>
      <c r="C32" s="18"/>
      <c r="D32" s="18"/>
      <c r="E32" s="18"/>
      <c r="F32" s="18"/>
      <c r="G32" s="18"/>
      <c r="H32" s="18"/>
      <c r="I32" s="18"/>
      <c r="J32" s="18"/>
      <c r="K32" s="18"/>
      <c r="L32" s="21"/>
      <c r="M32" s="21"/>
      <c r="N32" s="21"/>
      <c r="O32" s="21"/>
      <c r="P32" s="21"/>
      <c r="Q32" s="21"/>
      <c r="R32" s="21"/>
      <c r="S32" s="21"/>
      <c r="T32" s="21"/>
      <c r="U32" s="21"/>
      <c r="V32" s="21"/>
      <c r="W32" s="17"/>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row>
    <row r="33" spans="1:80" customFormat="1" ht="12" customHeight="1" outlineLevel="1" x14ac:dyDescent="0.35">
      <c r="A33" s="7"/>
      <c r="B33" s="8"/>
      <c r="C33" s="18"/>
      <c r="D33" s="18"/>
      <c r="E33" s="18"/>
      <c r="F33" s="18"/>
      <c r="G33" s="18"/>
      <c r="H33" s="18"/>
      <c r="I33" s="18"/>
      <c r="J33" s="18"/>
      <c r="K33" s="18"/>
      <c r="L33" s="18"/>
      <c r="M33" s="18"/>
      <c r="N33" s="22"/>
      <c r="O33" s="22"/>
      <c r="P33" s="23"/>
      <c r="Q33" s="23"/>
      <c r="R33" s="23"/>
      <c r="S33" s="21"/>
      <c r="T33" s="21"/>
      <c r="U33" s="21"/>
      <c r="V33" s="21"/>
      <c r="W33" s="17"/>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row>
    <row r="34" spans="1:80" customFormat="1" ht="12" customHeight="1" outlineLevel="1" x14ac:dyDescent="0.35">
      <c r="A34" s="7"/>
      <c r="B34" s="8"/>
      <c r="C34" s="18"/>
      <c r="D34" s="18"/>
      <c r="E34" s="18"/>
      <c r="F34" s="18"/>
      <c r="G34" s="18"/>
      <c r="H34" s="18"/>
      <c r="I34" s="18"/>
      <c r="J34" s="18"/>
      <c r="K34" s="18"/>
      <c r="L34" s="18"/>
      <c r="M34" s="18"/>
      <c r="N34" s="22"/>
      <c r="O34" s="22"/>
      <c r="P34" s="23"/>
      <c r="Q34" s="23"/>
      <c r="R34" s="23"/>
      <c r="S34" s="21"/>
      <c r="T34" s="21"/>
      <c r="U34" s="21"/>
      <c r="V34" s="21"/>
      <c r="W34" s="17"/>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row>
    <row r="35" spans="1:80" customFormat="1" outlineLevel="1" x14ac:dyDescent="0.35">
      <c r="A35" s="7"/>
      <c r="B35" s="8"/>
      <c r="C35" s="18"/>
      <c r="D35" s="18"/>
      <c r="E35" s="18"/>
      <c r="F35" s="24"/>
      <c r="G35" s="28"/>
      <c r="H35" s="529"/>
      <c r="I35" s="529"/>
      <c r="J35" s="529"/>
      <c r="K35" s="24"/>
      <c r="L35" s="24"/>
      <c r="M35" s="24"/>
      <c r="N35" s="529"/>
      <c r="O35" s="529"/>
      <c r="P35" s="529"/>
      <c r="Q35" s="529"/>
      <c r="R35" s="529"/>
      <c r="S35" s="529"/>
      <c r="T35" s="529"/>
      <c r="U35" s="529"/>
      <c r="V35" s="529"/>
      <c r="W35" s="17"/>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row>
    <row r="36" spans="1:80" customFormat="1" outlineLevel="1" x14ac:dyDescent="0.35">
      <c r="A36" s="7"/>
      <c r="B36" s="8"/>
      <c r="C36" s="18"/>
      <c r="D36" s="18"/>
      <c r="E36" s="18"/>
      <c r="F36" s="24"/>
      <c r="G36" s="358" t="s">
        <v>3082</v>
      </c>
      <c r="H36" s="530"/>
      <c r="I36" s="530"/>
      <c r="J36" s="530"/>
      <c r="K36" s="24"/>
      <c r="L36" s="24"/>
      <c r="M36" s="24"/>
      <c r="N36" s="530"/>
      <c r="O36" s="530"/>
      <c r="P36" s="530"/>
      <c r="Q36" s="530"/>
      <c r="R36" s="530"/>
      <c r="S36" s="530"/>
      <c r="T36" s="530"/>
      <c r="U36" s="530"/>
      <c r="V36" s="531"/>
      <c r="W36" s="17"/>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row>
    <row r="37" spans="1:80" customFormat="1" ht="29" outlineLevel="1" x14ac:dyDescent="0.35">
      <c r="A37" s="7"/>
      <c r="B37" s="8"/>
      <c r="C37" s="18"/>
      <c r="D37" s="18"/>
      <c r="E37" s="18"/>
      <c r="F37" s="24"/>
      <c r="G37" s="34"/>
      <c r="H37" s="529" t="s">
        <v>104</v>
      </c>
      <c r="I37" s="532" t="s">
        <v>3083</v>
      </c>
      <c r="J37" s="532" t="s">
        <v>3084</v>
      </c>
      <c r="K37" s="532" t="s">
        <v>3085</v>
      </c>
      <c r="L37" s="532" t="s">
        <v>3086</v>
      </c>
      <c r="M37" s="24"/>
      <c r="N37" s="530"/>
      <c r="O37" s="530"/>
      <c r="P37" s="530"/>
      <c r="Q37" s="530"/>
      <c r="R37" s="530"/>
      <c r="S37" s="530"/>
      <c r="T37" s="530"/>
      <c r="U37" s="530"/>
      <c r="V37" s="531"/>
      <c r="W37" s="17"/>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row>
    <row r="38" spans="1:80" customFormat="1" outlineLevel="1" x14ac:dyDescent="0.35">
      <c r="A38" s="7"/>
      <c r="B38" s="8"/>
      <c r="C38" s="18"/>
      <c r="D38" s="18"/>
      <c r="E38" s="18"/>
      <c r="F38" s="24"/>
      <c r="G38" s="34"/>
      <c r="H38" s="533" t="str">
        <f>General!G37</f>
        <v>b</v>
      </c>
      <c r="I38" s="534">
        <v>0.9</v>
      </c>
      <c r="J38" s="535">
        <v>1.1000000000000001</v>
      </c>
      <c r="K38" s="534">
        <v>0.7</v>
      </c>
      <c r="L38" s="534">
        <v>0.95</v>
      </c>
      <c r="M38" s="24"/>
      <c r="N38" s="530"/>
      <c r="O38" s="530"/>
      <c r="P38" s="530"/>
      <c r="Q38" s="530"/>
      <c r="R38" s="530"/>
      <c r="S38" s="530"/>
      <c r="T38" s="530"/>
      <c r="U38" s="530"/>
      <c r="V38" s="531"/>
      <c r="W38" s="17"/>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row>
    <row r="39" spans="1:80" customFormat="1" outlineLevel="1" x14ac:dyDescent="0.35">
      <c r="A39" s="7"/>
      <c r="B39" s="8"/>
      <c r="C39" s="18"/>
      <c r="D39" s="18"/>
      <c r="E39" s="18"/>
      <c r="F39" s="24"/>
      <c r="G39" s="34"/>
      <c r="H39" s="533" t="str">
        <f>General!G38</f>
        <v>bd</v>
      </c>
      <c r="I39" s="534">
        <v>0.9</v>
      </c>
      <c r="J39" s="535">
        <v>1.1000000000000001</v>
      </c>
      <c r="K39" s="534">
        <v>0.7</v>
      </c>
      <c r="L39" s="534">
        <v>0.95</v>
      </c>
      <c r="M39" s="24"/>
      <c r="N39" s="530"/>
      <c r="O39" s="530"/>
      <c r="P39" s="530"/>
      <c r="Q39" s="530"/>
      <c r="R39" s="530"/>
      <c r="S39" s="530"/>
      <c r="T39" s="530"/>
      <c r="U39" s="530"/>
      <c r="V39" s="531"/>
      <c r="W39" s="17"/>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row>
    <row r="40" spans="1:80" customFormat="1" outlineLevel="1" x14ac:dyDescent="0.35">
      <c r="A40" s="7"/>
      <c r="B40" s="8"/>
      <c r="C40" s="18"/>
      <c r="D40" s="18"/>
      <c r="E40" s="18"/>
      <c r="F40" s="24"/>
      <c r="G40" s="34"/>
      <c r="H40" s="533" t="str">
        <f>General!G39</f>
        <v>f</v>
      </c>
      <c r="I40" s="534">
        <v>0.9</v>
      </c>
      <c r="J40" s="535">
        <v>1.1000000000000001</v>
      </c>
      <c r="K40" s="534">
        <v>0.7</v>
      </c>
      <c r="L40" s="534">
        <v>0.95</v>
      </c>
      <c r="M40" s="24"/>
      <c r="N40" s="530"/>
      <c r="O40" s="530"/>
      <c r="P40" s="530"/>
      <c r="Q40" s="530"/>
      <c r="R40" s="530"/>
      <c r="S40" s="530"/>
      <c r="T40" s="530"/>
      <c r="U40" s="530"/>
      <c r="V40" s="531"/>
      <c r="W40" s="17"/>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row>
    <row r="41" spans="1:80" customFormat="1" outlineLevel="1" x14ac:dyDescent="0.35">
      <c r="A41" s="7"/>
      <c r="B41" s="8"/>
      <c r="C41" s="18"/>
      <c r="D41" s="18"/>
      <c r="E41" s="18"/>
      <c r="F41" s="24"/>
      <c r="G41" s="34"/>
      <c r="H41" s="533" t="str">
        <f>General!G40</f>
        <v>h</v>
      </c>
      <c r="I41" s="534">
        <v>0.9</v>
      </c>
      <c r="J41" s="535">
        <v>1.1000000000000001</v>
      </c>
      <c r="K41" s="534">
        <v>0.7</v>
      </c>
      <c r="L41" s="534">
        <v>0.95</v>
      </c>
      <c r="M41" s="24"/>
      <c r="N41" s="530"/>
      <c r="O41" s="530"/>
      <c r="P41" s="530"/>
      <c r="Q41" s="530"/>
      <c r="R41" s="530"/>
      <c r="S41" s="530"/>
      <c r="T41" s="530"/>
      <c r="U41" s="530"/>
      <c r="V41" s="531"/>
      <c r="W41" s="17"/>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row>
    <row r="42" spans="1:80" customFormat="1" outlineLevel="1" x14ac:dyDescent="0.35">
      <c r="A42" s="7"/>
      <c r="B42" s="8"/>
      <c r="C42" s="18"/>
      <c r="D42" s="18"/>
      <c r="E42" s="18"/>
      <c r="F42" s="24"/>
      <c r="G42" s="34"/>
      <c r="H42" s="533" t="str">
        <f>General!G41</f>
        <v>i</v>
      </c>
      <c r="I42" s="534">
        <v>0.9</v>
      </c>
      <c r="J42" s="535">
        <v>1.1000000000000001</v>
      </c>
      <c r="K42" s="534">
        <v>0.7</v>
      </c>
      <c r="L42" s="534">
        <v>0.95</v>
      </c>
      <c r="M42" s="24"/>
      <c r="N42" s="530"/>
      <c r="O42" s="530"/>
      <c r="P42" s="530"/>
      <c r="Q42" s="530"/>
      <c r="R42" s="530"/>
      <c r="S42" s="530"/>
      <c r="T42" s="530"/>
      <c r="U42" s="530"/>
      <c r="V42" s="531"/>
      <c r="W42" s="17"/>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row>
    <row r="43" spans="1:80" customFormat="1" outlineLevel="1" x14ac:dyDescent="0.35">
      <c r="A43" s="7"/>
      <c r="B43" s="8"/>
      <c r="C43" s="18"/>
      <c r="D43" s="18"/>
      <c r="E43" s="18"/>
      <c r="F43" s="24"/>
      <c r="G43" s="34"/>
      <c r="H43" s="533" t="str">
        <f>General!G42</f>
        <v>k</v>
      </c>
      <c r="I43" s="534">
        <v>0.9</v>
      </c>
      <c r="J43" s="535">
        <v>1.1000000000000001</v>
      </c>
      <c r="K43" s="534">
        <v>0.7</v>
      </c>
      <c r="L43" s="534">
        <v>0.95</v>
      </c>
      <c r="M43" s="24"/>
      <c r="N43" s="530"/>
      <c r="O43" s="530"/>
      <c r="P43" s="530"/>
      <c r="Q43" s="530"/>
      <c r="R43" s="530"/>
      <c r="S43" s="530"/>
      <c r="T43" s="530"/>
      <c r="U43" s="530"/>
      <c r="V43" s="531"/>
      <c r="W43" s="17"/>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outlineLevel="1" x14ac:dyDescent="0.35">
      <c r="A44" s="7"/>
      <c r="B44" s="8"/>
      <c r="C44" s="18"/>
      <c r="D44" s="18"/>
      <c r="E44" s="18"/>
      <c r="F44" s="24"/>
      <c r="G44" s="34"/>
      <c r="H44" s="533" t="str">
        <f>General!G43</f>
        <v>l</v>
      </c>
      <c r="I44" s="534">
        <v>0.9</v>
      </c>
      <c r="J44" s="535">
        <v>1.1000000000000001</v>
      </c>
      <c r="K44" s="534">
        <v>0.7</v>
      </c>
      <c r="L44" s="534">
        <v>0.95</v>
      </c>
      <c r="M44" s="24"/>
      <c r="N44" s="530"/>
      <c r="O44" s="530"/>
      <c r="P44" s="530"/>
      <c r="Q44" s="530"/>
      <c r="R44" s="530"/>
      <c r="S44" s="530"/>
      <c r="T44" s="530"/>
      <c r="U44" s="530"/>
      <c r="V44" s="531"/>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outlineLevel="1" x14ac:dyDescent="0.35">
      <c r="A45" s="7"/>
      <c r="B45" s="8"/>
      <c r="C45" s="18"/>
      <c r="D45" s="18"/>
      <c r="E45" s="18"/>
      <c r="F45" s="24"/>
      <c r="G45" s="34"/>
      <c r="H45" s="533" t="str">
        <f>General!G44</f>
        <v>ms</v>
      </c>
      <c r="I45" s="534">
        <v>0.9</v>
      </c>
      <c r="J45" s="535">
        <v>1.1000000000000001</v>
      </c>
      <c r="K45" s="534">
        <v>0.7</v>
      </c>
      <c r="L45" s="534">
        <v>0.95</v>
      </c>
      <c r="M45" s="24"/>
      <c r="N45" s="530"/>
      <c r="O45" s="530"/>
      <c r="P45" s="530"/>
      <c r="Q45" s="530"/>
      <c r="R45" s="530"/>
      <c r="S45" s="530"/>
      <c r="T45" s="530"/>
      <c r="U45" s="530"/>
      <c r="V45" s="531"/>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outlineLevel="1" x14ac:dyDescent="0.35">
      <c r="A46" s="7"/>
      <c r="B46" s="8"/>
      <c r="C46" s="18"/>
      <c r="D46" s="18"/>
      <c r="E46" s="18"/>
      <c r="F46" s="24"/>
      <c r="G46" s="34"/>
      <c r="H46" s="533" t="str">
        <f>General!G45</f>
        <v>o</v>
      </c>
      <c r="I46" s="534">
        <v>0.9</v>
      </c>
      <c r="J46" s="535">
        <v>1.1000000000000001</v>
      </c>
      <c r="K46" s="534">
        <v>0.7</v>
      </c>
      <c r="L46" s="534">
        <v>0.95</v>
      </c>
      <c r="M46" s="24"/>
      <c r="N46" s="530"/>
      <c r="O46" s="530"/>
      <c r="P46" s="530"/>
      <c r="Q46" s="530"/>
      <c r="R46" s="530"/>
      <c r="S46" s="530"/>
      <c r="T46" s="530"/>
      <c r="U46" s="530"/>
      <c r="V46" s="531"/>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outlineLevel="1" x14ac:dyDescent="0.35">
      <c r="A47" s="7"/>
      <c r="B47" s="8"/>
      <c r="C47" s="18"/>
      <c r="D47" s="18"/>
      <c r="E47" s="18"/>
      <c r="F47" s="24"/>
      <c r="G47" s="34"/>
      <c r="H47" s="533" t="str">
        <f>General!G46</f>
        <v>od</v>
      </c>
      <c r="I47" s="534">
        <v>0.9</v>
      </c>
      <c r="J47" s="535">
        <v>1.1000000000000001</v>
      </c>
      <c r="K47" s="534">
        <v>0.7</v>
      </c>
      <c r="L47" s="534">
        <v>0.95</v>
      </c>
      <c r="M47" s="24"/>
      <c r="N47" s="530"/>
      <c r="O47" s="530"/>
      <c r="P47" s="530"/>
      <c r="Q47" s="530"/>
      <c r="R47" s="530"/>
      <c r="S47" s="530"/>
      <c r="T47" s="530"/>
      <c r="U47" s="530"/>
      <c r="V47" s="531"/>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outlineLevel="1" x14ac:dyDescent="0.35">
      <c r="A48" s="7"/>
      <c r="B48" s="8"/>
      <c r="C48" s="18"/>
      <c r="D48" s="18"/>
      <c r="E48" s="18"/>
      <c r="F48" s="24"/>
      <c r="G48" s="34"/>
      <c r="H48" s="533" t="str">
        <f>General!G47</f>
        <v>of</v>
      </c>
      <c r="I48" s="534">
        <v>0.9</v>
      </c>
      <c r="J48" s="535">
        <v>1.1000000000000001</v>
      </c>
      <c r="K48" s="534">
        <v>0.7</v>
      </c>
      <c r="L48" s="534">
        <v>0.95</v>
      </c>
      <c r="M48" s="24"/>
      <c r="N48" s="530"/>
      <c r="O48" s="530"/>
      <c r="P48" s="530"/>
      <c r="Q48" s="530"/>
      <c r="R48" s="530"/>
      <c r="S48" s="530"/>
      <c r="T48" s="530"/>
      <c r="U48" s="530"/>
      <c r="V48" s="53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96" customFormat="1" outlineLevel="1" x14ac:dyDescent="0.35">
      <c r="A49" s="7"/>
      <c r="B49" s="8"/>
      <c r="C49" s="18"/>
      <c r="D49" s="18"/>
      <c r="E49" s="18"/>
      <c r="F49" s="24"/>
      <c r="G49" s="34"/>
      <c r="H49" s="533" t="str">
        <f>General!G48</f>
        <v>r</v>
      </c>
      <c r="I49" s="534">
        <v>0.9</v>
      </c>
      <c r="J49" s="535">
        <v>1.1000000000000001</v>
      </c>
      <c r="K49" s="534">
        <v>0.7</v>
      </c>
      <c r="L49" s="534">
        <v>0.95</v>
      </c>
      <c r="M49" s="24"/>
      <c r="N49" s="530"/>
      <c r="O49" s="530"/>
      <c r="P49" s="530"/>
      <c r="Q49" s="530"/>
      <c r="R49" s="530"/>
      <c r="S49" s="530"/>
      <c r="T49" s="530"/>
      <c r="U49" s="530"/>
      <c r="V49" s="53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96" customFormat="1" outlineLevel="1" x14ac:dyDescent="0.35">
      <c r="A50" s="7"/>
      <c r="B50" s="8"/>
      <c r="C50" s="18"/>
      <c r="D50" s="18"/>
      <c r="E50" s="18"/>
      <c r="F50" s="24"/>
      <c r="G50" s="34"/>
      <c r="H50" s="533" t="str">
        <f>General!G49</f>
        <v>rd</v>
      </c>
      <c r="I50" s="534">
        <v>0.9</v>
      </c>
      <c r="J50" s="535">
        <v>1.1000000000000001</v>
      </c>
      <c r="K50" s="534">
        <v>0.7</v>
      </c>
      <c r="L50" s="534">
        <v>0.95</v>
      </c>
      <c r="M50" s="24"/>
      <c r="N50" s="530"/>
      <c r="O50" s="530"/>
      <c r="P50" s="530"/>
      <c r="Q50" s="530"/>
      <c r="R50" s="530"/>
      <c r="S50" s="530"/>
      <c r="T50" s="530"/>
      <c r="U50" s="530"/>
      <c r="V50" s="53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96" customFormat="1" outlineLevel="1" x14ac:dyDescent="0.35">
      <c r="A51" s="7"/>
      <c r="B51" s="8"/>
      <c r="C51" s="18"/>
      <c r="D51" s="18"/>
      <c r="E51" s="18"/>
      <c r="F51" s="24"/>
      <c r="G51" s="34"/>
      <c r="H51" s="533" t="str">
        <f>General!G50</f>
        <v>v</v>
      </c>
      <c r="I51" s="534">
        <v>0.9</v>
      </c>
      <c r="J51" s="535">
        <v>1.1000000000000001</v>
      </c>
      <c r="K51" s="534">
        <v>0.7</v>
      </c>
      <c r="L51" s="534">
        <v>0.95</v>
      </c>
      <c r="M51" s="24"/>
      <c r="N51" s="530"/>
      <c r="O51" s="530"/>
      <c r="P51" s="530"/>
      <c r="Q51" s="530"/>
      <c r="R51" s="530"/>
      <c r="S51" s="530"/>
      <c r="T51" s="530"/>
      <c r="U51" s="530"/>
      <c r="V51" s="53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96" customFormat="1" outlineLevel="1" x14ac:dyDescent="0.35">
      <c r="A52" s="7"/>
      <c r="B52" s="8"/>
      <c r="C52" s="18"/>
      <c r="D52" s="18"/>
      <c r="E52" s="18"/>
      <c r="F52" s="24"/>
      <c r="G52" s="34"/>
      <c r="H52" s="533" t="str">
        <f>General!G51</f>
        <v>w</v>
      </c>
      <c r="I52" s="534">
        <v>0.9</v>
      </c>
      <c r="J52" s="535">
        <v>1.1000000000000001</v>
      </c>
      <c r="K52" s="534">
        <v>0.7</v>
      </c>
      <c r="L52" s="534">
        <v>0.95</v>
      </c>
      <c r="M52" s="24"/>
      <c r="N52" s="530"/>
      <c r="O52" s="530"/>
      <c r="P52" s="530"/>
      <c r="Q52" s="530"/>
      <c r="R52" s="530"/>
      <c r="S52" s="530"/>
      <c r="T52" s="530"/>
      <c r="U52" s="530"/>
      <c r="V52" s="531"/>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96" customFormat="1" outlineLevel="1" x14ac:dyDescent="0.35">
      <c r="A53" s="7"/>
      <c r="B53" s="8"/>
      <c r="C53" s="18"/>
      <c r="D53" s="18"/>
      <c r="E53" s="18"/>
      <c r="F53" s="24"/>
      <c r="G53" s="34"/>
      <c r="H53" s="533" t="str">
        <f>General!G52</f>
        <v>wd</v>
      </c>
      <c r="I53" s="534">
        <v>0.9</v>
      </c>
      <c r="J53" s="535">
        <v>1.1000000000000001</v>
      </c>
      <c r="K53" s="534">
        <v>0.7</v>
      </c>
      <c r="L53" s="534">
        <v>0.95</v>
      </c>
      <c r="M53" s="24"/>
      <c r="N53" s="530"/>
      <c r="O53" s="530"/>
      <c r="P53" s="530"/>
      <c r="Q53" s="530"/>
      <c r="R53" s="530"/>
      <c r="S53" s="530"/>
      <c r="T53" s="530"/>
      <c r="U53" s="530"/>
      <c r="V53" s="531"/>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96" customFormat="1" outlineLevel="1" x14ac:dyDescent="0.35">
      <c r="A54" s="7"/>
      <c r="B54" s="8"/>
      <c r="C54" s="18"/>
      <c r="D54" s="18"/>
      <c r="E54" s="18"/>
      <c r="F54" s="24"/>
      <c r="G54" s="34"/>
      <c r="H54" s="533" t="str">
        <f>General!G53</f>
        <v>z</v>
      </c>
      <c r="I54" s="534">
        <v>0.9</v>
      </c>
      <c r="J54" s="535">
        <v>1.1000000000000001</v>
      </c>
      <c r="K54" s="534">
        <v>0.7</v>
      </c>
      <c r="L54" s="534">
        <v>0.95</v>
      </c>
      <c r="M54" s="24"/>
      <c r="N54" s="530"/>
      <c r="O54" s="530"/>
      <c r="P54" s="530"/>
      <c r="Q54" s="530"/>
      <c r="R54" s="530"/>
      <c r="S54" s="530"/>
      <c r="T54" s="530"/>
      <c r="U54" s="530"/>
      <c r="V54" s="531"/>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96" customFormat="1" outlineLevel="1" x14ac:dyDescent="0.35">
      <c r="A55" s="7"/>
      <c r="B55" s="8"/>
      <c r="C55" s="18"/>
      <c r="D55" s="18"/>
      <c r="E55" s="18"/>
      <c r="F55" s="24"/>
      <c r="G55" s="34"/>
      <c r="H55" s="533" t="str">
        <f>General!G54</f>
        <v>zd</v>
      </c>
      <c r="I55" s="534">
        <v>0.9</v>
      </c>
      <c r="J55" s="535">
        <v>1.1000000000000001</v>
      </c>
      <c r="K55" s="534">
        <v>0.7</v>
      </c>
      <c r="L55" s="534">
        <v>0.95</v>
      </c>
      <c r="M55" s="24"/>
      <c r="N55" s="530"/>
      <c r="O55" s="530"/>
      <c r="P55" s="530"/>
      <c r="Q55" s="530"/>
      <c r="R55" s="530"/>
      <c r="S55" s="530"/>
      <c r="T55" s="530"/>
      <c r="U55" s="530"/>
      <c r="V55" s="531"/>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96" customFormat="1" outlineLevel="1" x14ac:dyDescent="0.35">
      <c r="A56" s="7"/>
      <c r="B56" s="8"/>
      <c r="C56" s="18"/>
      <c r="D56" s="18"/>
      <c r="E56" s="18"/>
      <c r="F56" s="24"/>
      <c r="G56" s="34"/>
      <c r="H56" s="530"/>
      <c r="I56" s="530"/>
      <c r="J56" s="530"/>
      <c r="K56" s="24"/>
      <c r="L56" s="24"/>
      <c r="M56" s="24"/>
      <c r="N56" s="530"/>
      <c r="O56" s="530"/>
      <c r="P56" s="530"/>
      <c r="Q56" s="530"/>
      <c r="R56" s="530"/>
      <c r="S56" s="530"/>
      <c r="T56" s="530"/>
      <c r="U56" s="530"/>
      <c r="V56" s="531"/>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96" customFormat="1" outlineLevel="1" x14ac:dyDescent="0.35">
      <c r="A57" s="7"/>
      <c r="B57" s="8"/>
      <c r="C57" s="18"/>
      <c r="D57" s="18"/>
      <c r="E57" s="18"/>
      <c r="F57" s="24"/>
      <c r="G57" s="34"/>
      <c r="H57" s="530"/>
      <c r="I57" s="530"/>
      <c r="J57" s="530"/>
      <c r="K57" s="24"/>
      <c r="L57" s="24"/>
      <c r="M57" s="24"/>
      <c r="N57" s="530"/>
      <c r="O57" s="530"/>
      <c r="P57" s="530"/>
      <c r="Q57" s="530"/>
      <c r="R57" s="530"/>
      <c r="S57" s="530"/>
      <c r="T57" s="530"/>
      <c r="U57" s="530"/>
      <c r="V57" s="531"/>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96" customFormat="1" ht="5.15" customHeight="1" outlineLevel="1" x14ac:dyDescent="0.35">
      <c r="A58" s="7"/>
      <c r="B58" s="8"/>
      <c r="C58" s="18"/>
      <c r="D58" s="18"/>
      <c r="E58" s="18"/>
      <c r="F58" s="33"/>
      <c r="G58" s="34"/>
      <c r="H58" s="34"/>
      <c r="I58" s="34"/>
      <c r="J58" s="35"/>
      <c r="K58" s="35"/>
      <c r="L58" s="35"/>
      <c r="M58" s="35"/>
      <c r="N58" s="35"/>
      <c r="O58" s="35"/>
      <c r="P58" s="35"/>
      <c r="Q58" s="35"/>
      <c r="R58" s="35"/>
      <c r="S58" s="35"/>
      <c r="T58" s="35"/>
      <c r="U58" s="35"/>
      <c r="V58" s="27"/>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96" customFormat="1" ht="25.4" customHeight="1" outlineLevel="1" x14ac:dyDescent="0.35">
      <c r="A59" s="7"/>
      <c r="B59" s="8"/>
      <c r="C59" s="36"/>
      <c r="D59" s="36"/>
      <c r="E59" s="36"/>
      <c r="F59" s="36"/>
      <c r="G59" s="37" t="str">
        <f>G27</f>
        <v>Excel pre-calc inputs</v>
      </c>
      <c r="H59" s="36"/>
      <c r="I59" s="36"/>
      <c r="J59" s="36"/>
      <c r="K59" s="36"/>
      <c r="L59" s="36"/>
      <c r="M59" s="36"/>
      <c r="N59" s="36"/>
      <c r="O59" s="36"/>
      <c r="P59" s="36"/>
      <c r="Q59" s="36"/>
      <c r="R59" s="36"/>
      <c r="S59" s="36"/>
      <c r="T59" s="36"/>
      <c r="U59" s="36"/>
      <c r="V59" s="36"/>
      <c r="W59" s="38" t="s">
        <v>98</v>
      </c>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96" customFormat="1" ht="12" customHeight="1" outlineLevel="1" x14ac:dyDescent="0.3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row>
    <row r="61" spans="1:96" customFormat="1" ht="12" customHeight="1" outlineLevel="1" x14ac:dyDescent="0.35">
      <c r="A61" s="7"/>
      <c r="B61" s="8"/>
      <c r="C61" s="8"/>
      <c r="D61" s="8"/>
      <c r="E61" s="8"/>
      <c r="F61" s="8"/>
      <c r="G61" s="8"/>
      <c r="H61" s="9"/>
      <c r="I61" s="9"/>
      <c r="J61" s="9"/>
      <c r="K61" s="9"/>
      <c r="L61" s="9"/>
      <c r="M61" s="9"/>
      <c r="N61" s="9"/>
      <c r="O61" s="9"/>
      <c r="P61" s="9"/>
      <c r="Q61" s="9"/>
      <c r="R61" s="9"/>
      <c r="S61" s="9"/>
      <c r="T61" s="9"/>
      <c r="U61" s="9"/>
      <c r="V61" s="9"/>
      <c r="W61" s="9"/>
      <c r="X61" s="8"/>
      <c r="Y61" s="8"/>
      <c r="Z61" s="8"/>
    </row>
    <row r="62" spans="1:96" customFormat="1" ht="5.15"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8"/>
      <c r="Y62" s="8"/>
      <c r="Z62" s="8"/>
    </row>
    <row r="63" spans="1:96" customFormat="1" ht="5.15" customHeight="1" x14ac:dyDescent="0.35">
      <c r="A63" s="7"/>
      <c r="B63" s="8"/>
      <c r="C63" s="10" t="s">
        <v>93</v>
      </c>
      <c r="D63" s="10"/>
      <c r="E63" s="10"/>
      <c r="F63" s="10"/>
      <c r="G63" s="10"/>
      <c r="H63" s="10"/>
      <c r="I63" s="10"/>
      <c r="J63" s="10"/>
      <c r="K63" s="11"/>
      <c r="L63" s="11"/>
      <c r="M63" s="11"/>
      <c r="N63" s="11"/>
      <c r="O63" s="11"/>
      <c r="P63" s="11"/>
      <c r="Q63" s="11"/>
      <c r="R63" s="11"/>
      <c r="S63" s="11"/>
      <c r="T63" s="11"/>
      <c r="U63" s="11"/>
      <c r="V63" s="11"/>
      <c r="W63" s="12"/>
      <c r="X63" s="9"/>
      <c r="Y63" s="9"/>
      <c r="Z63" s="9"/>
    </row>
    <row r="64" spans="1:96" customFormat="1" ht="12" customHeight="1" x14ac:dyDescent="0.35">
      <c r="A64" s="7"/>
      <c r="B64" s="8"/>
      <c r="C64" s="13"/>
      <c r="D64" s="13"/>
      <c r="E64" s="13" t="s">
        <v>94</v>
      </c>
      <c r="F64" s="14"/>
      <c r="G64" s="15" t="s">
        <v>3087</v>
      </c>
      <c r="H64" s="14"/>
      <c r="I64" s="14"/>
      <c r="J64" s="14"/>
      <c r="K64" s="14"/>
      <c r="L64" s="14"/>
      <c r="M64" s="14"/>
      <c r="N64" s="14"/>
      <c r="O64" s="14"/>
      <c r="P64" s="14"/>
      <c r="Q64" s="14"/>
      <c r="R64" s="14"/>
      <c r="S64" s="16"/>
      <c r="T64" s="14"/>
      <c r="U64" s="16"/>
      <c r="V64" s="16"/>
      <c r="W64" s="17"/>
      <c r="X64" s="9"/>
      <c r="Y64" s="9"/>
      <c r="Z64" s="9"/>
    </row>
    <row r="65" spans="1:26" customFormat="1" ht="12" customHeight="1" outlineLevel="1" x14ac:dyDescent="0.35">
      <c r="A65" s="7"/>
      <c r="B65" s="8"/>
      <c r="C65" s="13"/>
      <c r="D65" s="13"/>
      <c r="E65" s="18"/>
      <c r="F65" s="14"/>
      <c r="G65" s="14" t="s">
        <v>3075</v>
      </c>
      <c r="H65" s="14"/>
      <c r="I65" s="14"/>
      <c r="J65" s="14"/>
      <c r="K65" s="14"/>
      <c r="L65" s="14"/>
      <c r="M65" s="14"/>
      <c r="N65" s="14"/>
      <c r="O65" s="14"/>
      <c r="P65" s="14"/>
      <c r="Q65" s="14"/>
      <c r="R65" s="14"/>
      <c r="S65" s="16"/>
      <c r="T65" s="19"/>
      <c r="U65" s="16"/>
      <c r="V65" s="16"/>
      <c r="W65" s="17"/>
      <c r="X65" s="9"/>
      <c r="Y65" s="9"/>
      <c r="Z65" s="9"/>
    </row>
    <row r="66" spans="1:26" customFormat="1" ht="12" customHeight="1" outlineLevel="1" x14ac:dyDescent="0.35">
      <c r="A66" s="7"/>
      <c r="B66" s="8"/>
      <c r="C66" s="18"/>
      <c r="D66" s="13"/>
      <c r="E66" s="18"/>
      <c r="F66" s="14"/>
      <c r="G66" s="20">
        <v>38576.728703703702</v>
      </c>
      <c r="H66" s="14"/>
      <c r="I66" s="14"/>
      <c r="J66" s="14"/>
      <c r="K66" s="14"/>
      <c r="L66" s="14"/>
      <c r="M66" s="14"/>
      <c r="N66" s="14"/>
      <c r="O66" s="14"/>
      <c r="P66" s="14"/>
      <c r="Q66" s="14"/>
      <c r="R66" s="14"/>
      <c r="S66" s="16"/>
      <c r="T66" s="19"/>
      <c r="U66" s="16"/>
      <c r="V66" s="16"/>
      <c r="W66" s="17"/>
      <c r="X66" s="9"/>
      <c r="Y66" s="9"/>
      <c r="Z66" s="9"/>
    </row>
    <row r="67" spans="1:26" customFormat="1" ht="12" customHeight="1" outlineLevel="1" x14ac:dyDescent="0.35">
      <c r="A67" s="7"/>
      <c r="B67" s="8"/>
      <c r="C67" s="412"/>
      <c r="D67" s="13"/>
      <c r="E67" s="18"/>
      <c r="F67" s="14"/>
      <c r="G67" s="511"/>
      <c r="H67" s="14"/>
      <c r="I67" s="14" t="s">
        <v>2821</v>
      </c>
      <c r="J67" s="14"/>
      <c r="K67" s="14"/>
      <c r="L67" s="14"/>
      <c r="M67" s="14"/>
      <c r="N67" s="14"/>
      <c r="O67" s="14"/>
      <c r="P67" s="14"/>
      <c r="Q67" s="14"/>
      <c r="R67" s="14"/>
      <c r="S67" s="16"/>
      <c r="T67" s="19"/>
      <c r="U67" s="16"/>
      <c r="V67" s="16"/>
      <c r="W67" s="17"/>
      <c r="X67" s="9"/>
      <c r="Y67" s="9"/>
      <c r="Z67" s="9"/>
    </row>
    <row r="68" spans="1:26" customFormat="1" ht="12" customHeight="1" outlineLevel="1" x14ac:dyDescent="0.35">
      <c r="A68" s="7"/>
      <c r="B68" s="8"/>
      <c r="C68" s="18"/>
      <c r="D68" s="18"/>
      <c r="E68" s="18"/>
      <c r="F68" s="18"/>
      <c r="G68" s="18"/>
      <c r="H68" s="18"/>
      <c r="I68" s="18"/>
      <c r="J68" s="21"/>
      <c r="K68" s="21"/>
      <c r="L68" s="21"/>
      <c r="M68" s="21"/>
      <c r="N68" s="21"/>
      <c r="O68" s="21"/>
      <c r="P68" s="21"/>
      <c r="Q68" s="21"/>
      <c r="R68" s="21"/>
      <c r="S68" s="21"/>
      <c r="T68" s="21"/>
      <c r="U68" s="21"/>
      <c r="V68" s="21"/>
      <c r="W68" s="17"/>
      <c r="X68" s="9"/>
      <c r="Y68" s="9"/>
      <c r="Z68" s="9"/>
    </row>
    <row r="69" spans="1:26" customFormat="1" ht="12" customHeight="1" outlineLevel="1" x14ac:dyDescent="0.35">
      <c r="A69" s="7"/>
      <c r="B69" s="8"/>
      <c r="C69" s="18"/>
      <c r="D69" s="18"/>
      <c r="E69" s="18"/>
      <c r="F69" s="18"/>
      <c r="G69" s="18"/>
      <c r="H69" s="18"/>
      <c r="I69" s="18"/>
      <c r="J69" s="18"/>
      <c r="K69" s="18"/>
      <c r="L69" s="21"/>
      <c r="M69" s="21"/>
      <c r="N69" s="21"/>
      <c r="O69" s="21"/>
      <c r="P69" s="21"/>
      <c r="Q69" s="21"/>
      <c r="R69" s="21"/>
      <c r="S69" s="21"/>
      <c r="T69" s="21"/>
      <c r="U69" s="21"/>
      <c r="V69" s="21"/>
      <c r="W69" s="17"/>
      <c r="X69" s="9"/>
      <c r="Y69" s="9"/>
      <c r="Z69" s="9"/>
    </row>
    <row r="70" spans="1:26" customFormat="1" ht="12" customHeight="1" outlineLevel="1" x14ac:dyDescent="0.35">
      <c r="A70" s="7"/>
      <c r="B70" s="8"/>
      <c r="C70" s="18"/>
      <c r="D70" s="18"/>
      <c r="E70" s="18"/>
      <c r="F70" s="18"/>
      <c r="G70" s="18"/>
      <c r="H70" s="18"/>
      <c r="I70" s="18"/>
      <c r="J70" s="22"/>
      <c r="K70" s="22"/>
      <c r="L70" s="22"/>
      <c r="M70" s="22"/>
      <c r="N70" s="22"/>
      <c r="O70" s="22"/>
      <c r="P70" s="23"/>
      <c r="Q70" s="23"/>
      <c r="R70" s="23"/>
      <c r="S70" s="21"/>
      <c r="T70" s="21"/>
      <c r="U70" s="21"/>
      <c r="V70" s="21"/>
      <c r="W70" s="17"/>
      <c r="X70" s="9"/>
      <c r="Y70" s="9"/>
      <c r="Z70" s="9"/>
    </row>
    <row r="71" spans="1:26" customFormat="1" ht="12" customHeight="1" outlineLevel="1" x14ac:dyDescent="0.35">
      <c r="A71" s="7"/>
      <c r="B71" s="8"/>
      <c r="C71" s="18"/>
      <c r="D71" s="18"/>
      <c r="E71" s="18"/>
      <c r="F71" s="18"/>
      <c r="G71" s="18"/>
      <c r="H71" s="18"/>
      <c r="I71" s="21"/>
      <c r="J71" s="22"/>
      <c r="K71" s="22"/>
      <c r="L71" s="22"/>
      <c r="M71" s="22"/>
      <c r="N71" s="22"/>
      <c r="O71" s="22"/>
      <c r="P71" s="23"/>
      <c r="Q71" s="23"/>
      <c r="R71" s="23"/>
      <c r="S71" s="21"/>
      <c r="T71" s="21"/>
      <c r="U71" s="21"/>
      <c r="V71" s="21"/>
      <c r="W71" s="17"/>
      <c r="X71" s="9"/>
      <c r="Y71" s="9"/>
      <c r="Z71" s="9"/>
    </row>
    <row r="72" spans="1:26" customFormat="1" ht="5.15" customHeight="1" outlineLevel="1" x14ac:dyDescent="0.35">
      <c r="A72" s="7"/>
      <c r="B72" s="8"/>
      <c r="C72" s="18"/>
      <c r="D72" s="18"/>
      <c r="E72" s="18"/>
      <c r="F72" s="18"/>
      <c r="G72" s="18"/>
      <c r="H72" s="18"/>
      <c r="I72" s="18"/>
      <c r="J72" s="22"/>
      <c r="K72" s="22"/>
      <c r="L72" s="23"/>
      <c r="M72" s="23"/>
      <c r="N72" s="23"/>
      <c r="O72" s="23"/>
      <c r="P72" s="23"/>
      <c r="Q72" s="23"/>
      <c r="R72" s="23"/>
      <c r="S72" s="21"/>
      <c r="T72" s="21"/>
      <c r="U72" s="21"/>
      <c r="V72" s="21"/>
      <c r="W72" s="17"/>
      <c r="X72" s="9"/>
      <c r="Y72" s="9"/>
      <c r="Z72" s="9"/>
    </row>
    <row r="73" spans="1:26" customFormat="1" ht="5.15" customHeight="1" outlineLevel="1" x14ac:dyDescent="0.35">
      <c r="A73" s="7"/>
      <c r="B73" s="8"/>
      <c r="C73" s="18"/>
      <c r="D73" s="18"/>
      <c r="E73" s="18"/>
      <c r="F73" s="24"/>
      <c r="G73" s="25"/>
      <c r="H73" s="25"/>
      <c r="I73" s="512"/>
      <c r="J73" s="513"/>
      <c r="K73" s="513"/>
      <c r="L73" s="513"/>
      <c r="M73" s="513"/>
      <c r="N73" s="513"/>
      <c r="O73" s="513"/>
      <c r="P73" s="26"/>
      <c r="Q73" s="26"/>
      <c r="R73" s="26"/>
      <c r="S73" s="26"/>
      <c r="T73" s="26"/>
      <c r="U73" s="26"/>
      <c r="V73" s="27"/>
      <c r="W73" s="17"/>
      <c r="X73" s="9"/>
      <c r="Y73" s="9"/>
      <c r="Z73" s="9"/>
    </row>
    <row r="74" spans="1:26" customFormat="1" x14ac:dyDescent="0.35">
      <c r="A74" s="7"/>
      <c r="B74" s="8"/>
      <c r="C74" s="18"/>
      <c r="D74" s="18"/>
      <c r="E74" s="18"/>
      <c r="F74" s="24"/>
      <c r="G74" s="358" t="s">
        <v>3088</v>
      </c>
      <c r="I74" s="536"/>
      <c r="K74" s="537"/>
      <c r="L74" s="537"/>
      <c r="M74" s="26"/>
      <c r="O74" s="513"/>
      <c r="P74" s="26"/>
      <c r="Q74" s="26"/>
      <c r="R74" s="26"/>
      <c r="S74" s="26"/>
      <c r="T74" s="26"/>
      <c r="U74" s="26"/>
      <c r="V74" s="27"/>
      <c r="W74" s="17"/>
      <c r="X74" s="9"/>
      <c r="Y74" s="9"/>
      <c r="Z74" s="9"/>
    </row>
    <row r="75" spans="1:26" customFormat="1" outlineLevel="1" x14ac:dyDescent="0.35">
      <c r="A75" s="7"/>
      <c r="B75" s="8"/>
      <c r="C75" s="18"/>
      <c r="D75" s="18"/>
      <c r="E75" s="18"/>
      <c r="F75" s="24"/>
      <c r="G75" s="358"/>
      <c r="H75" s="538" t="s">
        <v>2343</v>
      </c>
      <c r="I75" s="539" t="s">
        <v>2345</v>
      </c>
      <c r="J75" s="540" t="s">
        <v>2344</v>
      </c>
      <c r="K75" s="541"/>
      <c r="L75" s="537"/>
      <c r="M75" s="27"/>
      <c r="O75" s="513"/>
      <c r="P75" s="26"/>
      <c r="Q75" s="26"/>
      <c r="R75" s="26"/>
      <c r="S75" s="27"/>
      <c r="T75" s="26"/>
      <c r="U75" s="26"/>
      <c r="V75" s="27"/>
      <c r="W75" s="17"/>
      <c r="X75" s="9"/>
      <c r="Y75" s="9"/>
      <c r="Z75" s="9"/>
    </row>
    <row r="76" spans="1:26" customFormat="1" outlineLevel="1" x14ac:dyDescent="0.35">
      <c r="A76" s="7"/>
      <c r="B76" s="8"/>
      <c r="C76" s="18"/>
      <c r="D76" s="18"/>
      <c r="E76" s="18"/>
      <c r="F76" s="24"/>
      <c r="H76" s="542" t="s">
        <v>2342</v>
      </c>
      <c r="I76" t="s">
        <v>2346</v>
      </c>
      <c r="J76" t="s">
        <v>2347</v>
      </c>
      <c r="K76" s="537"/>
      <c r="L76" s="537"/>
      <c r="O76" s="526"/>
      <c r="P76" s="30"/>
      <c r="Q76" s="30"/>
      <c r="R76" s="30"/>
      <c r="T76" s="30"/>
      <c r="U76" s="30"/>
      <c r="V76" s="27"/>
      <c r="W76" s="17"/>
      <c r="X76" s="9"/>
      <c r="Y76" s="9"/>
      <c r="Z76" s="9"/>
    </row>
    <row r="77" spans="1:26" customFormat="1" ht="12" customHeight="1" outlineLevel="1" x14ac:dyDescent="0.35">
      <c r="A77" s="7"/>
      <c r="B77" s="8"/>
      <c r="C77" s="18"/>
      <c r="D77" s="18"/>
      <c r="E77" s="18"/>
      <c r="F77" s="24"/>
      <c r="G77" s="359" t="str">
        <f>General!G37</f>
        <v>b</v>
      </c>
      <c r="H77" s="534">
        <v>1</v>
      </c>
      <c r="I77" s="534">
        <v>1</v>
      </c>
      <c r="J77" s="543">
        <f t="shared" ref="J77:J94" si="0">$J38-$I38*$K38*(1-$L38)</f>
        <v>1.0685</v>
      </c>
      <c r="K77" s="541"/>
      <c r="L77" s="537"/>
      <c r="M77" s="28"/>
      <c r="O77" s="526"/>
      <c r="P77" s="30"/>
      <c r="Q77" s="30"/>
      <c r="R77" s="30"/>
      <c r="T77" s="30"/>
      <c r="U77" s="30"/>
      <c r="V77" s="27"/>
      <c r="W77" s="17"/>
      <c r="X77" s="9"/>
      <c r="Y77" s="9"/>
      <c r="Z77" s="9"/>
    </row>
    <row r="78" spans="1:26" customFormat="1" ht="12" customHeight="1" outlineLevel="1" x14ac:dyDescent="0.35">
      <c r="A78" s="7"/>
      <c r="B78" s="8"/>
      <c r="C78" s="18"/>
      <c r="D78" s="18"/>
      <c r="E78" s="18"/>
      <c r="F78" s="24"/>
      <c r="G78" s="359" t="str">
        <f>General!G38</f>
        <v>bd</v>
      </c>
      <c r="H78" s="534">
        <v>1</v>
      </c>
      <c r="I78" s="534">
        <v>1</v>
      </c>
      <c r="J78" s="543">
        <f t="shared" si="0"/>
        <v>1.0685</v>
      </c>
      <c r="K78" s="541"/>
      <c r="L78" s="537"/>
      <c r="M78" s="28"/>
      <c r="O78" s="526"/>
      <c r="P78" s="30"/>
      <c r="Q78" s="30"/>
      <c r="R78" s="30"/>
      <c r="T78" s="30"/>
      <c r="U78" s="30"/>
      <c r="V78" s="27"/>
      <c r="W78" s="17"/>
      <c r="X78" s="9"/>
      <c r="Y78" s="9"/>
      <c r="Z78" s="9"/>
    </row>
    <row r="79" spans="1:26" customFormat="1" ht="12" customHeight="1" outlineLevel="1" x14ac:dyDescent="0.35">
      <c r="A79" s="7"/>
      <c r="B79" s="8"/>
      <c r="C79" s="18"/>
      <c r="D79" s="18"/>
      <c r="E79" s="18"/>
      <c r="F79" s="24"/>
      <c r="G79" s="359" t="str">
        <f>General!G39</f>
        <v>f</v>
      </c>
      <c r="H79" s="534">
        <v>1</v>
      </c>
      <c r="I79" s="534">
        <v>1</v>
      </c>
      <c r="J79" s="543">
        <f t="shared" si="0"/>
        <v>1.0685</v>
      </c>
      <c r="K79" s="541"/>
      <c r="L79" s="537"/>
      <c r="M79" s="28"/>
      <c r="P79" s="30"/>
      <c r="Q79" s="30"/>
      <c r="R79" s="30"/>
      <c r="T79" s="30"/>
      <c r="U79" s="30"/>
      <c r="V79" s="27"/>
      <c r="W79" s="17"/>
      <c r="X79" s="9"/>
      <c r="Y79" s="9"/>
      <c r="Z79" s="9"/>
    </row>
    <row r="80" spans="1:26" customFormat="1" ht="12" customHeight="1" outlineLevel="1" x14ac:dyDescent="0.35">
      <c r="A80" s="7"/>
      <c r="B80" s="8"/>
      <c r="C80" s="18"/>
      <c r="D80" s="18"/>
      <c r="E80" s="18"/>
      <c r="F80" s="24"/>
      <c r="G80" s="359" t="str">
        <f>General!G40</f>
        <v>h</v>
      </c>
      <c r="H80" s="534">
        <v>1</v>
      </c>
      <c r="I80" s="534">
        <v>1</v>
      </c>
      <c r="J80" s="543">
        <f t="shared" si="0"/>
        <v>1.0685</v>
      </c>
      <c r="K80" s="541"/>
      <c r="L80" s="537"/>
      <c r="M80" s="28"/>
      <c r="P80" s="30"/>
      <c r="Q80" s="30"/>
      <c r="R80" s="30"/>
      <c r="T80" s="30"/>
      <c r="U80" s="30"/>
      <c r="V80" s="27"/>
      <c r="W80" s="17"/>
      <c r="X80" s="9"/>
      <c r="Y80" s="9"/>
      <c r="Z80" s="9"/>
    </row>
    <row r="81" spans="1:26" customFormat="1" ht="12" customHeight="1" outlineLevel="1" x14ac:dyDescent="0.35">
      <c r="A81" s="7"/>
      <c r="B81" s="8"/>
      <c r="C81" s="18"/>
      <c r="D81" s="18"/>
      <c r="E81" s="18"/>
      <c r="F81" s="24"/>
      <c r="G81" s="359" t="str">
        <f>General!G41</f>
        <v>i</v>
      </c>
      <c r="H81" s="534">
        <v>1</v>
      </c>
      <c r="I81" s="534">
        <v>1</v>
      </c>
      <c r="J81" s="543">
        <f t="shared" si="0"/>
        <v>1.0685</v>
      </c>
      <c r="K81" s="541"/>
      <c r="L81" s="537"/>
      <c r="M81" s="28"/>
      <c r="P81" s="30"/>
      <c r="Q81" s="30"/>
      <c r="R81" s="30"/>
      <c r="T81" s="30"/>
      <c r="U81" s="30"/>
      <c r="V81" s="27"/>
      <c r="W81" s="17"/>
      <c r="X81" s="9"/>
      <c r="Y81" s="9"/>
      <c r="Z81" s="9"/>
    </row>
    <row r="82" spans="1:26" customFormat="1" ht="12" customHeight="1" outlineLevel="1" x14ac:dyDescent="0.35">
      <c r="A82" s="7"/>
      <c r="B82" s="8"/>
      <c r="C82" s="18"/>
      <c r="D82" s="18"/>
      <c r="E82" s="18"/>
      <c r="F82" s="24"/>
      <c r="G82" s="359" t="str">
        <f>General!G42</f>
        <v>k</v>
      </c>
      <c r="H82" s="534">
        <v>1</v>
      </c>
      <c r="I82" s="534">
        <v>1</v>
      </c>
      <c r="J82" s="543">
        <f t="shared" si="0"/>
        <v>1.0685</v>
      </c>
      <c r="K82" s="541"/>
      <c r="L82" s="537"/>
      <c r="M82" s="28"/>
      <c r="P82" s="30"/>
      <c r="Q82" s="30"/>
      <c r="R82" s="30"/>
      <c r="T82" s="30"/>
      <c r="U82" s="30"/>
      <c r="V82" s="27"/>
      <c r="W82" s="17"/>
      <c r="X82" s="9"/>
      <c r="Y82" s="9"/>
      <c r="Z82" s="9"/>
    </row>
    <row r="83" spans="1:26" customFormat="1" ht="12" customHeight="1" outlineLevel="1" x14ac:dyDescent="0.35">
      <c r="A83" s="7"/>
      <c r="B83" s="8"/>
      <c r="C83" s="18"/>
      <c r="D83" s="18"/>
      <c r="E83" s="18"/>
      <c r="F83" s="24"/>
      <c r="G83" s="359" t="str">
        <f>General!G43</f>
        <v>l</v>
      </c>
      <c r="H83" s="534">
        <v>1</v>
      </c>
      <c r="I83" s="534">
        <v>1</v>
      </c>
      <c r="J83" s="543">
        <f t="shared" si="0"/>
        <v>1.0685</v>
      </c>
      <c r="K83" s="541"/>
      <c r="L83" s="537"/>
      <c r="M83" s="28"/>
      <c r="P83" s="30"/>
      <c r="Q83" s="30"/>
      <c r="R83" s="30"/>
      <c r="T83" s="30"/>
      <c r="U83" s="30"/>
      <c r="V83" s="27"/>
      <c r="W83" s="17"/>
      <c r="X83" s="9"/>
      <c r="Y83" s="9"/>
      <c r="Z83" s="9"/>
    </row>
    <row r="84" spans="1:26" customFormat="1" ht="12" customHeight="1" outlineLevel="1" x14ac:dyDescent="0.35">
      <c r="A84" s="7"/>
      <c r="B84" s="8"/>
      <c r="C84" s="18"/>
      <c r="D84" s="18"/>
      <c r="E84" s="18"/>
      <c r="F84" s="24"/>
      <c r="G84" s="359" t="str">
        <f>General!G44</f>
        <v>ms</v>
      </c>
      <c r="H84" s="534">
        <v>1</v>
      </c>
      <c r="I84" s="534">
        <v>1</v>
      </c>
      <c r="J84" s="543">
        <f t="shared" si="0"/>
        <v>1.0685</v>
      </c>
      <c r="K84" s="541"/>
      <c r="L84" s="537"/>
      <c r="M84" s="28"/>
      <c r="P84" s="30"/>
      <c r="Q84" s="30"/>
      <c r="R84" s="30"/>
      <c r="T84" s="30"/>
      <c r="U84" s="30"/>
      <c r="V84" s="27"/>
      <c r="W84" s="17"/>
      <c r="X84" s="9"/>
      <c r="Y84" s="9"/>
      <c r="Z84" s="9"/>
    </row>
    <row r="85" spans="1:26" customFormat="1" ht="12" customHeight="1" outlineLevel="1" x14ac:dyDescent="0.35">
      <c r="A85" s="7"/>
      <c r="B85" s="8"/>
      <c r="C85" s="18"/>
      <c r="D85" s="18"/>
      <c r="E85" s="18"/>
      <c r="F85" s="24"/>
      <c r="G85" s="359" t="str">
        <f>General!G45</f>
        <v>o</v>
      </c>
      <c r="H85" s="534">
        <v>1</v>
      </c>
      <c r="I85" s="534">
        <v>1</v>
      </c>
      <c r="J85" s="543">
        <f t="shared" si="0"/>
        <v>1.0685</v>
      </c>
      <c r="K85" s="541"/>
      <c r="L85" s="537"/>
      <c r="M85" s="28"/>
      <c r="P85" s="30"/>
      <c r="Q85" s="30"/>
      <c r="R85" s="30"/>
      <c r="T85" s="30"/>
      <c r="U85" s="30"/>
      <c r="V85" s="27"/>
      <c r="W85" s="17"/>
      <c r="X85" s="9"/>
      <c r="Y85" s="9"/>
      <c r="Z85" s="9"/>
    </row>
    <row r="86" spans="1:26" customFormat="1" ht="12" customHeight="1" outlineLevel="1" x14ac:dyDescent="0.35">
      <c r="A86" s="7"/>
      <c r="B86" s="8"/>
      <c r="C86" s="18"/>
      <c r="D86" s="18"/>
      <c r="E86" s="18"/>
      <c r="F86" s="24"/>
      <c r="G86" s="359" t="str">
        <f>General!G46</f>
        <v>od</v>
      </c>
      <c r="H86" s="534">
        <v>1</v>
      </c>
      <c r="I86" s="534">
        <v>1</v>
      </c>
      <c r="J86" s="543">
        <f t="shared" si="0"/>
        <v>1.0685</v>
      </c>
      <c r="K86" s="541"/>
      <c r="L86" s="537"/>
      <c r="M86" s="28"/>
      <c r="P86" s="30"/>
      <c r="Q86" s="30"/>
      <c r="R86" s="30"/>
      <c r="T86" s="30"/>
      <c r="U86" s="30"/>
      <c r="V86" s="27"/>
      <c r="W86" s="17"/>
      <c r="X86" s="9"/>
      <c r="Y86" s="9"/>
      <c r="Z86" s="9"/>
    </row>
    <row r="87" spans="1:26" customFormat="1" ht="12" customHeight="1" outlineLevel="1" x14ac:dyDescent="0.35">
      <c r="A87" s="7"/>
      <c r="B87" s="8"/>
      <c r="C87" s="18"/>
      <c r="D87" s="18"/>
      <c r="E87" s="18"/>
      <c r="F87" s="24"/>
      <c r="G87" s="359" t="str">
        <f>General!G47</f>
        <v>of</v>
      </c>
      <c r="H87" s="534">
        <v>1</v>
      </c>
      <c r="I87" s="534">
        <v>1</v>
      </c>
      <c r="J87" s="543">
        <f t="shared" si="0"/>
        <v>1.0685</v>
      </c>
      <c r="K87" s="541"/>
      <c r="L87" s="537"/>
      <c r="M87" s="28"/>
      <c r="P87" s="30"/>
      <c r="Q87" s="30"/>
      <c r="R87" s="30"/>
      <c r="T87" s="30"/>
      <c r="U87" s="30"/>
      <c r="V87" s="27"/>
      <c r="W87" s="17"/>
      <c r="X87" s="9"/>
      <c r="Y87" s="9"/>
      <c r="Z87" s="9"/>
    </row>
    <row r="88" spans="1:26" customFormat="1" ht="12" customHeight="1" outlineLevel="1" x14ac:dyDescent="0.35">
      <c r="A88" s="7"/>
      <c r="B88" s="8"/>
      <c r="C88" s="18"/>
      <c r="D88" s="18"/>
      <c r="E88" s="18"/>
      <c r="F88" s="24"/>
      <c r="G88" s="359" t="str">
        <f>General!G48</f>
        <v>r</v>
      </c>
      <c r="H88" s="534">
        <v>1</v>
      </c>
      <c r="I88" s="534">
        <v>1</v>
      </c>
      <c r="J88" s="543">
        <f t="shared" si="0"/>
        <v>1.0685</v>
      </c>
      <c r="K88" s="541"/>
      <c r="L88" s="537"/>
      <c r="M88" s="28"/>
      <c r="P88" s="30"/>
      <c r="Q88" s="30"/>
      <c r="R88" s="30"/>
      <c r="T88" s="30"/>
      <c r="U88" s="30"/>
      <c r="V88" s="27"/>
      <c r="W88" s="17"/>
      <c r="X88" s="9"/>
      <c r="Y88" s="9"/>
      <c r="Z88" s="9"/>
    </row>
    <row r="89" spans="1:26" customFormat="1" ht="12" customHeight="1" outlineLevel="1" x14ac:dyDescent="0.35">
      <c r="A89" s="7"/>
      <c r="B89" s="8"/>
      <c r="C89" s="18"/>
      <c r="D89" s="18"/>
      <c r="E89" s="18"/>
      <c r="F89" s="24"/>
      <c r="G89" s="359" t="str">
        <f>General!G49</f>
        <v>rd</v>
      </c>
      <c r="H89" s="534">
        <v>1</v>
      </c>
      <c r="I89" s="534">
        <v>1</v>
      </c>
      <c r="J89" s="543">
        <f t="shared" si="0"/>
        <v>1.0685</v>
      </c>
      <c r="K89" s="541"/>
      <c r="L89" s="537"/>
      <c r="M89" s="28"/>
      <c r="P89" s="30"/>
      <c r="Q89" s="30"/>
      <c r="R89" s="30"/>
      <c r="T89" s="30"/>
      <c r="U89" s="30"/>
      <c r="V89" s="27"/>
      <c r="W89" s="17"/>
      <c r="X89" s="9"/>
      <c r="Y89" s="9"/>
      <c r="Z89" s="9"/>
    </row>
    <row r="90" spans="1:26" customFormat="1" ht="12" customHeight="1" outlineLevel="1" x14ac:dyDescent="0.35">
      <c r="A90" s="7"/>
      <c r="B90" s="8"/>
      <c r="C90" s="18"/>
      <c r="D90" s="18"/>
      <c r="E90" s="18"/>
      <c r="F90" s="24"/>
      <c r="G90" s="359" t="str">
        <f>General!G50</f>
        <v>v</v>
      </c>
      <c r="H90" s="534">
        <v>1</v>
      </c>
      <c r="I90" s="534">
        <v>1</v>
      </c>
      <c r="J90" s="543">
        <f t="shared" si="0"/>
        <v>1.0685</v>
      </c>
      <c r="K90" s="541"/>
      <c r="L90" s="537"/>
      <c r="M90" s="28"/>
      <c r="P90" s="30"/>
      <c r="Q90" s="30"/>
      <c r="R90" s="30"/>
      <c r="T90" s="30"/>
      <c r="U90" s="30"/>
      <c r="V90" s="27"/>
      <c r="W90" s="17"/>
      <c r="X90" s="9"/>
      <c r="Y90" s="9"/>
      <c r="Z90" s="9"/>
    </row>
    <row r="91" spans="1:26" customFormat="1" ht="12" customHeight="1" outlineLevel="1" x14ac:dyDescent="0.35">
      <c r="A91" s="7"/>
      <c r="B91" s="8"/>
      <c r="C91" s="18"/>
      <c r="D91" s="18"/>
      <c r="E91" s="18"/>
      <c r="F91" s="24"/>
      <c r="G91" s="359" t="str">
        <f>General!G51</f>
        <v>w</v>
      </c>
      <c r="H91" s="534">
        <v>1</v>
      </c>
      <c r="I91" s="534">
        <v>1</v>
      </c>
      <c r="J91" s="543">
        <f t="shared" si="0"/>
        <v>1.0685</v>
      </c>
      <c r="K91" s="541"/>
      <c r="L91" s="537"/>
      <c r="M91" s="28"/>
      <c r="P91" s="30"/>
      <c r="Q91" s="30"/>
      <c r="R91" s="30"/>
      <c r="T91" s="30"/>
      <c r="U91" s="30"/>
      <c r="V91" s="27"/>
      <c r="W91" s="17"/>
      <c r="X91" s="9"/>
      <c r="Y91" s="9"/>
      <c r="Z91" s="9"/>
    </row>
    <row r="92" spans="1:26" customFormat="1" ht="12" customHeight="1" outlineLevel="1" x14ac:dyDescent="0.35">
      <c r="A92" s="7"/>
      <c r="B92" s="8"/>
      <c r="C92" s="18"/>
      <c r="D92" s="18"/>
      <c r="E92" s="18"/>
      <c r="F92" s="24"/>
      <c r="G92" s="359" t="str">
        <f>General!G52</f>
        <v>wd</v>
      </c>
      <c r="H92" s="534">
        <v>1</v>
      </c>
      <c r="I92" s="534">
        <v>1</v>
      </c>
      <c r="J92" s="543">
        <f t="shared" si="0"/>
        <v>1.0685</v>
      </c>
      <c r="K92" s="541"/>
      <c r="L92" s="537"/>
      <c r="M92" s="28"/>
      <c r="P92" s="30"/>
      <c r="Q92" s="30"/>
      <c r="R92" s="30"/>
      <c r="T92" s="30"/>
      <c r="U92" s="30"/>
      <c r="V92" s="27"/>
      <c r="W92" s="17"/>
      <c r="X92" s="9"/>
      <c r="Y92" s="9"/>
      <c r="Z92" s="9"/>
    </row>
    <row r="93" spans="1:26" customFormat="1" ht="12" customHeight="1" outlineLevel="1" x14ac:dyDescent="0.35">
      <c r="A93" s="7"/>
      <c r="B93" s="8"/>
      <c r="C93" s="18"/>
      <c r="D93" s="18"/>
      <c r="E93" s="18"/>
      <c r="F93" s="24"/>
      <c r="G93" s="359" t="str">
        <f>General!G53</f>
        <v>z</v>
      </c>
      <c r="H93" s="534">
        <v>1</v>
      </c>
      <c r="I93" s="534">
        <v>1</v>
      </c>
      <c r="J93" s="543">
        <f t="shared" si="0"/>
        <v>1.0685</v>
      </c>
      <c r="K93" s="541"/>
      <c r="L93" s="537"/>
      <c r="M93" s="514"/>
      <c r="P93" s="30"/>
      <c r="Q93" s="30"/>
      <c r="R93" s="30"/>
      <c r="T93" s="30"/>
      <c r="U93" s="30"/>
      <c r="V93" s="27"/>
      <c r="W93" s="17"/>
      <c r="X93" s="9"/>
      <c r="Y93" s="9"/>
      <c r="Z93" s="9"/>
    </row>
    <row r="94" spans="1:26" customFormat="1" ht="12" customHeight="1" outlineLevel="1" x14ac:dyDescent="0.35">
      <c r="A94" s="7"/>
      <c r="B94" s="8"/>
      <c r="C94" s="18"/>
      <c r="D94" s="18"/>
      <c r="E94" s="18"/>
      <c r="F94" s="24"/>
      <c r="G94" s="359" t="str">
        <f>General!G54</f>
        <v>zd</v>
      </c>
      <c r="H94" s="534">
        <v>1</v>
      </c>
      <c r="I94" s="534">
        <v>1</v>
      </c>
      <c r="J94" s="543">
        <f t="shared" si="0"/>
        <v>1.0685</v>
      </c>
      <c r="K94" s="541"/>
      <c r="L94" s="537"/>
      <c r="M94" s="30"/>
      <c r="P94" s="30"/>
      <c r="Q94" s="30"/>
      <c r="R94" s="30"/>
      <c r="S94" s="544"/>
      <c r="T94" s="30"/>
      <c r="U94" s="30"/>
      <c r="V94" s="27"/>
      <c r="W94" s="17"/>
      <c r="X94" s="9"/>
      <c r="Y94" s="9"/>
      <c r="Z94" s="9"/>
    </row>
    <row r="95" spans="1:26" customFormat="1" ht="12" customHeight="1" outlineLevel="1" x14ac:dyDescent="0.35">
      <c r="A95" s="7"/>
      <c r="B95" s="8"/>
      <c r="C95" s="18"/>
      <c r="D95" s="18"/>
      <c r="E95" s="18"/>
      <c r="F95" s="27"/>
      <c r="G95" s="27"/>
      <c r="H95" s="27"/>
      <c r="I95" s="27"/>
      <c r="J95" s="27"/>
      <c r="K95" s="27"/>
      <c r="L95" s="27"/>
      <c r="M95" s="27"/>
      <c r="P95" s="30"/>
      <c r="Q95" s="30"/>
      <c r="R95" s="30"/>
      <c r="S95" s="531"/>
      <c r="T95" s="30"/>
      <c r="U95" s="30"/>
      <c r="V95" s="27"/>
      <c r="W95" s="17"/>
      <c r="X95" s="9"/>
      <c r="Y95" s="9"/>
      <c r="Z95" s="9"/>
    </row>
    <row r="96" spans="1:26" customFormat="1" outlineLevel="1" x14ac:dyDescent="0.35">
      <c r="A96" s="7"/>
      <c r="B96" s="8"/>
      <c r="C96" s="18"/>
      <c r="D96" s="18"/>
      <c r="E96" s="18"/>
      <c r="F96" s="24"/>
      <c r="G96" s="25"/>
      <c r="H96" s="24"/>
      <c r="I96" s="512"/>
      <c r="J96" s="27"/>
      <c r="K96" s="513"/>
      <c r="L96" s="513"/>
      <c r="M96" s="26"/>
      <c r="N96" s="27"/>
      <c r="O96" s="513"/>
      <c r="P96" s="26"/>
      <c r="Q96" s="26"/>
      <c r="R96" s="26"/>
      <c r="S96" s="26"/>
      <c r="T96" s="26"/>
      <c r="U96" s="26"/>
      <c r="V96" s="27"/>
      <c r="W96" s="17"/>
      <c r="X96" s="9"/>
      <c r="Y96" s="9"/>
      <c r="Z96" s="9"/>
    </row>
    <row r="97" spans="1:26" customFormat="1" x14ac:dyDescent="0.35">
      <c r="A97" s="7"/>
      <c r="B97" s="8"/>
      <c r="C97" s="18"/>
      <c r="D97" s="18"/>
      <c r="E97" s="18"/>
      <c r="F97" s="24"/>
      <c r="G97" s="545" t="s">
        <v>3089</v>
      </c>
      <c r="I97" s="546"/>
      <c r="K97" s="537"/>
      <c r="L97" s="537"/>
      <c r="M97" s="26"/>
      <c r="O97" s="513"/>
      <c r="P97" s="26"/>
      <c r="Q97" s="26"/>
      <c r="R97" s="26"/>
      <c r="S97" s="26"/>
      <c r="T97" s="26"/>
      <c r="U97" s="26"/>
      <c r="V97" s="27"/>
      <c r="W97" s="17"/>
      <c r="X97" s="9"/>
      <c r="Y97" s="9"/>
      <c r="Z97" s="9"/>
    </row>
    <row r="98" spans="1:26" customFormat="1" outlineLevel="1" x14ac:dyDescent="0.35">
      <c r="A98" s="7"/>
      <c r="B98" s="8"/>
      <c r="C98" s="18"/>
      <c r="D98" s="18"/>
      <c r="E98" s="18"/>
      <c r="F98" s="24"/>
      <c r="H98" s="542" t="s">
        <v>2342</v>
      </c>
      <c r="I98" t="s">
        <v>2346</v>
      </c>
      <c r="J98" t="s">
        <v>2347</v>
      </c>
      <c r="K98" s="537"/>
      <c r="L98" s="537"/>
      <c r="O98" s="526"/>
      <c r="P98" s="30"/>
      <c r="Q98" s="30"/>
      <c r="R98" s="30"/>
      <c r="T98" s="30"/>
      <c r="U98" s="30"/>
      <c r="V98" s="27"/>
      <c r="W98" s="17"/>
      <c r="X98" s="9"/>
      <c r="Y98" s="9"/>
      <c r="Z98" s="9"/>
    </row>
    <row r="99" spans="1:26" customFormat="1" ht="12" customHeight="1" outlineLevel="1" x14ac:dyDescent="0.35">
      <c r="A99" s="7"/>
      <c r="B99" s="8"/>
      <c r="C99" s="18"/>
      <c r="D99" s="18"/>
      <c r="E99" s="18"/>
      <c r="F99" s="24"/>
      <c r="G99" s="533" t="str">
        <f>General!G37</f>
        <v>b</v>
      </c>
      <c r="H99" s="547">
        <v>0.44</v>
      </c>
      <c r="I99" s="543">
        <f>H99</f>
        <v>0.44</v>
      </c>
      <c r="J99" s="543">
        <f t="shared" ref="J99:J106" si="1">$I38*$K38*$L38/J77</f>
        <v>0.56013102480112298</v>
      </c>
      <c r="K99" s="541"/>
      <c r="L99" s="537"/>
      <c r="M99" s="28"/>
      <c r="O99" s="526"/>
      <c r="P99" s="30"/>
      <c r="Q99" s="30"/>
      <c r="R99" s="30"/>
      <c r="T99" s="30"/>
      <c r="U99" s="30"/>
      <c r="V99" s="27"/>
      <c r="W99" s="17"/>
      <c r="X99" s="9"/>
      <c r="Y99" s="9"/>
      <c r="Z99" s="9"/>
    </row>
    <row r="100" spans="1:26" customFormat="1" ht="12" customHeight="1" outlineLevel="1" x14ac:dyDescent="0.35">
      <c r="A100" s="7"/>
      <c r="B100" s="8"/>
      <c r="C100" s="18"/>
      <c r="D100" s="18"/>
      <c r="E100" s="18"/>
      <c r="F100" s="24"/>
      <c r="G100" s="533" t="str">
        <f>General!G38</f>
        <v>bd</v>
      </c>
      <c r="H100" s="547">
        <v>0.44</v>
      </c>
      <c r="I100" s="543">
        <f t="shared" ref="I100:I116" si="2">H100</f>
        <v>0.44</v>
      </c>
      <c r="J100" s="543">
        <f t="shared" si="1"/>
        <v>0.56013102480112298</v>
      </c>
      <c r="K100" s="537"/>
      <c r="L100" s="537"/>
      <c r="M100" s="28"/>
      <c r="O100" s="526"/>
      <c r="P100" s="30"/>
      <c r="Q100" s="30"/>
      <c r="R100" s="30"/>
      <c r="T100" s="30"/>
      <c r="U100" s="30"/>
      <c r="V100" s="27"/>
      <c r="W100" s="17"/>
      <c r="X100" s="9"/>
      <c r="Y100" s="9"/>
      <c r="Z100" s="9"/>
    </row>
    <row r="101" spans="1:26" customFormat="1" ht="12" customHeight="1" outlineLevel="1" x14ac:dyDescent="0.35">
      <c r="A101" s="7"/>
      <c r="B101" s="8"/>
      <c r="C101" s="18"/>
      <c r="D101" s="18"/>
      <c r="E101" s="18"/>
      <c r="F101" s="24"/>
      <c r="G101" s="533" t="str">
        <f>General!G39</f>
        <v>f</v>
      </c>
      <c r="H101" s="547">
        <v>0.3</v>
      </c>
      <c r="I101" s="543">
        <f t="shared" si="2"/>
        <v>0.3</v>
      </c>
      <c r="J101" s="543">
        <f t="shared" si="1"/>
        <v>0.56013102480112298</v>
      </c>
      <c r="K101" s="537"/>
      <c r="L101" s="537"/>
      <c r="M101" s="28"/>
      <c r="P101" s="30"/>
      <c r="Q101" s="30"/>
      <c r="R101" s="30"/>
      <c r="T101" s="30"/>
      <c r="U101" s="30"/>
      <c r="V101" s="27"/>
      <c r="W101" s="17"/>
      <c r="X101" s="9"/>
      <c r="Y101" s="9"/>
      <c r="Z101" s="9"/>
    </row>
    <row r="102" spans="1:26" customFormat="1" ht="12" customHeight="1" outlineLevel="1" x14ac:dyDescent="0.35">
      <c r="A102" s="7"/>
      <c r="B102" s="8"/>
      <c r="C102" s="18"/>
      <c r="D102" s="18"/>
      <c r="E102" s="18"/>
      <c r="F102" s="24"/>
      <c r="G102" s="533" t="str">
        <f>General!G40</f>
        <v>h</v>
      </c>
      <c r="H102" s="547">
        <v>0.3</v>
      </c>
      <c r="I102" s="543">
        <f t="shared" si="2"/>
        <v>0.3</v>
      </c>
      <c r="J102" s="543">
        <f t="shared" si="1"/>
        <v>0.56013102480112298</v>
      </c>
      <c r="K102" s="537"/>
      <c r="L102" s="537"/>
      <c r="M102" s="28"/>
      <c r="P102" s="30"/>
      <c r="Q102" s="30"/>
      <c r="R102" s="30"/>
      <c r="T102" s="30"/>
      <c r="U102" s="30"/>
      <c r="V102" s="27"/>
      <c r="W102" s="17"/>
      <c r="X102" s="9"/>
      <c r="Y102" s="9"/>
      <c r="Z102" s="9"/>
    </row>
    <row r="103" spans="1:26" customFormat="1" ht="12" customHeight="1" outlineLevel="1" x14ac:dyDescent="0.35">
      <c r="A103" s="7"/>
      <c r="B103" s="8"/>
      <c r="C103" s="18"/>
      <c r="D103" s="18"/>
      <c r="E103" s="18"/>
      <c r="F103" s="24"/>
      <c r="G103" s="533" t="str">
        <f>General!G41</f>
        <v>i</v>
      </c>
      <c r="H103" s="547">
        <v>0.3</v>
      </c>
      <c r="I103" s="543">
        <f t="shared" si="2"/>
        <v>0.3</v>
      </c>
      <c r="J103" s="543">
        <f t="shared" si="1"/>
        <v>0.56013102480112298</v>
      </c>
      <c r="K103" s="537"/>
      <c r="L103" s="537"/>
      <c r="M103" s="28"/>
      <c r="P103" s="30"/>
      <c r="Q103" s="30"/>
      <c r="R103" s="30"/>
      <c r="T103" s="30"/>
      <c r="U103" s="30"/>
      <c r="V103" s="27"/>
      <c r="W103" s="17"/>
      <c r="X103" s="9"/>
      <c r="Y103" s="9"/>
      <c r="Z103" s="9"/>
    </row>
    <row r="104" spans="1:26" customFormat="1" ht="12" customHeight="1" outlineLevel="1" x14ac:dyDescent="0.35">
      <c r="A104" s="7"/>
      <c r="B104" s="8"/>
      <c r="C104" s="18"/>
      <c r="D104" s="18"/>
      <c r="E104" s="18"/>
      <c r="F104" s="24"/>
      <c r="G104" s="533" t="str">
        <f>General!G42</f>
        <v>k</v>
      </c>
      <c r="H104" s="547">
        <v>0.3</v>
      </c>
      <c r="I104" s="543">
        <f t="shared" si="2"/>
        <v>0.3</v>
      </c>
      <c r="J104" s="543">
        <f t="shared" si="1"/>
        <v>0.56013102480112298</v>
      </c>
      <c r="K104" s="537"/>
      <c r="L104" s="537"/>
      <c r="M104" s="28"/>
      <c r="P104" s="30"/>
      <c r="Q104" s="30"/>
      <c r="R104" s="30"/>
      <c r="T104" s="30"/>
      <c r="U104" s="30"/>
      <c r="V104" s="27"/>
      <c r="W104" s="17"/>
      <c r="X104" s="9"/>
      <c r="Y104" s="9"/>
      <c r="Z104" s="9"/>
    </row>
    <row r="105" spans="1:26" customFormat="1" ht="12" customHeight="1" outlineLevel="1" x14ac:dyDescent="0.35">
      <c r="A105" s="7"/>
      <c r="B105" s="8"/>
      <c r="C105" s="18"/>
      <c r="D105" s="18"/>
      <c r="E105" s="18"/>
      <c r="F105" s="24"/>
      <c r="G105" s="533" t="str">
        <f>General!G43</f>
        <v>l</v>
      </c>
      <c r="H105" s="547">
        <v>0.3</v>
      </c>
      <c r="I105" s="543">
        <f t="shared" si="2"/>
        <v>0.3</v>
      </c>
      <c r="J105" s="543">
        <f t="shared" si="1"/>
        <v>0.56013102480112298</v>
      </c>
      <c r="K105" s="537"/>
      <c r="L105" s="537"/>
      <c r="M105" s="28"/>
      <c r="P105" s="30"/>
      <c r="Q105" s="30"/>
      <c r="R105" s="30"/>
      <c r="T105" s="30"/>
      <c r="U105" s="30"/>
      <c r="V105" s="27"/>
      <c r="W105" s="17"/>
      <c r="X105" s="9"/>
      <c r="Y105" s="9"/>
      <c r="Z105" s="9"/>
    </row>
    <row r="106" spans="1:26" customFormat="1" ht="12" customHeight="1" outlineLevel="1" x14ac:dyDescent="0.35">
      <c r="A106" s="7"/>
      <c r="B106" s="8"/>
      <c r="C106" s="18"/>
      <c r="D106" s="18"/>
      <c r="E106" s="18"/>
      <c r="F106" s="24"/>
      <c r="G106" s="533" t="str">
        <f>General!G44</f>
        <v>ms</v>
      </c>
      <c r="H106" s="547">
        <v>0.3</v>
      </c>
      <c r="I106" s="543">
        <f t="shared" ref="I106" si="3">H106</f>
        <v>0.3</v>
      </c>
      <c r="J106" s="543">
        <f t="shared" si="1"/>
        <v>0.56013102480112298</v>
      </c>
      <c r="K106" s="537"/>
      <c r="L106" s="537"/>
      <c r="M106" s="28"/>
      <c r="P106" s="30"/>
      <c r="Q106" s="30"/>
      <c r="R106" s="30"/>
      <c r="T106" s="30"/>
      <c r="U106" s="30"/>
      <c r="V106" s="27"/>
      <c r="W106" s="17"/>
      <c r="X106" s="9"/>
      <c r="Y106" s="9"/>
      <c r="Z106" s="9"/>
    </row>
    <row r="107" spans="1:26" customFormat="1" ht="12" customHeight="1" outlineLevel="1" x14ac:dyDescent="0.35">
      <c r="A107" s="7"/>
      <c r="B107" s="8"/>
      <c r="C107" s="18"/>
      <c r="D107" s="18"/>
      <c r="E107" s="18"/>
      <c r="F107" s="24"/>
      <c r="G107" s="533" t="str">
        <f>General!G45</f>
        <v>o</v>
      </c>
      <c r="H107" s="547">
        <v>0.4</v>
      </c>
      <c r="I107" s="543">
        <f t="shared" si="2"/>
        <v>0.4</v>
      </c>
      <c r="J107" s="543">
        <f t="shared" ref="J107:J116" si="4">$I46*$K46*$L46/J85</f>
        <v>0.56013102480112298</v>
      </c>
      <c r="K107" s="537"/>
      <c r="L107" s="537"/>
      <c r="M107" s="28"/>
      <c r="P107" s="30"/>
      <c r="Q107" s="30"/>
      <c r="R107" s="30"/>
      <c r="T107" s="30"/>
      <c r="U107" s="30"/>
      <c r="V107" s="27"/>
      <c r="W107" s="17"/>
      <c r="X107" s="9"/>
      <c r="Y107" s="9"/>
      <c r="Z107" s="9"/>
    </row>
    <row r="108" spans="1:26" customFormat="1" ht="12" customHeight="1" outlineLevel="1" x14ac:dyDescent="0.35">
      <c r="A108" s="7"/>
      <c r="B108" s="8"/>
      <c r="C108" s="18"/>
      <c r="D108" s="18"/>
      <c r="E108" s="18"/>
      <c r="F108" s="24"/>
      <c r="G108" s="533" t="str">
        <f>General!G46</f>
        <v>od</v>
      </c>
      <c r="H108" s="547">
        <v>0.4</v>
      </c>
      <c r="I108" s="543">
        <f t="shared" si="2"/>
        <v>0.4</v>
      </c>
      <c r="J108" s="543">
        <f t="shared" si="4"/>
        <v>0.56013102480112298</v>
      </c>
      <c r="K108" s="537"/>
      <c r="L108" s="537"/>
      <c r="M108" s="28"/>
      <c r="P108" s="30"/>
      <c r="Q108" s="30"/>
      <c r="R108" s="30"/>
      <c r="T108" s="30"/>
      <c r="U108" s="30"/>
      <c r="V108" s="27"/>
      <c r="W108" s="17"/>
      <c r="X108" s="9"/>
      <c r="Y108" s="9"/>
      <c r="Z108" s="9"/>
    </row>
    <row r="109" spans="1:26" customFormat="1" ht="12" customHeight="1" outlineLevel="1" x14ac:dyDescent="0.35">
      <c r="A109" s="7"/>
      <c r="B109" s="8"/>
      <c r="C109" s="18"/>
      <c r="D109" s="18"/>
      <c r="E109" s="18"/>
      <c r="F109" s="24"/>
      <c r="G109" s="533" t="str">
        <f>General!G47</f>
        <v>of</v>
      </c>
      <c r="H109" s="547">
        <v>0.4</v>
      </c>
      <c r="I109" s="543">
        <f t="shared" si="2"/>
        <v>0.4</v>
      </c>
      <c r="J109" s="543">
        <f t="shared" si="4"/>
        <v>0.56013102480112298</v>
      </c>
      <c r="K109" s="537"/>
      <c r="L109" s="537"/>
      <c r="M109" s="28"/>
      <c r="P109" s="30"/>
      <c r="Q109" s="30"/>
      <c r="R109" s="30"/>
      <c r="T109" s="30"/>
      <c r="U109" s="30"/>
      <c r="V109" s="27"/>
      <c r="W109" s="17"/>
      <c r="X109" s="9"/>
      <c r="Y109" s="9"/>
      <c r="Z109" s="9"/>
    </row>
    <row r="110" spans="1:26" customFormat="1" ht="12" customHeight="1" outlineLevel="1" x14ac:dyDescent="0.35">
      <c r="A110" s="7"/>
      <c r="B110" s="8"/>
      <c r="C110" s="18"/>
      <c r="D110" s="18"/>
      <c r="E110" s="18"/>
      <c r="F110" s="24"/>
      <c r="G110" s="533" t="str">
        <f>General!G48</f>
        <v>r</v>
      </c>
      <c r="H110" s="547">
        <v>0.2</v>
      </c>
      <c r="I110" s="543">
        <f t="shared" si="2"/>
        <v>0.2</v>
      </c>
      <c r="J110" s="543">
        <f t="shared" si="4"/>
        <v>0.56013102480112298</v>
      </c>
      <c r="K110" s="537"/>
      <c r="L110" s="537"/>
      <c r="M110" s="28"/>
      <c r="P110" s="30"/>
      <c r="Q110" s="30"/>
      <c r="R110" s="30"/>
      <c r="T110" s="30"/>
      <c r="U110" s="30"/>
      <c r="V110" s="27"/>
      <c r="W110" s="17"/>
      <c r="X110" s="9"/>
      <c r="Y110" s="9"/>
      <c r="Z110" s="9"/>
    </row>
    <row r="111" spans="1:26" customFormat="1" ht="12" customHeight="1" outlineLevel="1" x14ac:dyDescent="0.35">
      <c r="A111" s="7"/>
      <c r="B111" s="8"/>
      <c r="C111" s="18"/>
      <c r="D111" s="18"/>
      <c r="E111" s="18"/>
      <c r="F111" s="24"/>
      <c r="G111" s="533" t="str">
        <f>General!G49</f>
        <v>rd</v>
      </c>
      <c r="H111" s="547">
        <v>0.2</v>
      </c>
      <c r="I111" s="543">
        <f t="shared" si="2"/>
        <v>0.2</v>
      </c>
      <c r="J111" s="543">
        <f t="shared" si="4"/>
        <v>0.56013102480112298</v>
      </c>
      <c r="K111" s="537"/>
      <c r="L111" s="537"/>
      <c r="M111" s="28"/>
      <c r="P111" s="30"/>
      <c r="Q111" s="30"/>
      <c r="R111" s="30"/>
      <c r="T111" s="30"/>
      <c r="U111" s="30"/>
      <c r="V111" s="27"/>
      <c r="W111" s="17"/>
      <c r="X111" s="9"/>
      <c r="Y111" s="9"/>
      <c r="Z111" s="9"/>
    </row>
    <row r="112" spans="1:26" customFormat="1" ht="12" customHeight="1" outlineLevel="1" x14ac:dyDescent="0.35">
      <c r="A112" s="7"/>
      <c r="B112" s="8"/>
      <c r="C112" s="18"/>
      <c r="D112" s="18"/>
      <c r="E112" s="18"/>
      <c r="F112" s="24"/>
      <c r="G112" s="533" t="str">
        <f>General!G50</f>
        <v>v</v>
      </c>
      <c r="H112" s="547">
        <v>0.3</v>
      </c>
      <c r="I112" s="543">
        <f t="shared" si="2"/>
        <v>0.3</v>
      </c>
      <c r="J112" s="543">
        <f t="shared" si="4"/>
        <v>0.56013102480112298</v>
      </c>
      <c r="K112" s="537"/>
      <c r="L112" s="537"/>
      <c r="M112" s="28"/>
      <c r="P112" s="30"/>
      <c r="Q112" s="30"/>
      <c r="R112" s="30"/>
      <c r="T112" s="30"/>
      <c r="U112" s="30"/>
      <c r="V112" s="27"/>
      <c r="W112" s="17"/>
      <c r="X112" s="9"/>
      <c r="Y112" s="9"/>
      <c r="Z112" s="9"/>
    </row>
    <row r="113" spans="1:26" customFormat="1" ht="12" customHeight="1" outlineLevel="1" x14ac:dyDescent="0.35">
      <c r="A113" s="7"/>
      <c r="B113" s="8"/>
      <c r="C113" s="18"/>
      <c r="D113" s="18"/>
      <c r="E113" s="18"/>
      <c r="F113" s="24"/>
      <c r="G113" s="533" t="str">
        <f>General!G51</f>
        <v>w</v>
      </c>
      <c r="H113" s="547">
        <v>0.42</v>
      </c>
      <c r="I113" s="543">
        <f t="shared" si="2"/>
        <v>0.42</v>
      </c>
      <c r="J113" s="543">
        <f t="shared" si="4"/>
        <v>0.56013102480112298</v>
      </c>
      <c r="K113" s="537"/>
      <c r="L113" s="537"/>
      <c r="M113" s="28"/>
      <c r="P113" s="30"/>
      <c r="Q113" s="30"/>
      <c r="R113" s="30"/>
      <c r="T113" s="30"/>
      <c r="U113" s="30"/>
      <c r="V113" s="27"/>
      <c r="W113" s="17"/>
      <c r="X113" s="9"/>
      <c r="Y113" s="9"/>
      <c r="Z113" s="9"/>
    </row>
    <row r="114" spans="1:26" customFormat="1" ht="12" customHeight="1" outlineLevel="1" x14ac:dyDescent="0.35">
      <c r="A114" s="7"/>
      <c r="B114" s="8"/>
      <c r="C114" s="18"/>
      <c r="D114" s="18"/>
      <c r="E114" s="18"/>
      <c r="F114" s="24"/>
      <c r="G114" s="533" t="str">
        <f>General!G52</f>
        <v>wd</v>
      </c>
      <c r="H114" s="547">
        <v>0.42</v>
      </c>
      <c r="I114" s="543">
        <f t="shared" si="2"/>
        <v>0.42</v>
      </c>
      <c r="J114" s="543">
        <f t="shared" si="4"/>
        <v>0.56013102480112298</v>
      </c>
      <c r="K114" s="537"/>
      <c r="L114" s="537"/>
      <c r="M114" s="28"/>
      <c r="P114" s="30"/>
      <c r="Q114" s="30"/>
      <c r="R114" s="30"/>
      <c r="T114" s="30"/>
      <c r="U114" s="30"/>
      <c r="V114" s="27"/>
      <c r="W114" s="17"/>
      <c r="X114" s="9"/>
      <c r="Y114" s="9"/>
      <c r="Z114" s="9"/>
    </row>
    <row r="115" spans="1:26" customFormat="1" ht="12" customHeight="1" outlineLevel="1" x14ac:dyDescent="0.35">
      <c r="A115" s="7"/>
      <c r="B115" s="8"/>
      <c r="C115" s="18"/>
      <c r="D115" s="18"/>
      <c r="E115" s="18"/>
      <c r="F115" s="24"/>
      <c r="G115" s="533" t="str">
        <f>General!G53</f>
        <v>z</v>
      </c>
      <c r="H115" s="547">
        <v>0.2</v>
      </c>
      <c r="I115" s="543">
        <f t="shared" si="2"/>
        <v>0.2</v>
      </c>
      <c r="J115" s="543">
        <f t="shared" si="4"/>
        <v>0.56013102480112298</v>
      </c>
      <c r="K115" s="537"/>
      <c r="L115" s="537"/>
      <c r="M115" s="514"/>
      <c r="P115" s="30"/>
      <c r="Q115" s="30"/>
      <c r="R115" s="30"/>
      <c r="T115" s="30"/>
      <c r="U115" s="30"/>
      <c r="V115" s="27"/>
      <c r="W115" s="17"/>
      <c r="X115" s="9"/>
      <c r="Y115" s="9"/>
      <c r="Z115" s="9"/>
    </row>
    <row r="116" spans="1:26" customFormat="1" ht="12" customHeight="1" outlineLevel="1" x14ac:dyDescent="0.35">
      <c r="A116" s="7"/>
      <c r="B116" s="8"/>
      <c r="C116" s="18"/>
      <c r="D116" s="18"/>
      <c r="E116" s="18"/>
      <c r="F116" s="24"/>
      <c r="G116" s="533" t="str">
        <f>General!G54</f>
        <v>zd</v>
      </c>
      <c r="H116" s="547">
        <v>0.2</v>
      </c>
      <c r="I116" s="543">
        <f t="shared" si="2"/>
        <v>0.2</v>
      </c>
      <c r="J116" s="543">
        <f t="shared" si="4"/>
        <v>0.56013102480112298</v>
      </c>
      <c r="K116" s="537"/>
      <c r="L116" s="537"/>
      <c r="M116" s="30"/>
      <c r="P116" s="30"/>
      <c r="Q116" s="30"/>
      <c r="R116" s="30"/>
      <c r="S116" s="544"/>
      <c r="T116" s="30"/>
      <c r="U116" s="30"/>
      <c r="V116" s="27"/>
      <c r="W116" s="17"/>
      <c r="X116" s="9"/>
      <c r="Y116" s="9"/>
      <c r="Z116" s="9"/>
    </row>
    <row r="117" spans="1:26" customFormat="1" ht="12" customHeight="1" outlineLevel="1" x14ac:dyDescent="0.35">
      <c r="A117" s="7"/>
      <c r="B117" s="8"/>
      <c r="C117" s="18"/>
      <c r="D117" s="18"/>
      <c r="E117" s="18"/>
      <c r="F117" s="27"/>
      <c r="G117" s="27"/>
      <c r="H117" s="27"/>
      <c r="I117" s="27"/>
      <c r="J117" s="27"/>
      <c r="K117" s="27"/>
      <c r="L117" s="27"/>
      <c r="M117" s="27"/>
      <c r="P117" s="30"/>
      <c r="Q117" s="30"/>
      <c r="R117" s="30"/>
      <c r="S117" s="531"/>
      <c r="T117" s="30"/>
      <c r="U117" s="30"/>
      <c r="V117" s="27"/>
      <c r="W117" s="17"/>
      <c r="X117" s="9"/>
      <c r="Y117" s="9"/>
      <c r="Z117" s="9"/>
    </row>
    <row r="118" spans="1:26" customFormat="1" x14ac:dyDescent="0.35">
      <c r="A118" s="7"/>
      <c r="B118" s="8"/>
      <c r="C118" s="18"/>
      <c r="D118" s="18"/>
      <c r="E118" s="18"/>
      <c r="F118" s="24"/>
      <c r="G118" s="545" t="s">
        <v>3090</v>
      </c>
      <c r="I118" s="546"/>
      <c r="K118" s="537"/>
      <c r="L118" s="537"/>
      <c r="M118" s="26"/>
      <c r="O118" s="513"/>
      <c r="P118" s="26"/>
      <c r="Q118" s="26"/>
      <c r="R118" s="26"/>
      <c r="S118" s="26"/>
      <c r="T118" s="26"/>
      <c r="U118" s="26"/>
      <c r="V118" s="27"/>
      <c r="W118" s="17"/>
      <c r="X118" s="9"/>
      <c r="Y118" s="9"/>
      <c r="Z118" s="9"/>
    </row>
    <row r="119" spans="1:26" customFormat="1" outlineLevel="1" x14ac:dyDescent="0.35">
      <c r="A119" s="7"/>
      <c r="B119" s="8"/>
      <c r="C119" s="18"/>
      <c r="D119" s="18"/>
      <c r="E119" s="18"/>
      <c r="F119" s="24"/>
      <c r="H119" s="542" t="s">
        <v>2342</v>
      </c>
      <c r="I119" t="s">
        <v>2346</v>
      </c>
      <c r="J119" t="s">
        <v>2347</v>
      </c>
      <c r="K119" s="537"/>
      <c r="L119" s="537"/>
      <c r="O119" s="526"/>
      <c r="P119" s="30"/>
      <c r="Q119" s="30"/>
      <c r="R119" s="30"/>
      <c r="T119" s="30"/>
      <c r="U119" s="30"/>
      <c r="V119" s="27"/>
      <c r="W119" s="17"/>
      <c r="X119" s="9"/>
      <c r="Y119" s="9"/>
      <c r="Z119" s="9"/>
    </row>
    <row r="120" spans="1:26" customFormat="1" ht="12" customHeight="1" outlineLevel="1" x14ac:dyDescent="0.35">
      <c r="A120" s="7"/>
      <c r="B120" s="8"/>
      <c r="C120" s="18"/>
      <c r="D120" s="18"/>
      <c r="E120" s="18"/>
      <c r="F120" s="24"/>
      <c r="G120" s="359" t="str">
        <f>General!G37</f>
        <v>b</v>
      </c>
      <c r="H120" s="548">
        <v>0.94</v>
      </c>
      <c r="I120" s="534">
        <v>0</v>
      </c>
      <c r="J120" s="549">
        <v>1</v>
      </c>
      <c r="K120" s="541"/>
      <c r="L120" s="537"/>
      <c r="M120" s="28"/>
      <c r="O120" s="526"/>
      <c r="P120" s="30"/>
      <c r="Q120" s="30"/>
      <c r="R120" s="30"/>
      <c r="T120" s="30"/>
      <c r="U120" s="30"/>
      <c r="V120" s="27"/>
      <c r="W120" s="17"/>
      <c r="X120" s="9"/>
      <c r="Y120" s="9"/>
      <c r="Z120" s="9"/>
    </row>
    <row r="121" spans="1:26" customFormat="1" ht="12" customHeight="1" outlineLevel="1" x14ac:dyDescent="0.35">
      <c r="A121" s="7"/>
      <c r="B121" s="8"/>
      <c r="C121" s="18"/>
      <c r="D121" s="18"/>
      <c r="E121" s="18"/>
      <c r="F121" s="24"/>
      <c r="G121" s="359" t="str">
        <f>General!G38</f>
        <v>bd</v>
      </c>
      <c r="H121" s="548">
        <v>0.94</v>
      </c>
      <c r="I121" s="534">
        <v>0</v>
      </c>
      <c r="J121" s="549">
        <v>1</v>
      </c>
      <c r="K121" s="541"/>
      <c r="L121" s="537"/>
      <c r="M121" s="28"/>
      <c r="O121" s="526"/>
      <c r="P121" s="30"/>
      <c r="Q121" s="30"/>
      <c r="R121" s="30"/>
      <c r="T121" s="30"/>
      <c r="U121" s="30"/>
      <c r="V121" s="27"/>
      <c r="W121" s="17"/>
      <c r="X121" s="9"/>
      <c r="Y121" s="9"/>
      <c r="Z121" s="9"/>
    </row>
    <row r="122" spans="1:26" customFormat="1" ht="12" customHeight="1" outlineLevel="1" x14ac:dyDescent="0.35">
      <c r="A122" s="7"/>
      <c r="B122" s="8"/>
      <c r="C122" s="18"/>
      <c r="D122" s="18"/>
      <c r="E122" s="18"/>
      <c r="F122" s="24"/>
      <c r="G122" s="359" t="str">
        <f>General!G39</f>
        <v>f</v>
      </c>
      <c r="H122" s="548">
        <v>0.9</v>
      </c>
      <c r="I122" s="534">
        <v>0</v>
      </c>
      <c r="J122" s="549">
        <v>1</v>
      </c>
      <c r="K122" s="541"/>
      <c r="L122" s="537"/>
      <c r="M122" s="28"/>
      <c r="P122" s="30"/>
      <c r="Q122" s="30"/>
      <c r="R122" s="30"/>
      <c r="T122" s="30"/>
      <c r="U122" s="30"/>
      <c r="V122" s="27"/>
      <c r="W122" s="17"/>
      <c r="X122" s="9"/>
      <c r="Y122" s="9"/>
      <c r="Z122" s="9"/>
    </row>
    <row r="123" spans="1:26" customFormat="1" ht="12" customHeight="1" outlineLevel="1" x14ac:dyDescent="0.35">
      <c r="A123" s="7"/>
      <c r="B123" s="8"/>
      <c r="C123" s="18"/>
      <c r="D123" s="18"/>
      <c r="E123" s="18"/>
      <c r="F123" s="24"/>
      <c r="G123" s="359" t="str">
        <f>General!G40</f>
        <v>h</v>
      </c>
      <c r="H123" s="548">
        <v>0.94</v>
      </c>
      <c r="I123" s="534">
        <v>0</v>
      </c>
      <c r="J123" s="549">
        <v>1</v>
      </c>
      <c r="K123" s="541"/>
      <c r="L123" s="537"/>
      <c r="M123" s="28"/>
      <c r="P123" s="30"/>
      <c r="Q123" s="30"/>
      <c r="R123" s="30"/>
      <c r="T123" s="30"/>
      <c r="U123" s="30"/>
      <c r="V123" s="27"/>
      <c r="W123" s="17"/>
      <c r="X123" s="9"/>
      <c r="Y123" s="9"/>
      <c r="Z123" s="9"/>
    </row>
    <row r="124" spans="1:26" customFormat="1" ht="12" customHeight="1" outlineLevel="1" x14ac:dyDescent="0.35">
      <c r="A124" s="7"/>
      <c r="B124" s="8"/>
      <c r="C124" s="18"/>
      <c r="D124" s="18"/>
      <c r="E124" s="18"/>
      <c r="F124" s="24"/>
      <c r="G124" s="359" t="str">
        <f>General!G41</f>
        <v>i</v>
      </c>
      <c r="H124" s="548">
        <v>0.9</v>
      </c>
      <c r="I124" s="534">
        <v>0</v>
      </c>
      <c r="J124" s="549">
        <v>1</v>
      </c>
      <c r="K124" s="541"/>
      <c r="L124" s="537"/>
      <c r="M124" s="28"/>
      <c r="P124" s="30"/>
      <c r="Q124" s="30"/>
      <c r="R124" s="30"/>
      <c r="T124" s="30"/>
      <c r="U124" s="30"/>
      <c r="V124" s="27"/>
      <c r="W124" s="17"/>
      <c r="X124" s="9"/>
      <c r="Y124" s="9"/>
      <c r="Z124" s="9"/>
    </row>
    <row r="125" spans="1:26" customFormat="1" ht="12" customHeight="1" outlineLevel="1" x14ac:dyDescent="0.35">
      <c r="A125" s="7"/>
      <c r="B125" s="8"/>
      <c r="C125" s="18"/>
      <c r="D125" s="18"/>
      <c r="E125" s="18"/>
      <c r="F125" s="24"/>
      <c r="G125" s="359" t="str">
        <f>General!G42</f>
        <v>k</v>
      </c>
      <c r="H125" s="548">
        <v>0.9</v>
      </c>
      <c r="I125" s="534">
        <v>0</v>
      </c>
      <c r="J125" s="549">
        <v>1</v>
      </c>
      <c r="K125" s="541"/>
      <c r="L125" s="537"/>
      <c r="M125" s="28"/>
      <c r="P125" s="30"/>
      <c r="Q125" s="30"/>
      <c r="R125" s="30"/>
      <c r="T125" s="30"/>
      <c r="U125" s="30"/>
      <c r="V125" s="27"/>
      <c r="W125" s="17"/>
      <c r="X125" s="9"/>
      <c r="Y125" s="9"/>
      <c r="Z125" s="9"/>
    </row>
    <row r="126" spans="1:26" customFormat="1" ht="12" customHeight="1" outlineLevel="1" x14ac:dyDescent="0.35">
      <c r="A126" s="7"/>
      <c r="B126" s="8"/>
      <c r="C126" s="18"/>
      <c r="D126" s="18"/>
      <c r="E126" s="18"/>
      <c r="F126" s="24"/>
      <c r="G126" s="359" t="str">
        <f>General!G43</f>
        <v>l</v>
      </c>
      <c r="H126" s="548">
        <v>0.9</v>
      </c>
      <c r="I126" s="534">
        <v>0</v>
      </c>
      <c r="J126" s="549">
        <v>1</v>
      </c>
      <c r="K126" s="541"/>
      <c r="L126" s="537"/>
      <c r="M126" s="28"/>
      <c r="P126" s="30"/>
      <c r="Q126" s="30"/>
      <c r="R126" s="30"/>
      <c r="T126" s="30"/>
      <c r="U126" s="30"/>
      <c r="V126" s="27"/>
      <c r="W126" s="17"/>
      <c r="X126" s="9"/>
      <c r="Y126" s="9"/>
      <c r="Z126" s="9"/>
    </row>
    <row r="127" spans="1:26" customFormat="1" ht="12" customHeight="1" outlineLevel="1" x14ac:dyDescent="0.35">
      <c r="A127" s="7"/>
      <c r="B127" s="8"/>
      <c r="C127" s="18"/>
      <c r="D127" s="18"/>
      <c r="E127" s="18"/>
      <c r="F127" s="24"/>
      <c r="G127" s="359" t="str">
        <f>General!G44</f>
        <v>ms</v>
      </c>
      <c r="H127" s="548">
        <v>0.9</v>
      </c>
      <c r="I127" s="534">
        <v>0</v>
      </c>
      <c r="J127" s="549">
        <v>1</v>
      </c>
      <c r="K127" s="541"/>
      <c r="L127" s="537"/>
      <c r="M127" s="28"/>
      <c r="P127" s="30"/>
      <c r="Q127" s="30"/>
      <c r="R127" s="30"/>
      <c r="T127" s="30"/>
      <c r="U127" s="30"/>
      <c r="V127" s="27"/>
      <c r="W127" s="17"/>
      <c r="X127" s="9"/>
      <c r="Y127" s="9"/>
      <c r="Z127" s="9"/>
    </row>
    <row r="128" spans="1:26" customFormat="1" ht="12" customHeight="1" outlineLevel="1" x14ac:dyDescent="0.35">
      <c r="A128" s="7"/>
      <c r="B128" s="8"/>
      <c r="C128" s="18"/>
      <c r="D128" s="18"/>
      <c r="E128" s="18"/>
      <c r="F128" s="24"/>
      <c r="G128" s="359" t="str">
        <f>General!G45</f>
        <v>o</v>
      </c>
      <c r="H128" s="548">
        <v>0.94</v>
      </c>
      <c r="I128" s="534">
        <v>0</v>
      </c>
      <c r="J128" s="549">
        <v>1</v>
      </c>
      <c r="K128" s="541"/>
      <c r="L128" s="537"/>
      <c r="M128" s="28"/>
      <c r="P128" s="30"/>
      <c r="Q128" s="30"/>
      <c r="R128" s="30"/>
      <c r="T128" s="30"/>
      <c r="U128" s="30"/>
      <c r="V128" s="27"/>
      <c r="W128" s="17"/>
      <c r="X128" s="9"/>
      <c r="Y128" s="9"/>
      <c r="Z128" s="9"/>
    </row>
    <row r="129" spans="1:26" customFormat="1" ht="12" customHeight="1" outlineLevel="1" x14ac:dyDescent="0.35">
      <c r="A129" s="7"/>
      <c r="B129" s="8"/>
      <c r="C129" s="18"/>
      <c r="D129" s="18"/>
      <c r="E129" s="18"/>
      <c r="F129" s="24"/>
      <c r="G129" s="359" t="str">
        <f>General!G46</f>
        <v>od</v>
      </c>
      <c r="H129" s="548">
        <v>0.94</v>
      </c>
      <c r="I129" s="534">
        <v>0</v>
      </c>
      <c r="J129" s="549">
        <v>1</v>
      </c>
      <c r="K129" s="541"/>
      <c r="L129" s="537"/>
      <c r="M129" s="28"/>
      <c r="P129" s="30"/>
      <c r="Q129" s="30"/>
      <c r="R129" s="30"/>
      <c r="T129" s="30"/>
      <c r="U129" s="30"/>
      <c r="V129" s="27"/>
      <c r="W129" s="17"/>
      <c r="X129" s="9"/>
      <c r="Y129" s="9"/>
      <c r="Z129" s="9"/>
    </row>
    <row r="130" spans="1:26" customFormat="1" ht="12" customHeight="1" outlineLevel="1" x14ac:dyDescent="0.35">
      <c r="A130" s="7"/>
      <c r="B130" s="8"/>
      <c r="C130" s="18"/>
      <c r="D130" s="18"/>
      <c r="E130" s="18"/>
      <c r="F130" s="24"/>
      <c r="G130" s="359" t="str">
        <f>General!G47</f>
        <v>of</v>
      </c>
      <c r="H130" s="548">
        <v>0.94</v>
      </c>
      <c r="I130" s="534">
        <v>0</v>
      </c>
      <c r="J130" s="549">
        <v>1</v>
      </c>
      <c r="K130" s="541"/>
      <c r="L130" s="537"/>
      <c r="M130" s="28"/>
      <c r="P130" s="30"/>
      <c r="Q130" s="30"/>
      <c r="R130" s="30"/>
      <c r="T130" s="30"/>
      <c r="U130" s="30"/>
      <c r="V130" s="27"/>
      <c r="W130" s="17"/>
      <c r="X130" s="9"/>
      <c r="Y130" s="9"/>
      <c r="Z130" s="9"/>
    </row>
    <row r="131" spans="1:26" customFormat="1" ht="12" customHeight="1" outlineLevel="1" x14ac:dyDescent="0.35">
      <c r="A131" s="7"/>
      <c r="B131" s="8"/>
      <c r="C131" s="18"/>
      <c r="D131" s="18"/>
      <c r="E131" s="18"/>
      <c r="F131" s="24"/>
      <c r="G131" s="359" t="str">
        <f>General!G48</f>
        <v>r</v>
      </c>
      <c r="H131" s="548">
        <v>0.97</v>
      </c>
      <c r="I131" s="534">
        <v>0</v>
      </c>
      <c r="J131" s="549">
        <v>1</v>
      </c>
      <c r="K131" s="541"/>
      <c r="L131" s="537"/>
      <c r="M131" s="28"/>
      <c r="P131" s="30"/>
      <c r="Q131" s="30"/>
      <c r="R131" s="30"/>
      <c r="T131" s="30"/>
      <c r="U131" s="30"/>
      <c r="V131" s="27"/>
      <c r="W131" s="17"/>
      <c r="X131" s="9"/>
      <c r="Y131" s="9"/>
      <c r="Z131" s="9"/>
    </row>
    <row r="132" spans="1:26" customFormat="1" ht="12" customHeight="1" outlineLevel="1" x14ac:dyDescent="0.35">
      <c r="A132" s="7"/>
      <c r="B132" s="8"/>
      <c r="C132" s="18"/>
      <c r="D132" s="18"/>
      <c r="E132" s="18"/>
      <c r="F132" s="24"/>
      <c r="G132" s="359" t="str">
        <f>General!G49</f>
        <v>rd</v>
      </c>
      <c r="H132" s="548">
        <v>0.97</v>
      </c>
      <c r="I132" s="534">
        <v>0</v>
      </c>
      <c r="J132" s="549">
        <v>1</v>
      </c>
      <c r="K132" s="541"/>
      <c r="L132" s="537"/>
      <c r="M132" s="28"/>
      <c r="P132" s="30"/>
      <c r="Q132" s="30"/>
      <c r="R132" s="30"/>
      <c r="T132" s="30"/>
      <c r="U132" s="30"/>
      <c r="V132" s="27"/>
      <c r="W132" s="17"/>
      <c r="X132" s="9"/>
      <c r="Y132" s="9"/>
      <c r="Z132" s="9"/>
    </row>
    <row r="133" spans="1:26" customFormat="1" ht="12" customHeight="1" outlineLevel="1" x14ac:dyDescent="0.35">
      <c r="A133" s="7"/>
      <c r="B133" s="8"/>
      <c r="C133" s="18"/>
      <c r="D133" s="18"/>
      <c r="E133" s="18"/>
      <c r="F133" s="24"/>
      <c r="G133" s="359" t="str">
        <f>General!G50</f>
        <v>v</v>
      </c>
      <c r="H133" s="548">
        <v>0.9</v>
      </c>
      <c r="I133" s="534">
        <v>0</v>
      </c>
      <c r="J133" s="549">
        <v>1</v>
      </c>
      <c r="K133" s="541"/>
      <c r="L133" s="537"/>
      <c r="M133" s="28"/>
      <c r="P133" s="30"/>
      <c r="Q133" s="30"/>
      <c r="R133" s="30"/>
      <c r="T133" s="30"/>
      <c r="U133" s="30"/>
      <c r="V133" s="27"/>
      <c r="W133" s="17"/>
      <c r="X133" s="9"/>
      <c r="Y133" s="9"/>
      <c r="Z133" s="9"/>
    </row>
    <row r="134" spans="1:26" customFormat="1" ht="12" customHeight="1" outlineLevel="1" x14ac:dyDescent="0.35">
      <c r="A134" s="7"/>
      <c r="B134" s="8"/>
      <c r="C134" s="18"/>
      <c r="D134" s="18"/>
      <c r="E134" s="18"/>
      <c r="F134" s="24"/>
      <c r="G134" s="359" t="str">
        <f>General!G51</f>
        <v>w</v>
      </c>
      <c r="H134" s="548">
        <v>0.94</v>
      </c>
      <c r="I134" s="534">
        <v>0</v>
      </c>
      <c r="J134" s="549">
        <v>1</v>
      </c>
      <c r="K134" s="541"/>
      <c r="L134" s="537"/>
      <c r="M134" s="28"/>
      <c r="P134" s="30"/>
      <c r="Q134" s="30"/>
      <c r="R134" s="30"/>
      <c r="T134" s="30"/>
      <c r="U134" s="30"/>
      <c r="V134" s="27"/>
      <c r="W134" s="17"/>
      <c r="X134" s="9"/>
      <c r="Y134" s="9"/>
      <c r="Z134" s="9"/>
    </row>
    <row r="135" spans="1:26" customFormat="1" ht="12" customHeight="1" outlineLevel="1" x14ac:dyDescent="0.35">
      <c r="A135" s="7"/>
      <c r="B135" s="8"/>
      <c r="C135" s="18"/>
      <c r="D135" s="18"/>
      <c r="E135" s="18"/>
      <c r="F135" s="24"/>
      <c r="G135" s="359" t="str">
        <f>General!G52</f>
        <v>wd</v>
      </c>
      <c r="H135" s="548">
        <v>0.94</v>
      </c>
      <c r="I135" s="534">
        <v>0</v>
      </c>
      <c r="J135" s="549">
        <v>1</v>
      </c>
      <c r="K135" s="541"/>
      <c r="L135" s="537"/>
      <c r="M135" s="28"/>
      <c r="P135" s="30"/>
      <c r="Q135" s="30"/>
      <c r="R135" s="30"/>
      <c r="T135" s="30"/>
      <c r="U135" s="30"/>
      <c r="V135" s="27"/>
      <c r="W135" s="17"/>
      <c r="X135" s="9"/>
      <c r="Y135" s="9"/>
      <c r="Z135" s="9"/>
    </row>
    <row r="136" spans="1:26" customFormat="1" ht="12" customHeight="1" outlineLevel="1" x14ac:dyDescent="0.35">
      <c r="A136" s="7"/>
      <c r="B136" s="8"/>
      <c r="C136" s="18"/>
      <c r="D136" s="18"/>
      <c r="E136" s="18"/>
      <c r="F136" s="24"/>
      <c r="G136" s="359" t="str">
        <f>General!G53</f>
        <v>z</v>
      </c>
      <c r="H136" s="548">
        <v>0.97</v>
      </c>
      <c r="I136" s="534">
        <v>0</v>
      </c>
      <c r="J136" s="549">
        <v>1</v>
      </c>
      <c r="K136" s="541"/>
      <c r="L136" s="537"/>
      <c r="M136" s="514"/>
      <c r="P136" s="30"/>
      <c r="Q136" s="30"/>
      <c r="R136" s="30"/>
      <c r="T136" s="30"/>
      <c r="U136" s="30"/>
      <c r="V136" s="27"/>
      <c r="W136" s="17"/>
      <c r="X136" s="9"/>
      <c r="Y136" s="9"/>
      <c r="Z136" s="9"/>
    </row>
    <row r="137" spans="1:26" customFormat="1" ht="12" customHeight="1" outlineLevel="1" x14ac:dyDescent="0.35">
      <c r="A137" s="7"/>
      <c r="B137" s="8"/>
      <c r="C137" s="18"/>
      <c r="D137" s="18"/>
      <c r="E137" s="18"/>
      <c r="F137" s="24"/>
      <c r="G137" s="359" t="str">
        <f>General!G54</f>
        <v>zd</v>
      </c>
      <c r="H137" s="548">
        <v>0.97</v>
      </c>
      <c r="I137" s="534">
        <v>0</v>
      </c>
      <c r="J137" s="549">
        <v>1</v>
      </c>
      <c r="K137" s="541"/>
      <c r="L137" s="537"/>
      <c r="M137" s="30"/>
      <c r="P137" s="30"/>
      <c r="Q137" s="30"/>
      <c r="R137" s="30"/>
      <c r="S137" s="544"/>
      <c r="T137" s="30"/>
      <c r="U137" s="30"/>
      <c r="V137" s="27"/>
      <c r="W137" s="17"/>
      <c r="X137" s="9"/>
      <c r="Y137" s="9"/>
      <c r="Z137" s="9"/>
    </row>
    <row r="138" spans="1:26" customFormat="1" ht="12" customHeight="1" outlineLevel="1" x14ac:dyDescent="0.35">
      <c r="A138" s="7"/>
      <c r="B138" s="8"/>
      <c r="C138" s="18"/>
      <c r="D138" s="18"/>
      <c r="E138" s="18"/>
      <c r="F138" s="27"/>
      <c r="G138" s="27"/>
      <c r="H138" s="27"/>
      <c r="I138" s="27"/>
      <c r="J138" s="27"/>
      <c r="K138" s="27"/>
      <c r="L138" s="537"/>
      <c r="M138" s="27"/>
      <c r="P138" s="30"/>
      <c r="Q138" s="30"/>
      <c r="R138" s="30"/>
      <c r="S138" s="531"/>
      <c r="T138" s="30"/>
      <c r="U138" s="30"/>
      <c r="V138" s="27"/>
      <c r="W138" s="17"/>
      <c r="X138" s="9"/>
      <c r="Y138" s="9"/>
      <c r="Z138" s="9"/>
    </row>
    <row r="139" spans="1:26" customFormat="1" ht="12" customHeight="1" x14ac:dyDescent="0.35">
      <c r="A139" s="7"/>
      <c r="B139" s="8"/>
      <c r="C139" s="18"/>
      <c r="D139" s="18"/>
      <c r="E139" s="18"/>
      <c r="F139" s="27"/>
      <c r="G139" s="502" t="s">
        <v>3091</v>
      </c>
      <c r="H139" s="27"/>
      <c r="I139" s="27"/>
      <c r="J139" s="27"/>
      <c r="K139" s="27"/>
      <c r="L139" s="537"/>
      <c r="M139" s="27"/>
      <c r="P139" s="30"/>
      <c r="Q139" s="30"/>
      <c r="R139" s="30"/>
      <c r="S139" s="531"/>
      <c r="T139" s="30"/>
      <c r="U139" s="30"/>
      <c r="V139" s="27"/>
      <c r="W139" s="17"/>
      <c r="X139" s="9"/>
      <c r="Y139" s="9"/>
      <c r="Z139" s="9"/>
    </row>
    <row r="140" spans="1:26" customFormat="1" ht="12" customHeight="1" outlineLevel="1" x14ac:dyDescent="0.35">
      <c r="A140" s="7"/>
      <c r="B140" s="8"/>
      <c r="C140" s="18"/>
      <c r="D140" s="18"/>
      <c r="E140" s="18"/>
      <c r="F140" s="24"/>
      <c r="H140" s="28" t="s">
        <v>3092</v>
      </c>
      <c r="I140" s="28" t="s">
        <v>3093</v>
      </c>
      <c r="J140" s="28" t="s">
        <v>3094</v>
      </c>
      <c r="L140" s="537"/>
      <c r="O140" s="526"/>
      <c r="P140" s="30"/>
      <c r="Q140" s="30"/>
      <c r="R140" s="30"/>
      <c r="T140" s="30"/>
      <c r="U140" s="30"/>
      <c r="V140" s="27"/>
      <c r="W140" s="17"/>
      <c r="X140" s="9"/>
      <c r="Y140" s="9"/>
      <c r="Z140" s="9"/>
    </row>
    <row r="141" spans="1:26" customFormat="1" ht="12" customHeight="1" outlineLevel="1" x14ac:dyDescent="0.35">
      <c r="A141" s="7"/>
      <c r="B141" s="8"/>
      <c r="C141" s="18"/>
      <c r="D141" s="18"/>
      <c r="E141" s="18"/>
      <c r="F141" s="24"/>
      <c r="G141" s="533" t="str">
        <f>General!G37</f>
        <v>b</v>
      </c>
      <c r="H141" s="550">
        <v>2E-3</v>
      </c>
      <c r="I141" s="551">
        <v>1E-3</v>
      </c>
      <c r="J141" s="552">
        <v>0.1</v>
      </c>
      <c r="L141" s="537"/>
      <c r="M141" s="28"/>
      <c r="O141" s="526"/>
      <c r="P141" s="30"/>
      <c r="Q141" s="30"/>
      <c r="R141" s="30"/>
      <c r="T141" s="30"/>
      <c r="U141" s="30"/>
      <c r="V141" s="27"/>
      <c r="W141" s="17"/>
      <c r="X141" s="9"/>
      <c r="Y141" s="9"/>
      <c r="Z141" s="9"/>
    </row>
    <row r="142" spans="1:26" customFormat="1" ht="12" customHeight="1" outlineLevel="1" x14ac:dyDescent="0.35">
      <c r="A142" s="7"/>
      <c r="B142" s="8"/>
      <c r="C142" s="18"/>
      <c r="D142" s="18"/>
      <c r="E142" s="18"/>
      <c r="F142" s="24"/>
      <c r="G142" s="533" t="str">
        <f>General!G38</f>
        <v>bd</v>
      </c>
      <c r="H142" s="550">
        <v>2E-3</v>
      </c>
      <c r="I142" s="551">
        <v>1E-3</v>
      </c>
      <c r="J142" s="552">
        <v>0.1</v>
      </c>
      <c r="L142" s="537"/>
      <c r="M142" s="28"/>
      <c r="O142" s="526"/>
      <c r="P142" s="30"/>
      <c r="Q142" s="30"/>
      <c r="R142" s="30"/>
      <c r="T142" s="30"/>
      <c r="U142" s="30"/>
      <c r="V142" s="27"/>
      <c r="W142" s="17"/>
      <c r="X142" s="9"/>
      <c r="Y142" s="9"/>
      <c r="Z142" s="9"/>
    </row>
    <row r="143" spans="1:26" customFormat="1" ht="12" customHeight="1" outlineLevel="1" x14ac:dyDescent="0.35">
      <c r="A143" s="7"/>
      <c r="B143" s="8"/>
      <c r="C143" s="18"/>
      <c r="D143" s="18"/>
      <c r="E143" s="18"/>
      <c r="F143" s="24"/>
      <c r="G143" s="533" t="str">
        <f>General!G39</f>
        <v>f</v>
      </c>
      <c r="H143" s="550">
        <v>2E-3</v>
      </c>
      <c r="I143" s="551">
        <v>1E-3</v>
      </c>
      <c r="J143" s="552">
        <v>0.1</v>
      </c>
      <c r="L143" s="537"/>
      <c r="M143" s="28"/>
      <c r="P143" s="30"/>
      <c r="Q143" s="30"/>
      <c r="R143" s="30"/>
      <c r="T143" s="30"/>
      <c r="U143" s="30"/>
      <c r="V143" s="27"/>
      <c r="W143" s="17"/>
      <c r="X143" s="9"/>
      <c r="Y143" s="9"/>
      <c r="Z143" s="9"/>
    </row>
    <row r="144" spans="1:26" customFormat="1" ht="12" customHeight="1" outlineLevel="1" x14ac:dyDescent="0.35">
      <c r="A144" s="7"/>
      <c r="B144" s="8"/>
      <c r="C144" s="18"/>
      <c r="D144" s="18"/>
      <c r="E144" s="18"/>
      <c r="F144" s="24"/>
      <c r="G144" s="533" t="str">
        <f>General!G40</f>
        <v>h</v>
      </c>
      <c r="H144" s="550">
        <v>2E-3</v>
      </c>
      <c r="I144" s="551">
        <v>1E-3</v>
      </c>
      <c r="J144" s="552">
        <v>0.1</v>
      </c>
      <c r="L144" s="537"/>
      <c r="M144" s="28"/>
      <c r="P144" s="30"/>
      <c r="Q144" s="30"/>
      <c r="R144" s="30"/>
      <c r="T144" s="30"/>
      <c r="U144" s="30"/>
      <c r="V144" s="27"/>
      <c r="W144" s="17"/>
      <c r="X144" s="9"/>
      <c r="Y144" s="9"/>
      <c r="Z144" s="9"/>
    </row>
    <row r="145" spans="1:26" customFormat="1" ht="12" customHeight="1" outlineLevel="1" x14ac:dyDescent="0.35">
      <c r="A145" s="7"/>
      <c r="B145" s="8"/>
      <c r="C145" s="18"/>
      <c r="D145" s="18"/>
      <c r="E145" s="18"/>
      <c r="F145" s="24"/>
      <c r="G145" s="533" t="str">
        <f>General!G41</f>
        <v>i</v>
      </c>
      <c r="H145" s="550">
        <v>2E-3</v>
      </c>
      <c r="I145" s="551">
        <v>1E-3</v>
      </c>
      <c r="J145" s="552">
        <v>0.1</v>
      </c>
      <c r="L145" s="537"/>
      <c r="M145" s="28"/>
      <c r="P145" s="30"/>
      <c r="Q145" s="30"/>
      <c r="R145" s="30"/>
      <c r="T145" s="30"/>
      <c r="U145" s="30"/>
      <c r="V145" s="27"/>
      <c r="W145" s="17"/>
      <c r="X145" s="9"/>
      <c r="Y145" s="9"/>
      <c r="Z145" s="9"/>
    </row>
    <row r="146" spans="1:26" customFormat="1" ht="12" customHeight="1" outlineLevel="1" x14ac:dyDescent="0.35">
      <c r="A146" s="7"/>
      <c r="B146" s="8"/>
      <c r="C146" s="18"/>
      <c r="D146" s="18"/>
      <c r="E146" s="18"/>
      <c r="F146" s="24"/>
      <c r="G146" s="533" t="str">
        <f>General!G42</f>
        <v>k</v>
      </c>
      <c r="H146" s="550">
        <v>2E-3</v>
      </c>
      <c r="I146" s="551">
        <v>1E-3</v>
      </c>
      <c r="J146" s="552">
        <v>0.1</v>
      </c>
      <c r="L146" s="537"/>
      <c r="M146" s="28"/>
      <c r="P146" s="30"/>
      <c r="Q146" s="30"/>
      <c r="R146" s="30"/>
      <c r="T146" s="30"/>
      <c r="U146" s="30"/>
      <c r="V146" s="27"/>
      <c r="W146" s="17"/>
      <c r="X146" s="9"/>
      <c r="Y146" s="9"/>
      <c r="Z146" s="9"/>
    </row>
    <row r="147" spans="1:26" customFormat="1" ht="12" customHeight="1" outlineLevel="1" x14ac:dyDescent="0.35">
      <c r="A147" s="7"/>
      <c r="B147" s="8"/>
      <c r="C147" s="18"/>
      <c r="D147" s="18"/>
      <c r="E147" s="18"/>
      <c r="F147" s="24"/>
      <c r="G147" s="533" t="str">
        <f>General!G43</f>
        <v>l</v>
      </c>
      <c r="H147" s="550">
        <v>2E-3</v>
      </c>
      <c r="I147" s="551">
        <v>1E-3</v>
      </c>
      <c r="J147" s="552">
        <v>0.1</v>
      </c>
      <c r="L147" s="537"/>
      <c r="M147" s="28"/>
      <c r="P147" s="30"/>
      <c r="Q147" s="30"/>
      <c r="R147" s="30"/>
      <c r="T147" s="30"/>
      <c r="U147" s="30"/>
      <c r="V147" s="27"/>
      <c r="W147" s="17"/>
      <c r="X147" s="9"/>
      <c r="Y147" s="9"/>
      <c r="Z147" s="9"/>
    </row>
    <row r="148" spans="1:26" customFormat="1" ht="12" customHeight="1" outlineLevel="1" x14ac:dyDescent="0.35">
      <c r="A148" s="7"/>
      <c r="B148" s="8"/>
      <c r="C148" s="18"/>
      <c r="D148" s="18"/>
      <c r="E148" s="18"/>
      <c r="F148" s="24"/>
      <c r="G148" s="533" t="str">
        <f>General!G44</f>
        <v>ms</v>
      </c>
      <c r="H148" s="550">
        <v>2E-3</v>
      </c>
      <c r="I148" s="551">
        <v>1E-3</v>
      </c>
      <c r="J148" s="552">
        <v>0.1</v>
      </c>
      <c r="L148" s="537"/>
      <c r="M148" s="28"/>
      <c r="P148" s="30"/>
      <c r="Q148" s="30"/>
      <c r="R148" s="30"/>
      <c r="T148" s="30"/>
      <c r="U148" s="30"/>
      <c r="V148" s="27"/>
      <c r="W148" s="17"/>
      <c r="X148" s="9"/>
      <c r="Y148" s="9"/>
      <c r="Z148" s="9"/>
    </row>
    <row r="149" spans="1:26" customFormat="1" ht="12" customHeight="1" outlineLevel="1" x14ac:dyDescent="0.35">
      <c r="A149" s="7"/>
      <c r="B149" s="8"/>
      <c r="C149" s="18"/>
      <c r="D149" s="18"/>
      <c r="E149" s="18"/>
      <c r="F149" s="24"/>
      <c r="G149" s="533" t="str">
        <f>General!G45</f>
        <v>o</v>
      </c>
      <c r="H149" s="550">
        <v>2E-3</v>
      </c>
      <c r="I149" s="551">
        <v>1E-3</v>
      </c>
      <c r="J149" s="552">
        <v>0.1</v>
      </c>
      <c r="L149" s="537"/>
      <c r="M149" s="28"/>
      <c r="P149" s="30"/>
      <c r="Q149" s="30"/>
      <c r="R149" s="30"/>
      <c r="T149" s="30"/>
      <c r="U149" s="30"/>
      <c r="V149" s="27"/>
      <c r="W149" s="17"/>
      <c r="X149" s="9"/>
      <c r="Y149" s="9"/>
      <c r="Z149" s="9"/>
    </row>
    <row r="150" spans="1:26" customFormat="1" ht="12" customHeight="1" outlineLevel="1" x14ac:dyDescent="0.35">
      <c r="A150" s="7"/>
      <c r="B150" s="8"/>
      <c r="C150" s="18"/>
      <c r="D150" s="18"/>
      <c r="E150" s="18"/>
      <c r="F150" s="24"/>
      <c r="G150" s="533" t="str">
        <f>General!G46</f>
        <v>od</v>
      </c>
      <c r="H150" s="550">
        <v>2E-3</v>
      </c>
      <c r="I150" s="551">
        <v>1E-3</v>
      </c>
      <c r="J150" s="552">
        <v>0.1</v>
      </c>
      <c r="L150" s="537"/>
      <c r="M150" s="28"/>
      <c r="P150" s="30"/>
      <c r="Q150" s="30"/>
      <c r="R150" s="30"/>
      <c r="T150" s="30"/>
      <c r="U150" s="30"/>
      <c r="V150" s="27"/>
      <c r="W150" s="17"/>
      <c r="X150" s="9"/>
      <c r="Y150" s="9"/>
      <c r="Z150" s="9"/>
    </row>
    <row r="151" spans="1:26" customFormat="1" ht="12" customHeight="1" outlineLevel="1" x14ac:dyDescent="0.35">
      <c r="A151" s="7"/>
      <c r="B151" s="8"/>
      <c r="C151" s="18"/>
      <c r="D151" s="18"/>
      <c r="E151" s="18"/>
      <c r="F151" s="24"/>
      <c r="G151" s="533" t="str">
        <f>General!G47</f>
        <v>of</v>
      </c>
      <c r="H151" s="550">
        <v>2E-3</v>
      </c>
      <c r="I151" s="551">
        <v>1E-3</v>
      </c>
      <c r="J151" s="552">
        <v>0.1</v>
      </c>
      <c r="L151" s="537"/>
      <c r="M151" s="28"/>
      <c r="P151" s="30"/>
      <c r="Q151" s="30"/>
      <c r="R151" s="30"/>
      <c r="T151" s="30"/>
      <c r="U151" s="30"/>
      <c r="V151" s="27"/>
      <c r="W151" s="17"/>
      <c r="X151" s="9"/>
      <c r="Y151" s="9"/>
      <c r="Z151" s="9"/>
    </row>
    <row r="152" spans="1:26" customFormat="1" ht="12" customHeight="1" outlineLevel="1" x14ac:dyDescent="0.35">
      <c r="A152" s="7"/>
      <c r="B152" s="8"/>
      <c r="C152" s="18"/>
      <c r="D152" s="18"/>
      <c r="E152" s="18"/>
      <c r="F152" s="24"/>
      <c r="G152" s="533" t="str">
        <f>General!G48</f>
        <v>r</v>
      </c>
      <c r="H152" s="550">
        <v>2E-3</v>
      </c>
      <c r="I152" s="551">
        <v>1E-3</v>
      </c>
      <c r="J152" s="552">
        <v>0.1</v>
      </c>
      <c r="L152" s="537"/>
      <c r="M152" s="28"/>
      <c r="P152" s="30"/>
      <c r="Q152" s="30"/>
      <c r="R152" s="30"/>
      <c r="T152" s="30"/>
      <c r="U152" s="30"/>
      <c r="V152" s="27"/>
      <c r="W152" s="17"/>
      <c r="X152" s="9"/>
      <c r="Y152" s="9"/>
      <c r="Z152" s="9"/>
    </row>
    <row r="153" spans="1:26" customFormat="1" ht="12" customHeight="1" outlineLevel="1" x14ac:dyDescent="0.35">
      <c r="A153" s="7"/>
      <c r="B153" s="8"/>
      <c r="C153" s="18"/>
      <c r="D153" s="18"/>
      <c r="E153" s="18"/>
      <c r="F153" s="24"/>
      <c r="G153" s="533" t="str">
        <f>General!G49</f>
        <v>rd</v>
      </c>
      <c r="H153" s="550">
        <v>2E-3</v>
      </c>
      <c r="I153" s="551">
        <v>1E-3</v>
      </c>
      <c r="J153" s="552">
        <v>0.1</v>
      </c>
      <c r="L153" s="537"/>
      <c r="M153" s="28"/>
      <c r="P153" s="30"/>
      <c r="Q153" s="30"/>
      <c r="R153" s="30"/>
      <c r="T153" s="30"/>
      <c r="U153" s="30"/>
      <c r="V153" s="27"/>
      <c r="W153" s="17"/>
      <c r="X153" s="9"/>
      <c r="Y153" s="9"/>
      <c r="Z153" s="9"/>
    </row>
    <row r="154" spans="1:26" customFormat="1" ht="12" customHeight="1" outlineLevel="1" x14ac:dyDescent="0.35">
      <c r="A154" s="7"/>
      <c r="B154" s="8"/>
      <c r="C154" s="18"/>
      <c r="D154" s="18"/>
      <c r="E154" s="18"/>
      <c r="F154" s="24"/>
      <c r="G154" s="533" t="str">
        <f>General!G50</f>
        <v>v</v>
      </c>
      <c r="H154" s="550">
        <v>2E-3</v>
      </c>
      <c r="I154" s="551">
        <v>1E-3</v>
      </c>
      <c r="J154" s="552">
        <v>0.1</v>
      </c>
      <c r="L154" s="537"/>
      <c r="M154" s="28"/>
      <c r="P154" s="30"/>
      <c r="Q154" s="30"/>
      <c r="R154" s="30"/>
      <c r="T154" s="30"/>
      <c r="U154" s="30"/>
      <c r="V154" s="27"/>
      <c r="W154" s="17"/>
      <c r="X154" s="9"/>
      <c r="Y154" s="9"/>
      <c r="Z154" s="9"/>
    </row>
    <row r="155" spans="1:26" customFormat="1" ht="12" customHeight="1" outlineLevel="1" x14ac:dyDescent="0.35">
      <c r="A155" s="7"/>
      <c r="B155" s="8"/>
      <c r="C155" s="18"/>
      <c r="D155" s="18"/>
      <c r="E155" s="18"/>
      <c r="F155" s="24"/>
      <c r="G155" s="533" t="str">
        <f>General!G51</f>
        <v>w</v>
      </c>
      <c r="H155" s="550">
        <v>2E-3</v>
      </c>
      <c r="I155" s="551">
        <v>1E-3</v>
      </c>
      <c r="J155" s="552">
        <v>0.1</v>
      </c>
      <c r="L155" s="537"/>
      <c r="M155" s="28"/>
      <c r="P155" s="30"/>
      <c r="Q155" s="30"/>
      <c r="R155" s="30"/>
      <c r="T155" s="30"/>
      <c r="U155" s="30"/>
      <c r="V155" s="27"/>
      <c r="W155" s="17"/>
      <c r="X155" s="9"/>
      <c r="Y155" s="9"/>
      <c r="Z155" s="9"/>
    </row>
    <row r="156" spans="1:26" customFormat="1" ht="12" customHeight="1" outlineLevel="1" x14ac:dyDescent="0.35">
      <c r="A156" s="7"/>
      <c r="B156" s="8"/>
      <c r="C156" s="18"/>
      <c r="D156" s="18"/>
      <c r="E156" s="18"/>
      <c r="F156" s="24"/>
      <c r="G156" s="533" t="str">
        <f>General!G52</f>
        <v>wd</v>
      </c>
      <c r="H156" s="550">
        <v>2E-3</v>
      </c>
      <c r="I156" s="551">
        <v>1E-3</v>
      </c>
      <c r="J156" s="552">
        <v>0.1</v>
      </c>
      <c r="L156" s="537"/>
      <c r="M156" s="28"/>
      <c r="P156" s="30"/>
      <c r="Q156" s="30"/>
      <c r="R156" s="30"/>
      <c r="T156" s="30"/>
      <c r="U156" s="30"/>
      <c r="V156" s="27"/>
      <c r="W156" s="17"/>
      <c r="X156" s="9"/>
      <c r="Y156" s="9"/>
      <c r="Z156" s="9"/>
    </row>
    <row r="157" spans="1:26" customFormat="1" ht="12" customHeight="1" outlineLevel="1" x14ac:dyDescent="0.35">
      <c r="A157" s="7"/>
      <c r="B157" s="8"/>
      <c r="C157" s="18"/>
      <c r="D157" s="18"/>
      <c r="E157" s="18"/>
      <c r="F157" s="24"/>
      <c r="G157" s="533" t="str">
        <f>General!G53</f>
        <v>z</v>
      </c>
      <c r="H157" s="550">
        <v>2E-3</v>
      </c>
      <c r="I157" s="551">
        <v>1E-3</v>
      </c>
      <c r="J157" s="552">
        <v>0.1</v>
      </c>
      <c r="L157" s="537"/>
      <c r="M157" s="514"/>
      <c r="P157" s="30"/>
      <c r="Q157" s="30"/>
      <c r="R157" s="30"/>
      <c r="T157" s="30"/>
      <c r="U157" s="30"/>
      <c r="V157" s="27"/>
      <c r="W157" s="17"/>
      <c r="X157" s="9"/>
      <c r="Y157" s="9"/>
      <c r="Z157" s="9"/>
    </row>
    <row r="158" spans="1:26" customFormat="1" ht="12" customHeight="1" outlineLevel="1" x14ac:dyDescent="0.35">
      <c r="A158" s="7"/>
      <c r="B158" s="8"/>
      <c r="C158" s="18"/>
      <c r="D158" s="18"/>
      <c r="E158" s="18"/>
      <c r="F158" s="24"/>
      <c r="G158" s="533" t="str">
        <f>General!G54</f>
        <v>zd</v>
      </c>
      <c r="H158" s="550">
        <v>2E-3</v>
      </c>
      <c r="I158" s="551">
        <v>1E-3</v>
      </c>
      <c r="J158" s="552">
        <v>0.1</v>
      </c>
      <c r="L158" s="537"/>
      <c r="M158" s="30"/>
      <c r="P158" s="30"/>
      <c r="Q158" s="30"/>
      <c r="R158" s="30"/>
      <c r="S158" s="544"/>
      <c r="T158" s="30"/>
      <c r="U158" s="30"/>
      <c r="V158" s="27"/>
      <c r="W158" s="17"/>
      <c r="X158" s="9"/>
      <c r="Y158" s="9"/>
      <c r="Z158" s="9"/>
    </row>
    <row r="159" spans="1:26" customFormat="1" ht="12" customHeight="1" outlineLevel="1" x14ac:dyDescent="0.35">
      <c r="A159" s="7"/>
      <c r="B159" s="8"/>
      <c r="C159" s="18"/>
      <c r="D159" s="18"/>
      <c r="E159" s="18"/>
      <c r="F159" s="24"/>
      <c r="G159" s="28"/>
      <c r="H159" s="27"/>
      <c r="I159" s="526"/>
      <c r="J159" s="514"/>
      <c r="K159" s="514"/>
      <c r="L159" s="537"/>
      <c r="M159" s="30"/>
      <c r="N159" s="28"/>
      <c r="P159" s="30"/>
      <c r="Q159" s="30"/>
      <c r="R159" s="30"/>
      <c r="S159" s="544"/>
      <c r="T159" s="30"/>
      <c r="U159" s="30"/>
      <c r="V159" s="27"/>
      <c r="W159" s="17"/>
      <c r="X159" s="9"/>
      <c r="Y159" s="9"/>
      <c r="Z159" s="9"/>
    </row>
    <row r="160" spans="1:26" customFormat="1" ht="12.65" customHeight="1" outlineLevel="1" x14ac:dyDescent="0.35">
      <c r="A160" s="7"/>
      <c r="B160" s="8"/>
      <c r="C160" s="18"/>
      <c r="D160" s="18"/>
      <c r="E160" s="18"/>
      <c r="F160" s="24"/>
      <c r="G160" s="28"/>
      <c r="H160" s="28"/>
      <c r="I160" s="512"/>
      <c r="J160" s="515"/>
      <c r="K160" s="515"/>
      <c r="L160" s="515"/>
      <c r="M160" s="515"/>
      <c r="N160" s="515"/>
      <c r="O160" s="515"/>
      <c r="P160" s="30"/>
      <c r="Q160" s="30"/>
      <c r="R160" s="30"/>
      <c r="S160" s="30"/>
      <c r="T160" s="30"/>
      <c r="U160" s="30"/>
      <c r="V160" s="27"/>
      <c r="W160" s="17"/>
      <c r="X160" s="9"/>
      <c r="Y160" s="9"/>
      <c r="Z160" s="9"/>
    </row>
    <row r="161" spans="1:44" customFormat="1" ht="12" customHeight="1" outlineLevel="1" x14ac:dyDescent="0.35">
      <c r="A161" s="7"/>
      <c r="B161" s="8"/>
      <c r="C161" s="18"/>
      <c r="D161" s="18"/>
      <c r="E161" s="18"/>
      <c r="F161" s="24"/>
      <c r="G161" s="28"/>
      <c r="H161" s="28"/>
      <c r="I161" s="512"/>
      <c r="J161" s="515"/>
      <c r="K161" s="515"/>
      <c r="L161" s="515"/>
      <c r="M161" s="515"/>
      <c r="N161" s="515"/>
      <c r="O161" s="515"/>
      <c r="P161" s="30"/>
      <c r="Q161" s="30"/>
      <c r="R161" s="30"/>
      <c r="S161" s="30"/>
      <c r="T161" s="30"/>
      <c r="U161" s="30"/>
      <c r="V161" s="27"/>
      <c r="W161" s="17"/>
      <c r="X161" s="9"/>
      <c r="Y161" s="9"/>
      <c r="Z161" s="9"/>
    </row>
    <row r="162" spans="1:44" customFormat="1" ht="12" customHeight="1" x14ac:dyDescent="0.35">
      <c r="A162" s="7"/>
      <c r="B162" s="8"/>
      <c r="C162" s="18"/>
      <c r="D162" s="18"/>
      <c r="E162" s="18"/>
      <c r="F162" s="24"/>
      <c r="G162" s="545" t="s">
        <v>3095</v>
      </c>
      <c r="H162" s="28"/>
      <c r="I162" s="512"/>
      <c r="J162" s="515"/>
      <c r="K162" s="515"/>
      <c r="L162" s="515"/>
      <c r="M162" s="515"/>
      <c r="N162" s="515"/>
      <c r="O162" s="515"/>
      <c r="P162" s="30"/>
      <c r="Q162" s="30"/>
      <c r="R162" s="30"/>
      <c r="S162" s="30"/>
      <c r="T162" s="30"/>
      <c r="U162" s="30"/>
      <c r="V162" s="27"/>
      <c r="W162" s="17"/>
      <c r="X162" s="9"/>
      <c r="Y162" s="9"/>
      <c r="Z162" s="9"/>
    </row>
    <row r="163" spans="1:44" customFormat="1" ht="12" customHeight="1" outlineLevel="1" x14ac:dyDescent="0.35">
      <c r="A163" s="7"/>
      <c r="B163" s="8"/>
      <c r="C163" s="18"/>
      <c r="D163" s="18"/>
      <c r="E163" s="18"/>
      <c r="F163" s="24"/>
      <c r="G163" s="28"/>
      <c r="H163" s="24"/>
      <c r="I163" s="553"/>
      <c r="J163" s="554"/>
      <c r="K163" s="554"/>
      <c r="L163" s="555"/>
      <c r="M163" s="554"/>
      <c r="N163" s="554"/>
      <c r="O163" s="554"/>
      <c r="P163" s="35"/>
      <c r="Q163" s="35"/>
      <c r="R163" s="35"/>
      <c r="S163" s="35"/>
      <c r="T163" s="30"/>
      <c r="U163" s="30"/>
      <c r="V163" s="27"/>
      <c r="W163" s="17"/>
      <c r="X163" s="9"/>
      <c r="Y163" s="9"/>
      <c r="Z163" s="9"/>
    </row>
    <row r="164" spans="1:44" customFormat="1" ht="12" customHeight="1" outlineLevel="1" x14ac:dyDescent="0.35">
      <c r="A164" s="7"/>
      <c r="B164" s="8"/>
      <c r="C164" s="18"/>
      <c r="D164" s="18"/>
      <c r="E164" s="18"/>
      <c r="F164" s="24"/>
      <c r="G164" s="28"/>
      <c r="H164" s="556" t="s">
        <v>2336</v>
      </c>
      <c r="I164" s="557" t="s">
        <v>4</v>
      </c>
      <c r="J164" s="557" t="s">
        <v>3096</v>
      </c>
      <c r="K164" s="557" t="s">
        <v>543</v>
      </c>
      <c r="L164" s="558" t="s">
        <v>3097</v>
      </c>
      <c r="M164" s="559" t="s">
        <v>10</v>
      </c>
      <c r="N164" s="559" t="s">
        <v>3098</v>
      </c>
      <c r="O164" s="559" t="s">
        <v>67</v>
      </c>
      <c r="P164" s="560" t="s">
        <v>68</v>
      </c>
      <c r="Q164" s="561" t="s">
        <v>2337</v>
      </c>
      <c r="R164" s="35"/>
      <c r="S164" s="35"/>
      <c r="T164" s="30"/>
      <c r="U164" s="30"/>
      <c r="V164" s="27"/>
      <c r="W164" s="17"/>
      <c r="X164" s="9"/>
      <c r="Y164" s="9"/>
      <c r="Z164" s="9"/>
    </row>
    <row r="165" spans="1:44" customFormat="1" ht="12" customHeight="1" outlineLevel="1" x14ac:dyDescent="0.35">
      <c r="A165" s="7"/>
      <c r="B165" s="8"/>
      <c r="C165" s="18"/>
      <c r="D165" s="18"/>
      <c r="E165" s="18"/>
      <c r="F165" s="24"/>
      <c r="G165" s="28" t="s">
        <v>3099</v>
      </c>
      <c r="H165" s="562">
        <v>80</v>
      </c>
      <c r="I165" s="562">
        <f>H165-5</f>
        <v>75</v>
      </c>
      <c r="J165" s="562">
        <f t="shared" ref="J165:Q165" si="5">I165-5</f>
        <v>70</v>
      </c>
      <c r="K165" s="562">
        <f t="shared" si="5"/>
        <v>65</v>
      </c>
      <c r="L165" s="562">
        <f t="shared" si="5"/>
        <v>60</v>
      </c>
      <c r="M165" s="562">
        <f t="shared" si="5"/>
        <v>55</v>
      </c>
      <c r="N165" s="562">
        <f t="shared" si="5"/>
        <v>50</v>
      </c>
      <c r="O165" s="562">
        <f t="shared" si="5"/>
        <v>45</v>
      </c>
      <c r="P165" s="562">
        <f t="shared" si="5"/>
        <v>40</v>
      </c>
      <c r="Q165" s="562">
        <f t="shared" si="5"/>
        <v>35</v>
      </c>
      <c r="R165" s="35"/>
      <c r="S165" s="35"/>
      <c r="T165" s="30"/>
      <c r="U165" s="30"/>
      <c r="V165" s="27"/>
      <c r="W165" s="17"/>
      <c r="X165" s="9"/>
      <c r="Y165" s="9"/>
      <c r="Z165" s="9"/>
    </row>
    <row r="166" spans="1:44" customFormat="1" ht="12" customHeight="1" outlineLevel="1" x14ac:dyDescent="0.35">
      <c r="A166" s="7"/>
      <c r="B166" s="8"/>
      <c r="C166" s="18"/>
      <c r="D166" s="18"/>
      <c r="E166" s="18"/>
      <c r="F166" s="24"/>
      <c r="G166" s="28" t="s">
        <v>3100</v>
      </c>
      <c r="H166" s="563">
        <v>0.115</v>
      </c>
      <c r="I166" s="564">
        <v>0.1065</v>
      </c>
      <c r="J166" s="550">
        <v>0.10150000000000001</v>
      </c>
      <c r="K166" s="550">
        <v>9.5000000000000001E-2</v>
      </c>
      <c r="L166" s="550">
        <v>8.7999999999999995E-2</v>
      </c>
      <c r="M166" s="550">
        <v>8.2000000000000003E-2</v>
      </c>
      <c r="N166" s="550">
        <v>7.6999999999999999E-2</v>
      </c>
      <c r="O166" s="550">
        <v>7.1199999999999999E-2</v>
      </c>
      <c r="P166" s="565">
        <v>5.9900000000000002E-2</v>
      </c>
      <c r="Q166" s="565">
        <v>5.5E-2</v>
      </c>
      <c r="R166" s="35"/>
      <c r="S166" s="35"/>
      <c r="T166" s="30"/>
      <c r="U166" s="30"/>
      <c r="V166" s="27"/>
      <c r="W166" s="17"/>
      <c r="X166" s="9"/>
      <c r="Y166" s="9"/>
      <c r="Z166" s="9"/>
    </row>
    <row r="167" spans="1:44" customFormat="1" ht="12" customHeight="1" outlineLevel="1" x14ac:dyDescent="0.35">
      <c r="A167" s="7"/>
      <c r="B167" s="8"/>
      <c r="C167" s="18"/>
      <c r="D167" s="18"/>
      <c r="E167" s="18"/>
      <c r="F167" s="24"/>
      <c r="G167" s="28"/>
      <c r="H167" s="28"/>
      <c r="I167" s="512"/>
      <c r="J167" s="515"/>
      <c r="K167" s="515"/>
      <c r="L167" s="515"/>
      <c r="M167" s="515"/>
      <c r="N167" s="515"/>
      <c r="O167" s="515"/>
      <c r="P167" s="30"/>
      <c r="Q167" s="30"/>
      <c r="R167" s="30"/>
      <c r="S167" s="30"/>
      <c r="T167" s="30"/>
      <c r="U167" s="30"/>
      <c r="V167" s="27"/>
      <c r="W167" s="17"/>
      <c r="X167" s="9"/>
      <c r="Y167" s="9"/>
      <c r="Z167" s="9"/>
    </row>
    <row r="168" spans="1:44" customFormat="1" ht="12" customHeight="1" outlineLevel="1" x14ac:dyDescent="0.35">
      <c r="A168" s="7"/>
      <c r="B168" s="8"/>
      <c r="C168" s="18"/>
      <c r="D168" s="18"/>
      <c r="E168" s="18"/>
      <c r="F168" s="24"/>
      <c r="G168" s="28"/>
      <c r="H168" s="28"/>
      <c r="I168" s="512"/>
      <c r="J168" s="515"/>
      <c r="K168" s="515"/>
      <c r="L168" s="515"/>
      <c r="M168" s="515"/>
      <c r="N168" s="515"/>
      <c r="O168" s="515"/>
      <c r="P168" s="30"/>
      <c r="Q168" s="30"/>
      <c r="R168" s="30"/>
      <c r="S168" s="30"/>
      <c r="T168" s="30"/>
      <c r="U168" s="30"/>
      <c r="V168" s="27"/>
      <c r="W168" s="17"/>
      <c r="X168" s="9"/>
      <c r="Y168" s="9"/>
      <c r="Z168" s="9"/>
    </row>
    <row r="169" spans="1:44" customFormat="1" ht="12" customHeight="1" outlineLevel="1" x14ac:dyDescent="0.35">
      <c r="A169" s="7"/>
      <c r="B169" s="8"/>
      <c r="C169" s="18"/>
      <c r="D169" s="18"/>
      <c r="E169" s="18"/>
      <c r="F169" s="24"/>
      <c r="G169" s="28"/>
      <c r="H169" s="28"/>
      <c r="I169" s="512"/>
      <c r="J169" s="515"/>
      <c r="K169" s="515"/>
      <c r="L169" s="515"/>
      <c r="M169" s="515"/>
      <c r="N169" s="515"/>
      <c r="O169" s="515"/>
      <c r="P169" s="30"/>
      <c r="Q169" s="30"/>
      <c r="R169" s="30"/>
      <c r="S169" s="30"/>
      <c r="T169" s="30"/>
      <c r="U169" s="30"/>
      <c r="V169" s="27"/>
      <c r="W169" s="17"/>
      <c r="X169" s="9"/>
      <c r="Y169" s="9"/>
      <c r="Z169" s="9"/>
    </row>
    <row r="170" spans="1:44" customFormat="1" ht="12" customHeight="1" outlineLevel="1" x14ac:dyDescent="0.35">
      <c r="A170" s="7"/>
      <c r="B170" s="8"/>
      <c r="C170" s="18"/>
      <c r="D170" s="18"/>
      <c r="E170" s="18"/>
      <c r="F170" s="24"/>
      <c r="G170" s="28"/>
      <c r="H170" s="28"/>
      <c r="I170" s="512"/>
      <c r="J170" s="515"/>
      <c r="K170" s="515"/>
      <c r="L170" s="515"/>
      <c r="M170" s="515"/>
      <c r="N170" s="515"/>
      <c r="O170" s="515"/>
      <c r="P170" s="30"/>
      <c r="Q170" s="30"/>
      <c r="R170" s="30"/>
      <c r="S170" s="30"/>
      <c r="T170" s="30"/>
      <c r="U170" s="30"/>
      <c r="V170" s="27"/>
      <c r="W170" s="17"/>
      <c r="X170" s="9"/>
      <c r="Y170" s="9"/>
      <c r="Z170" s="9"/>
    </row>
    <row r="171" spans="1:44" customFormat="1" ht="12" customHeight="1" outlineLevel="1" x14ac:dyDescent="0.35">
      <c r="A171" s="7"/>
      <c r="B171" s="8"/>
      <c r="C171" s="18"/>
      <c r="D171" s="18"/>
      <c r="E171" s="18"/>
      <c r="F171" s="24"/>
      <c r="G171" s="28"/>
      <c r="H171" s="28"/>
      <c r="I171" s="512"/>
      <c r="J171" s="515"/>
      <c r="K171" s="515"/>
      <c r="L171" s="515"/>
      <c r="M171" s="515"/>
      <c r="N171" s="515"/>
      <c r="O171" s="515"/>
      <c r="P171" s="30"/>
      <c r="Q171" s="30"/>
      <c r="R171" s="30"/>
      <c r="S171" s="30"/>
      <c r="T171" s="30"/>
      <c r="U171" s="30"/>
      <c r="V171" s="27"/>
      <c r="W171" s="17"/>
      <c r="X171" s="9"/>
      <c r="Y171" s="9"/>
      <c r="Z171" s="9"/>
    </row>
    <row r="172" spans="1:44" customFormat="1" ht="12" customHeight="1" outlineLevel="1" x14ac:dyDescent="0.35">
      <c r="A172" s="7"/>
      <c r="B172" s="8"/>
      <c r="C172" s="18"/>
      <c r="D172" s="18"/>
      <c r="E172" s="18"/>
      <c r="F172" s="566"/>
      <c r="G172" s="28"/>
      <c r="H172" s="28"/>
      <c r="I172" s="512"/>
      <c r="J172" s="514"/>
      <c r="K172" s="514"/>
      <c r="L172" s="514"/>
      <c r="M172" s="514"/>
      <c r="N172" s="514"/>
      <c r="O172" s="514"/>
      <c r="P172" s="30"/>
      <c r="Q172" s="30"/>
      <c r="R172" s="30"/>
      <c r="S172" s="30"/>
      <c r="T172" s="30"/>
      <c r="U172" s="30"/>
      <c r="V172" s="27"/>
      <c r="W172" s="17"/>
      <c r="X172" s="9"/>
      <c r="Y172" s="9"/>
      <c r="Z172" s="9"/>
    </row>
    <row r="173" spans="1:44" customFormat="1" ht="5.15" customHeight="1" outlineLevel="1" x14ac:dyDescent="0.35">
      <c r="A173" s="7"/>
      <c r="B173" s="8"/>
      <c r="C173" s="18"/>
      <c r="D173" s="18"/>
      <c r="E173" s="18"/>
      <c r="F173" s="33"/>
      <c r="G173" s="34"/>
      <c r="H173" s="34"/>
      <c r="I173" s="34"/>
      <c r="J173" s="35"/>
      <c r="K173" s="35"/>
      <c r="L173" s="35"/>
      <c r="M173" s="35"/>
      <c r="N173" s="35"/>
      <c r="O173" s="35"/>
      <c r="P173" s="35"/>
      <c r="Q173" s="35"/>
      <c r="R173" s="35"/>
      <c r="S173" s="35"/>
      <c r="T173" s="35"/>
      <c r="U173" s="35"/>
      <c r="V173" s="27"/>
      <c r="W173" s="17"/>
      <c r="X173" s="9"/>
      <c r="Y173" s="9"/>
      <c r="Z173" s="9"/>
    </row>
    <row r="174" spans="1:44" customFormat="1" ht="25.4" customHeight="1" outlineLevel="1" x14ac:dyDescent="0.35">
      <c r="A174" s="7"/>
      <c r="B174" s="8"/>
      <c r="C174" s="36"/>
      <c r="D174" s="36"/>
      <c r="E174" s="36"/>
      <c r="F174" s="36"/>
      <c r="G174" s="37" t="str">
        <f>G64</f>
        <v>STUBBLE PRECALCS</v>
      </c>
      <c r="H174" s="36"/>
      <c r="I174" s="36"/>
      <c r="J174" s="36"/>
      <c r="K174" s="36"/>
      <c r="L174" s="36"/>
      <c r="M174" s="36"/>
      <c r="N174" s="36"/>
      <c r="O174" s="36"/>
      <c r="P174" s="36"/>
      <c r="Q174" s="36"/>
      <c r="R174" s="36"/>
      <c r="S174" s="36"/>
      <c r="T174" s="36"/>
      <c r="U174" s="36"/>
      <c r="V174" s="36"/>
      <c r="W174" s="38" t="s">
        <v>98</v>
      </c>
      <c r="X174" s="9"/>
      <c r="Y174" s="9"/>
      <c r="Z174" s="9"/>
    </row>
    <row r="175" spans="1:44" customFormat="1" ht="12" customHeight="1" outlineLevel="1" x14ac:dyDescent="0.35">
      <c r="A175" s="7"/>
      <c r="B175" s="8"/>
      <c r="C175" s="8"/>
      <c r="D175" s="8"/>
      <c r="E175" s="8"/>
      <c r="F175" s="9"/>
      <c r="G175" s="9"/>
      <c r="H175" s="9"/>
      <c r="I175" s="9"/>
      <c r="J175" s="9"/>
      <c r="K175" s="9"/>
      <c r="L175" s="9"/>
      <c r="M175" s="9"/>
      <c r="N175" s="9"/>
      <c r="O175" s="9"/>
      <c r="P175" s="9"/>
      <c r="Q175" s="9"/>
      <c r="R175" s="9"/>
      <c r="S175" s="9"/>
      <c r="T175" s="9"/>
      <c r="U175" s="9"/>
      <c r="V175" s="9"/>
      <c r="W175" s="9"/>
      <c r="X175" s="9"/>
      <c r="Y175" s="9"/>
      <c r="Z175" s="9"/>
    </row>
    <row r="176" spans="1:44" customFormat="1" ht="12" customHeight="1" outlineLevel="1" x14ac:dyDescent="0.35">
      <c r="A176" s="7"/>
      <c r="B176" s="8"/>
      <c r="C176" s="8"/>
      <c r="D176" s="8"/>
      <c r="E176" s="8"/>
      <c r="F176" s="8"/>
      <c r="G176" s="8"/>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8"/>
      <c r="AQ176" s="8"/>
      <c r="AR176" s="8"/>
    </row>
    <row r="177" spans="1:44" customFormat="1" ht="5.15" customHeight="1" thickBot="1" x14ac:dyDescent="0.4">
      <c r="A177" s="7"/>
      <c r="B177" s="8"/>
      <c r="C177" s="8"/>
      <c r="D177" s="8"/>
      <c r="E177" s="8"/>
      <c r="F177" s="8"/>
      <c r="G177" s="8"/>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8"/>
      <c r="AQ177" s="8"/>
      <c r="AR177" s="8"/>
    </row>
    <row r="178" spans="1:44" customFormat="1" ht="5.15" customHeight="1" x14ac:dyDescent="0.35">
      <c r="A178" s="7"/>
      <c r="B178" s="8"/>
      <c r="C178" s="10" t="s">
        <v>93</v>
      </c>
      <c r="D178" s="10"/>
      <c r="E178" s="10"/>
      <c r="F178" s="10"/>
      <c r="G178" s="10"/>
      <c r="H178" s="10"/>
      <c r="I178" s="10"/>
      <c r="J178" s="10"/>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2"/>
      <c r="AP178" s="9"/>
      <c r="AQ178" s="9"/>
      <c r="AR178" s="9"/>
    </row>
    <row r="179" spans="1:44" customFormat="1" ht="12" customHeight="1" x14ac:dyDescent="0.35">
      <c r="A179" s="7"/>
      <c r="B179" s="8"/>
      <c r="C179" s="13"/>
      <c r="D179" s="13"/>
      <c r="E179" s="13" t="s">
        <v>94</v>
      </c>
      <c r="F179" s="14"/>
      <c r="G179" s="15" t="s">
        <v>3101</v>
      </c>
      <c r="H179" s="14"/>
      <c r="I179" s="14"/>
      <c r="J179" s="14"/>
      <c r="K179" s="14"/>
      <c r="L179" s="14"/>
      <c r="M179" s="14"/>
      <c r="N179" s="14"/>
      <c r="O179" s="14"/>
      <c r="P179" s="14"/>
      <c r="Q179" s="14"/>
      <c r="R179" s="14"/>
      <c r="S179" s="14"/>
      <c r="T179" s="14"/>
      <c r="U179" s="14"/>
      <c r="V179" s="16"/>
      <c r="W179" s="14"/>
      <c r="X179" s="14"/>
      <c r="Y179" s="14"/>
      <c r="Z179" s="14"/>
      <c r="AA179" s="16"/>
      <c r="AB179" s="16"/>
      <c r="AC179" s="16"/>
      <c r="AD179" s="16"/>
      <c r="AE179" s="14"/>
      <c r="AF179" s="14"/>
      <c r="AG179" s="14"/>
      <c r="AH179" s="14"/>
      <c r="AI179" s="14"/>
      <c r="AJ179" s="14"/>
      <c r="AK179" s="16"/>
      <c r="AL179" s="16"/>
      <c r="AM179" s="16"/>
      <c r="AN179" s="16"/>
      <c r="AO179" s="17"/>
      <c r="AP179" s="9"/>
      <c r="AQ179" s="9"/>
      <c r="AR179" s="9"/>
    </row>
    <row r="180" spans="1:44" customFormat="1" ht="12" customHeight="1" outlineLevel="1" x14ac:dyDescent="0.35">
      <c r="A180" s="7"/>
      <c r="B180" s="8"/>
      <c r="C180" s="13"/>
      <c r="D180" s="13"/>
      <c r="E180" s="18"/>
      <c r="F180" s="14"/>
      <c r="G180" s="14" t="s">
        <v>3102</v>
      </c>
      <c r="H180" s="14"/>
      <c r="I180" s="14"/>
      <c r="J180" s="14"/>
      <c r="K180" s="14"/>
      <c r="L180" s="14"/>
      <c r="M180" s="14"/>
      <c r="N180" s="14"/>
      <c r="O180" s="14"/>
      <c r="P180" s="14"/>
      <c r="Q180" s="14"/>
      <c r="R180" s="14"/>
      <c r="S180" s="14"/>
      <c r="T180" s="14"/>
      <c r="U180" s="14"/>
      <c r="V180" s="16"/>
      <c r="W180" s="19"/>
      <c r="X180" s="19"/>
      <c r="Y180" s="19"/>
      <c r="Z180" s="19"/>
      <c r="AA180" s="16"/>
      <c r="AB180" s="16"/>
      <c r="AC180" s="16"/>
      <c r="AD180" s="16"/>
      <c r="AE180" s="14"/>
      <c r="AF180" s="14"/>
      <c r="AG180" s="14"/>
      <c r="AH180" s="14"/>
      <c r="AI180" s="14"/>
      <c r="AJ180" s="14"/>
      <c r="AK180" s="16"/>
      <c r="AL180" s="16"/>
      <c r="AM180" s="16"/>
      <c r="AN180" s="16"/>
      <c r="AO180" s="17"/>
      <c r="AP180" s="9"/>
      <c r="AQ180" s="9"/>
      <c r="AR180" s="9"/>
    </row>
    <row r="181" spans="1:44" customFormat="1" ht="12" customHeight="1" outlineLevel="1" x14ac:dyDescent="0.35">
      <c r="A181" s="7"/>
      <c r="B181" s="8"/>
      <c r="C181" s="18"/>
      <c r="D181" s="13"/>
      <c r="E181" s="18"/>
      <c r="F181" s="14"/>
      <c r="G181" s="20"/>
      <c r="H181" s="14"/>
      <c r="I181" s="14"/>
      <c r="J181" s="14"/>
      <c r="K181" s="14"/>
      <c r="L181" s="14"/>
      <c r="M181" s="14"/>
      <c r="N181" s="14"/>
      <c r="O181" s="14"/>
      <c r="P181" s="14"/>
      <c r="Q181" s="14"/>
      <c r="R181" s="14"/>
      <c r="S181" s="14"/>
      <c r="T181" s="14"/>
      <c r="U181" s="14"/>
      <c r="V181" s="16"/>
      <c r="W181" s="19"/>
      <c r="X181" s="19"/>
      <c r="Y181" s="19"/>
      <c r="Z181" s="19"/>
      <c r="AA181" s="16"/>
      <c r="AB181" s="16"/>
      <c r="AC181" s="16"/>
      <c r="AD181" s="16"/>
      <c r="AE181" s="14"/>
      <c r="AF181" s="14"/>
      <c r="AG181" s="14"/>
      <c r="AH181" s="14"/>
      <c r="AI181" s="14"/>
      <c r="AJ181" s="14"/>
      <c r="AK181" s="16"/>
      <c r="AL181" s="16"/>
      <c r="AM181" s="16"/>
      <c r="AN181" s="16"/>
      <c r="AO181" s="17"/>
      <c r="AP181" s="9"/>
      <c r="AQ181" s="9"/>
      <c r="AR181" s="9"/>
    </row>
    <row r="182" spans="1:44" customFormat="1" ht="12" customHeight="1" outlineLevel="1" x14ac:dyDescent="0.35">
      <c r="A182" s="7"/>
      <c r="B182" s="8"/>
      <c r="C182" s="412"/>
      <c r="D182" s="13"/>
      <c r="E182" s="18"/>
      <c r="F182" s="14"/>
      <c r="G182" s="511"/>
      <c r="H182" s="14"/>
      <c r="I182" s="14"/>
      <c r="J182" s="14"/>
      <c r="K182" s="14"/>
      <c r="L182" s="14"/>
      <c r="M182" s="14"/>
      <c r="N182" s="14"/>
      <c r="O182" s="14"/>
      <c r="P182" s="14"/>
      <c r="Q182" s="14"/>
      <c r="R182" s="14"/>
      <c r="S182" s="14"/>
      <c r="T182" s="14"/>
      <c r="U182" s="14"/>
      <c r="V182" s="16"/>
      <c r="W182" s="19"/>
      <c r="X182" s="19"/>
      <c r="Y182" s="19"/>
      <c r="Z182" s="19"/>
      <c r="AA182" s="16"/>
      <c r="AB182" s="16"/>
      <c r="AC182" s="16"/>
      <c r="AD182" s="16"/>
      <c r="AE182" s="14"/>
      <c r="AF182" s="14"/>
      <c r="AG182" s="14"/>
      <c r="AH182" s="14"/>
      <c r="AI182" s="14"/>
      <c r="AJ182" s="14"/>
      <c r="AK182" s="16"/>
      <c r="AL182" s="16"/>
      <c r="AM182" s="16"/>
      <c r="AN182" s="16"/>
      <c r="AO182" s="17"/>
      <c r="AP182" s="9"/>
      <c r="AQ182" s="9"/>
      <c r="AR182" s="9"/>
    </row>
    <row r="183" spans="1:44" customFormat="1" ht="12" customHeight="1" outlineLevel="1" x14ac:dyDescent="0.35">
      <c r="A183" s="7"/>
      <c r="B183" s="8"/>
      <c r="C183" s="18"/>
      <c r="D183" s="18"/>
      <c r="E183" s="18"/>
      <c r="F183" s="18"/>
      <c r="G183" s="18"/>
      <c r="H183" s="18"/>
      <c r="I183" s="18"/>
      <c r="J183" s="21" t="s">
        <v>3103</v>
      </c>
      <c r="K183" s="21" t="s">
        <v>3104</v>
      </c>
      <c r="L183" s="21" t="s">
        <v>3105</v>
      </c>
      <c r="M183" s="21" t="s">
        <v>3106</v>
      </c>
      <c r="N183" s="21" t="s">
        <v>3107</v>
      </c>
      <c r="O183" s="21" t="s">
        <v>3108</v>
      </c>
      <c r="P183" s="21" t="s">
        <v>3109</v>
      </c>
      <c r="Q183" s="21" t="s">
        <v>3110</v>
      </c>
      <c r="R183" s="21" t="s">
        <v>3111</v>
      </c>
      <c r="S183" s="21" t="s">
        <v>3112</v>
      </c>
      <c r="T183" s="21" t="s">
        <v>3113</v>
      </c>
      <c r="U183" s="21" t="s">
        <v>3114</v>
      </c>
      <c r="V183" s="21" t="s">
        <v>3115</v>
      </c>
      <c r="W183" s="21" t="s">
        <v>3116</v>
      </c>
      <c r="X183" s="21" t="s">
        <v>3117</v>
      </c>
      <c r="Y183" s="21" t="s">
        <v>3118</v>
      </c>
      <c r="Z183" s="21" t="s">
        <v>3119</v>
      </c>
      <c r="AA183" s="21" t="s">
        <v>3120</v>
      </c>
      <c r="AB183" s="21" t="s">
        <v>3121</v>
      </c>
      <c r="AC183" s="21" t="s">
        <v>3122</v>
      </c>
      <c r="AD183" s="21" t="s">
        <v>3123</v>
      </c>
      <c r="AE183" s="21" t="s">
        <v>3124</v>
      </c>
      <c r="AF183" s="21" t="s">
        <v>3125</v>
      </c>
      <c r="AG183" s="21" t="s">
        <v>3126</v>
      </c>
      <c r="AH183" s="21" t="s">
        <v>3127</v>
      </c>
      <c r="AI183" s="21" t="s">
        <v>3128</v>
      </c>
      <c r="AJ183" s="21" t="s">
        <v>3129</v>
      </c>
      <c r="AK183" s="21" t="s">
        <v>3130</v>
      </c>
      <c r="AL183" s="21" t="s">
        <v>3131</v>
      </c>
      <c r="AM183" s="21" t="s">
        <v>3132</v>
      </c>
      <c r="AN183" s="21"/>
      <c r="AO183" s="17"/>
      <c r="AP183" s="9"/>
      <c r="AQ183" s="9"/>
      <c r="AR183" s="9"/>
    </row>
    <row r="184" spans="1:44" customFormat="1" ht="12" customHeight="1" outlineLevel="1" x14ac:dyDescent="0.35">
      <c r="A184" s="7"/>
      <c r="B184" s="8"/>
      <c r="C184" s="18"/>
      <c r="D184" s="18"/>
      <c r="E184" s="18"/>
      <c r="F184" s="18"/>
      <c r="G184" s="18"/>
      <c r="H184" s="18"/>
      <c r="I184" s="18"/>
      <c r="J184" s="567" t="s">
        <v>410</v>
      </c>
      <c r="K184" s="567"/>
      <c r="L184" s="567"/>
      <c r="M184" s="567"/>
      <c r="N184" s="567"/>
      <c r="O184" s="567"/>
      <c r="P184" s="567"/>
      <c r="Q184" s="567"/>
      <c r="R184" s="567" t="s">
        <v>3133</v>
      </c>
      <c r="S184" s="567"/>
      <c r="T184" s="567"/>
      <c r="U184" s="567"/>
      <c r="V184" s="567"/>
      <c r="W184" s="567"/>
      <c r="X184" s="567"/>
      <c r="Y184" s="567"/>
      <c r="Z184" s="567"/>
      <c r="AA184" s="567"/>
      <c r="AB184" s="567"/>
      <c r="AC184" s="567"/>
      <c r="AD184" s="567" t="s">
        <v>411</v>
      </c>
      <c r="AE184" s="567"/>
      <c r="AF184" s="567"/>
      <c r="AG184" s="567"/>
      <c r="AH184" s="567"/>
      <c r="AI184" s="567"/>
      <c r="AJ184" s="567" t="s">
        <v>3134</v>
      </c>
      <c r="AK184" s="567"/>
      <c r="AL184" s="568"/>
      <c r="AM184" s="568"/>
      <c r="AN184" s="21"/>
      <c r="AO184" s="17"/>
      <c r="AP184" s="9"/>
      <c r="AQ184" s="9"/>
      <c r="AR184" s="9"/>
    </row>
    <row r="185" spans="1:44" customFormat="1" ht="12" customHeight="1" outlineLevel="1" x14ac:dyDescent="0.35">
      <c r="A185" s="7"/>
      <c r="B185" s="8"/>
      <c r="C185" s="18"/>
      <c r="D185" s="18"/>
      <c r="E185" s="18"/>
      <c r="F185" s="18"/>
      <c r="G185" s="18"/>
      <c r="H185" s="18"/>
      <c r="I185" s="18"/>
      <c r="J185" s="569" t="s">
        <v>3135</v>
      </c>
      <c r="K185" s="569" t="s">
        <v>3136</v>
      </c>
      <c r="L185" s="569" t="s">
        <v>3137</v>
      </c>
      <c r="M185" s="569" t="s">
        <v>3137</v>
      </c>
      <c r="N185" s="569" t="s">
        <v>3137</v>
      </c>
      <c r="O185" s="569" t="s">
        <v>3137</v>
      </c>
      <c r="P185" s="569" t="s">
        <v>3137</v>
      </c>
      <c r="Q185" s="569" t="s">
        <v>3138</v>
      </c>
      <c r="R185" s="569" t="s">
        <v>3139</v>
      </c>
      <c r="S185" s="569" t="s">
        <v>3139</v>
      </c>
      <c r="T185" s="569" t="s">
        <v>3140</v>
      </c>
      <c r="U185" s="569" t="s">
        <v>3140</v>
      </c>
      <c r="V185" s="569" t="s">
        <v>3141</v>
      </c>
      <c r="W185" s="569" t="s">
        <v>3141</v>
      </c>
      <c r="X185" s="569" t="s">
        <v>3142</v>
      </c>
      <c r="Y185" s="569" t="s">
        <v>3142</v>
      </c>
      <c r="Z185" s="569" t="s">
        <v>3143</v>
      </c>
      <c r="AA185" s="569" t="s">
        <v>3143</v>
      </c>
      <c r="AB185" s="569" t="s">
        <v>3144</v>
      </c>
      <c r="AC185" s="569" t="s">
        <v>3144</v>
      </c>
      <c r="AD185" s="569" t="s">
        <v>3145</v>
      </c>
      <c r="AE185" s="569" t="s">
        <v>3146</v>
      </c>
      <c r="AF185" s="569" t="s">
        <v>3147</v>
      </c>
      <c r="AG185" s="569" t="s">
        <v>3148</v>
      </c>
      <c r="AH185" s="569" t="s">
        <v>3148</v>
      </c>
      <c r="AI185" s="569" t="s">
        <v>3149</v>
      </c>
      <c r="AJ185" s="568" t="s">
        <v>3150</v>
      </c>
      <c r="AK185" s="568" t="s">
        <v>3150</v>
      </c>
      <c r="AL185" s="568"/>
      <c r="AM185" s="568"/>
      <c r="AN185" s="21"/>
      <c r="AO185" s="17"/>
      <c r="AP185" s="9"/>
      <c r="AQ185" s="9"/>
      <c r="AR185" s="9"/>
    </row>
    <row r="186" spans="1:44" customFormat="1" ht="12" customHeight="1" outlineLevel="1" x14ac:dyDescent="0.35">
      <c r="A186" s="7"/>
      <c r="B186" s="8"/>
      <c r="C186" s="18"/>
      <c r="D186" s="18"/>
      <c r="E186" s="18"/>
      <c r="F186" s="18"/>
      <c r="G186" s="18"/>
      <c r="H186" s="18"/>
      <c r="I186" s="21"/>
      <c r="J186" s="569" t="s">
        <v>3151</v>
      </c>
      <c r="K186" s="569" t="s">
        <v>3151</v>
      </c>
      <c r="L186" s="569" t="s">
        <v>3151</v>
      </c>
      <c r="M186" s="569" t="s">
        <v>3151</v>
      </c>
      <c r="N186" s="569" t="s">
        <v>3151</v>
      </c>
      <c r="O186" s="569" t="s">
        <v>3151</v>
      </c>
      <c r="P186" s="569" t="s">
        <v>3151</v>
      </c>
      <c r="Q186" s="569" t="s">
        <v>3151</v>
      </c>
      <c r="R186" s="569" t="s">
        <v>3152</v>
      </c>
      <c r="S186" s="569" t="s">
        <v>3153</v>
      </c>
      <c r="T186" s="569" t="s">
        <v>3154</v>
      </c>
      <c r="U186" s="569" t="s">
        <v>3155</v>
      </c>
      <c r="V186" s="569" t="s">
        <v>3156</v>
      </c>
      <c r="W186" s="569" t="s">
        <v>3157</v>
      </c>
      <c r="X186" s="569" t="s">
        <v>3158</v>
      </c>
      <c r="Y186" s="569" t="s">
        <v>3159</v>
      </c>
      <c r="Z186" s="569" t="s">
        <v>3160</v>
      </c>
      <c r="AA186" s="569" t="s">
        <v>3151</v>
      </c>
      <c r="AB186" s="569" t="s">
        <v>3160</v>
      </c>
      <c r="AC186" s="569" t="s">
        <v>3151</v>
      </c>
      <c r="AD186" s="569" t="s">
        <v>3161</v>
      </c>
      <c r="AE186" s="569" t="s">
        <v>3161</v>
      </c>
      <c r="AF186" s="569" t="s">
        <v>3161</v>
      </c>
      <c r="AG186" s="569" t="s">
        <v>3161</v>
      </c>
      <c r="AH186" s="569" t="s">
        <v>3162</v>
      </c>
      <c r="AI186" s="569" t="s">
        <v>3161</v>
      </c>
      <c r="AJ186" s="569" t="s">
        <v>3163</v>
      </c>
      <c r="AK186" s="569" t="s">
        <v>3162</v>
      </c>
      <c r="AL186" s="568"/>
      <c r="AM186" s="568"/>
      <c r="AN186" s="21"/>
      <c r="AO186" s="17"/>
      <c r="AP186" s="9"/>
      <c r="AQ186" s="9"/>
      <c r="AR186" s="9"/>
    </row>
    <row r="187" spans="1:44" customFormat="1" ht="5.15" customHeight="1" outlineLevel="1" x14ac:dyDescent="0.35">
      <c r="A187" s="7"/>
      <c r="B187" s="8"/>
      <c r="C187" s="18"/>
      <c r="D187" s="18"/>
      <c r="E187" s="18"/>
      <c r="F187" s="18"/>
      <c r="G187" s="18"/>
      <c r="H187" s="18"/>
      <c r="I187" s="18"/>
      <c r="J187" s="569"/>
      <c r="K187" s="569"/>
      <c r="L187" s="569"/>
      <c r="M187" s="569"/>
      <c r="N187" s="569"/>
      <c r="O187" s="569"/>
      <c r="P187" s="569"/>
      <c r="Q187" s="569"/>
      <c r="R187" s="569"/>
      <c r="S187" s="569"/>
      <c r="T187" s="569"/>
      <c r="U187" s="569"/>
      <c r="V187" s="569"/>
      <c r="W187" s="569"/>
      <c r="X187" s="569"/>
      <c r="Y187" s="569"/>
      <c r="Z187" s="569"/>
      <c r="AA187" s="569"/>
      <c r="AB187" s="569"/>
      <c r="AC187" s="569"/>
      <c r="AD187" s="569"/>
      <c r="AE187" s="569"/>
      <c r="AF187" s="569"/>
      <c r="AG187" s="569"/>
      <c r="AH187" s="569"/>
      <c r="AI187" s="569"/>
      <c r="AJ187" s="569"/>
      <c r="AK187" s="569"/>
      <c r="AL187" s="569"/>
      <c r="AM187" s="569"/>
      <c r="AN187" s="21"/>
      <c r="AO187" s="17"/>
      <c r="AP187" s="9"/>
      <c r="AQ187" s="9"/>
      <c r="AR187" s="9"/>
    </row>
    <row r="188" spans="1:44" customFormat="1" ht="5.15" customHeight="1" outlineLevel="1" x14ac:dyDescent="0.35">
      <c r="A188" s="7"/>
      <c r="B188" s="8"/>
      <c r="C188" s="18"/>
      <c r="D188" s="18"/>
      <c r="E188" s="18"/>
      <c r="F188" s="24"/>
      <c r="G188" s="25"/>
      <c r="H188" s="25"/>
      <c r="I188" s="512"/>
      <c r="J188" s="513"/>
      <c r="K188" s="513"/>
      <c r="L188" s="513"/>
      <c r="M188" s="513"/>
      <c r="N188" s="513"/>
      <c r="O188" s="513"/>
      <c r="P188" s="513"/>
      <c r="Q188" s="513"/>
      <c r="R188" s="513"/>
      <c r="S188" s="513"/>
      <c r="T188" s="513"/>
      <c r="U188" s="513"/>
      <c r="V188" s="513"/>
      <c r="W188" s="513"/>
      <c r="X188" s="513"/>
      <c r="Y188" s="513"/>
      <c r="Z188" s="513"/>
      <c r="AA188" s="513"/>
      <c r="AB188" s="513"/>
      <c r="AC188" s="513"/>
      <c r="AD188" s="513"/>
      <c r="AE188" s="513"/>
      <c r="AF188" s="513"/>
      <c r="AG188" s="513"/>
      <c r="AH188" s="513"/>
      <c r="AI188" s="513"/>
      <c r="AJ188" s="513"/>
      <c r="AK188" s="513"/>
      <c r="AL188" s="513"/>
      <c r="AM188" s="513"/>
      <c r="AN188" s="27"/>
      <c r="AO188" s="17"/>
      <c r="AP188" s="9"/>
      <c r="AQ188" s="9"/>
      <c r="AR188" s="9"/>
    </row>
    <row r="189" spans="1:44" customFormat="1" x14ac:dyDescent="0.35">
      <c r="A189" s="7"/>
      <c r="B189" s="8"/>
      <c r="C189" s="18"/>
      <c r="D189" s="18"/>
      <c r="E189" s="18"/>
      <c r="F189" s="24"/>
      <c r="G189" s="570" t="s">
        <v>3164</v>
      </c>
      <c r="H189" s="25"/>
      <c r="I189" s="512"/>
      <c r="J189" s="513"/>
      <c r="K189" s="513"/>
      <c r="L189" s="513"/>
      <c r="M189" s="513"/>
      <c r="N189" s="513"/>
      <c r="O189" s="513"/>
      <c r="P189" s="513"/>
      <c r="Q189" s="513"/>
      <c r="R189" s="513"/>
      <c r="S189" s="513"/>
      <c r="T189" s="513"/>
      <c r="U189" s="513"/>
      <c r="V189" s="513"/>
      <c r="W189" s="513"/>
      <c r="X189" s="513"/>
      <c r="Y189" s="513"/>
      <c r="Z189" s="513"/>
      <c r="AA189" s="513"/>
      <c r="AB189" s="513"/>
      <c r="AC189" s="513"/>
      <c r="AD189" s="513"/>
      <c r="AE189" s="513"/>
      <c r="AF189" s="513"/>
      <c r="AG189" s="513"/>
      <c r="AH189" s="513"/>
      <c r="AI189" s="513"/>
      <c r="AJ189" s="513"/>
      <c r="AK189" s="513"/>
      <c r="AL189" s="513"/>
      <c r="AM189" s="513"/>
      <c r="AN189" s="27"/>
      <c r="AO189" s="17"/>
      <c r="AP189" s="9"/>
      <c r="AQ189" s="9"/>
      <c r="AR189" s="9"/>
    </row>
    <row r="190" spans="1:44" customFormat="1" outlineLevel="1" x14ac:dyDescent="0.35">
      <c r="A190" s="7"/>
      <c r="B190" s="8"/>
      <c r="C190" s="18"/>
      <c r="D190" s="18"/>
      <c r="E190" s="18"/>
      <c r="F190" s="24"/>
      <c r="G190" s="25"/>
      <c r="H190" s="25" t="s">
        <v>3165</v>
      </c>
      <c r="I190" s="512"/>
      <c r="J190" s="571" t="b">
        <v>1</v>
      </c>
      <c r="K190" s="571" t="b">
        <v>1</v>
      </c>
      <c r="L190" s="571" t="b">
        <v>1</v>
      </c>
      <c r="M190" s="571" t="b">
        <v>1</v>
      </c>
      <c r="N190" s="571" t="b">
        <v>1</v>
      </c>
      <c r="O190" s="571" t="b">
        <v>1</v>
      </c>
      <c r="P190" s="571" t="b">
        <v>1</v>
      </c>
      <c r="Q190" s="571" t="b">
        <v>1</v>
      </c>
      <c r="R190" s="571" t="b">
        <v>0</v>
      </c>
      <c r="S190" s="571" t="b">
        <v>1</v>
      </c>
      <c r="T190" s="571" t="b">
        <v>0</v>
      </c>
      <c r="U190" s="571" t="b">
        <v>1</v>
      </c>
      <c r="V190" s="571" t="b">
        <v>0</v>
      </c>
      <c r="W190" s="571" t="b">
        <v>1</v>
      </c>
      <c r="X190" s="571" t="b">
        <v>0</v>
      </c>
      <c r="Y190" s="571" t="b">
        <v>1</v>
      </c>
      <c r="Z190" s="571" t="b">
        <v>0</v>
      </c>
      <c r="AA190" s="571" t="b">
        <v>1</v>
      </c>
      <c r="AB190" s="571" t="b">
        <v>0</v>
      </c>
      <c r="AC190" s="571" t="b">
        <v>1</v>
      </c>
      <c r="AD190" s="571" t="b">
        <v>1</v>
      </c>
      <c r="AE190" s="571" t="b">
        <v>1</v>
      </c>
      <c r="AF190" s="571" t="b">
        <v>1</v>
      </c>
      <c r="AG190" s="571" t="b">
        <v>1</v>
      </c>
      <c r="AH190" s="571" t="b">
        <v>1</v>
      </c>
      <c r="AI190" s="571" t="b">
        <v>1</v>
      </c>
      <c r="AJ190" s="571" t="b">
        <v>1</v>
      </c>
      <c r="AK190" s="571" t="b">
        <v>1</v>
      </c>
      <c r="AL190" s="513"/>
      <c r="AM190" s="513"/>
      <c r="AN190" s="27"/>
      <c r="AO190" s="17"/>
      <c r="AP190" s="9"/>
      <c r="AQ190" s="9"/>
      <c r="AR190" s="9"/>
    </row>
    <row r="191" spans="1:44" customFormat="1" outlineLevel="1" x14ac:dyDescent="0.35">
      <c r="A191" s="7"/>
      <c r="B191" s="8"/>
      <c r="C191" s="18"/>
      <c r="D191" s="18"/>
      <c r="E191" s="18"/>
      <c r="F191" s="24"/>
      <c r="G191" s="25"/>
      <c r="H191" s="25"/>
      <c r="I191" s="512"/>
      <c r="J191" s="512"/>
      <c r="K191" s="512"/>
      <c r="L191" s="512"/>
      <c r="M191" s="512"/>
      <c r="N191" s="512"/>
      <c r="O191" s="512"/>
      <c r="P191" s="512"/>
      <c r="Q191" s="512"/>
      <c r="R191" s="512"/>
      <c r="S191" s="512"/>
      <c r="T191" s="512"/>
      <c r="U191" s="512"/>
      <c r="V191" s="512"/>
      <c r="W191" s="512"/>
      <c r="X191" s="512"/>
      <c r="Y191" s="512"/>
      <c r="Z191" s="512"/>
      <c r="AA191" s="512"/>
      <c r="AB191" s="512"/>
      <c r="AC191" s="512"/>
      <c r="AD191" s="512"/>
      <c r="AE191" s="512"/>
      <c r="AF191" s="512"/>
      <c r="AG191" s="512"/>
      <c r="AH191" s="512"/>
      <c r="AI191" s="512"/>
      <c r="AJ191" s="512"/>
      <c r="AK191" s="512"/>
      <c r="AL191" s="513"/>
      <c r="AM191" s="513"/>
      <c r="AN191" s="27"/>
      <c r="AO191" s="17"/>
      <c r="AP191" s="9"/>
      <c r="AQ191" s="9"/>
      <c r="AR191" s="9"/>
    </row>
    <row r="192" spans="1:44" customFormat="1" outlineLevel="1" x14ac:dyDescent="0.35">
      <c r="A192" s="7"/>
      <c r="B192" s="8"/>
      <c r="C192" s="18"/>
      <c r="D192" s="18"/>
      <c r="E192" s="18"/>
      <c r="F192" s="24"/>
      <c r="G192" s="25"/>
      <c r="H192" s="25" t="s">
        <v>3166</v>
      </c>
      <c r="I192" s="512"/>
      <c r="J192" s="572">
        <v>42402</v>
      </c>
      <c r="K192" s="572">
        <v>42374</v>
      </c>
      <c r="L192" s="572">
        <v>39476</v>
      </c>
      <c r="M192" s="572">
        <v>39476</v>
      </c>
      <c r="N192" s="572">
        <v>41687</v>
      </c>
      <c r="O192" s="572">
        <v>42045</v>
      </c>
      <c r="P192" s="572">
        <v>42045</v>
      </c>
      <c r="Q192" s="572">
        <v>42346</v>
      </c>
      <c r="R192" s="572">
        <v>42347</v>
      </c>
      <c r="S192" s="572">
        <v>42347</v>
      </c>
      <c r="T192" s="572">
        <v>42332</v>
      </c>
      <c r="U192" s="572">
        <v>42332</v>
      </c>
      <c r="V192" s="572">
        <v>42430</v>
      </c>
      <c r="W192" s="572">
        <v>42430</v>
      </c>
      <c r="X192" s="572">
        <v>43080</v>
      </c>
      <c r="Y192" s="572">
        <v>43080</v>
      </c>
      <c r="Z192" s="572">
        <v>43089</v>
      </c>
      <c r="AA192" s="572">
        <v>43089</v>
      </c>
      <c r="AB192" s="572">
        <v>43082</v>
      </c>
      <c r="AC192" s="572">
        <v>43082</v>
      </c>
      <c r="AD192" s="572">
        <v>45258</v>
      </c>
      <c r="AE192" s="572">
        <v>45230</v>
      </c>
      <c r="AF192" s="572">
        <v>45246</v>
      </c>
      <c r="AG192" s="572">
        <v>45233</v>
      </c>
      <c r="AH192" s="572">
        <v>45233</v>
      </c>
      <c r="AI192" s="572">
        <v>45250</v>
      </c>
      <c r="AJ192" s="572">
        <v>43820</v>
      </c>
      <c r="AK192" s="572">
        <f>AVERAGE(AF192:AG192)</f>
        <v>45239.5</v>
      </c>
      <c r="AL192" s="513"/>
      <c r="AM192" s="513"/>
      <c r="AN192" s="27"/>
      <c r="AO192" s="17"/>
      <c r="AP192" s="9"/>
      <c r="AQ192" s="9"/>
      <c r="AR192" s="9"/>
    </row>
    <row r="193" spans="1:44" customFormat="1" outlineLevel="1" x14ac:dyDescent="0.35">
      <c r="A193" s="7"/>
      <c r="B193" s="8"/>
      <c r="C193" s="18"/>
      <c r="D193" s="18"/>
      <c r="E193" s="18"/>
      <c r="F193" s="24"/>
      <c r="G193" s="25"/>
      <c r="H193" s="25" t="s">
        <v>3166</v>
      </c>
      <c r="I193" s="512"/>
      <c r="J193" s="398">
        <f>MIN(364,INT((J192 - DATE(YEAR(J192),1,1))))</f>
        <v>32</v>
      </c>
      <c r="K193" s="398">
        <f t="shared" ref="K193:AI193" si="6">MIN(364,INT((K192 - DATE(YEAR(K192),1,1))))</f>
        <v>4</v>
      </c>
      <c r="L193" s="398">
        <f t="shared" si="6"/>
        <v>28</v>
      </c>
      <c r="M193" s="398">
        <f t="shared" si="6"/>
        <v>28</v>
      </c>
      <c r="N193" s="398">
        <f t="shared" si="6"/>
        <v>47</v>
      </c>
      <c r="O193" s="398">
        <f t="shared" si="6"/>
        <v>40</v>
      </c>
      <c r="P193" s="398">
        <f t="shared" si="6"/>
        <v>40</v>
      </c>
      <c r="Q193" s="398">
        <f t="shared" si="6"/>
        <v>341</v>
      </c>
      <c r="R193" s="398">
        <f t="shared" si="6"/>
        <v>342</v>
      </c>
      <c r="S193" s="398">
        <f t="shared" si="6"/>
        <v>342</v>
      </c>
      <c r="T193" s="398">
        <f t="shared" si="6"/>
        <v>327</v>
      </c>
      <c r="U193" s="398">
        <f t="shared" si="6"/>
        <v>327</v>
      </c>
      <c r="V193" s="398">
        <f t="shared" si="6"/>
        <v>60</v>
      </c>
      <c r="W193" s="398">
        <f t="shared" si="6"/>
        <v>60</v>
      </c>
      <c r="X193" s="398">
        <f t="shared" si="6"/>
        <v>344</v>
      </c>
      <c r="Y193" s="398">
        <f t="shared" si="6"/>
        <v>344</v>
      </c>
      <c r="Z193" s="398">
        <f t="shared" si="6"/>
        <v>353</v>
      </c>
      <c r="AA193" s="398">
        <f t="shared" si="6"/>
        <v>353</v>
      </c>
      <c r="AB193" s="398">
        <f t="shared" si="6"/>
        <v>346</v>
      </c>
      <c r="AC193" s="398">
        <f t="shared" si="6"/>
        <v>346</v>
      </c>
      <c r="AD193" s="398">
        <f t="shared" si="6"/>
        <v>331</v>
      </c>
      <c r="AE193" s="398">
        <f t="shared" si="6"/>
        <v>303</v>
      </c>
      <c r="AF193" s="398">
        <f t="shared" si="6"/>
        <v>319</v>
      </c>
      <c r="AG193" s="398">
        <f t="shared" si="6"/>
        <v>306</v>
      </c>
      <c r="AH193" s="398">
        <f t="shared" si="6"/>
        <v>306</v>
      </c>
      <c r="AI193" s="398">
        <f t="shared" si="6"/>
        <v>323</v>
      </c>
      <c r="AJ193" s="398">
        <f>MIN(364,INT((AJ192 - DATE(YEAR(AJ192),1,1))))</f>
        <v>354</v>
      </c>
      <c r="AK193" s="398">
        <f t="shared" ref="AK193" si="7">MIN(364,INT((AK192 - DATE(YEAR(AK192),1,1))))</f>
        <v>312</v>
      </c>
      <c r="AL193" s="513"/>
      <c r="AM193" s="513"/>
      <c r="AN193" s="27"/>
      <c r="AO193" s="17"/>
      <c r="AP193" s="9"/>
      <c r="AQ193" s="9"/>
      <c r="AR193" s="9"/>
    </row>
    <row r="194" spans="1:44" customFormat="1" ht="12" customHeight="1" outlineLevel="1" x14ac:dyDescent="0.35">
      <c r="A194" s="7"/>
      <c r="B194" s="8"/>
      <c r="C194" s="18"/>
      <c r="D194" s="18"/>
      <c r="E194" s="18"/>
      <c r="F194" s="24"/>
      <c r="G194" s="28"/>
      <c r="H194" s="25" t="s">
        <v>3167</v>
      </c>
      <c r="I194" s="512"/>
      <c r="J194" s="573">
        <f>J192-DATE(YEAR(J192)-1,12,1)</f>
        <v>63</v>
      </c>
      <c r="K194" s="573">
        <f t="shared" ref="K194:P194" si="8">K192-DATE(YEAR(K192)-1,12,1)</f>
        <v>35</v>
      </c>
      <c r="L194" s="573">
        <f t="shared" si="8"/>
        <v>59</v>
      </c>
      <c r="M194" s="573">
        <f t="shared" si="8"/>
        <v>59</v>
      </c>
      <c r="N194" s="573">
        <f t="shared" si="8"/>
        <v>78</v>
      </c>
      <c r="O194" s="573">
        <f t="shared" si="8"/>
        <v>71</v>
      </c>
      <c r="P194" s="573">
        <f t="shared" si="8"/>
        <v>71</v>
      </c>
      <c r="Q194" s="573">
        <f>Q192-DATE(YEAR(Q192),12,1)</f>
        <v>7</v>
      </c>
      <c r="R194" s="573">
        <v>8</v>
      </c>
      <c r="S194" s="573">
        <v>8</v>
      </c>
      <c r="T194" s="573">
        <v>0</v>
      </c>
      <c r="U194" s="573">
        <v>0</v>
      </c>
      <c r="V194" s="573">
        <f t="shared" ref="V194:W194" si="9">V192-DATE(2015,12,1)</f>
        <v>91</v>
      </c>
      <c r="W194" s="573">
        <f t="shared" si="9"/>
        <v>91</v>
      </c>
      <c r="X194" s="573">
        <v>11</v>
      </c>
      <c r="Y194" s="573">
        <v>11</v>
      </c>
      <c r="Z194" s="573">
        <v>20</v>
      </c>
      <c r="AA194" s="573">
        <v>20</v>
      </c>
      <c r="AB194" s="573">
        <v>13</v>
      </c>
      <c r="AC194" s="573">
        <v>13</v>
      </c>
      <c r="AD194" s="573">
        <v>0</v>
      </c>
      <c r="AE194" s="573">
        <v>0</v>
      </c>
      <c r="AF194" s="573">
        <v>0</v>
      </c>
      <c r="AG194" s="573">
        <v>0</v>
      </c>
      <c r="AH194" s="573">
        <v>0</v>
      </c>
      <c r="AI194" s="573">
        <v>20</v>
      </c>
      <c r="AJ194" s="573">
        <v>20</v>
      </c>
      <c r="AK194" s="574">
        <f>AVERAGE(AE194:AF194)</f>
        <v>0</v>
      </c>
      <c r="AL194" s="515"/>
      <c r="AM194" s="515"/>
      <c r="AN194" s="27"/>
      <c r="AO194" s="17"/>
      <c r="AP194" s="9"/>
      <c r="AQ194" s="9"/>
      <c r="AR194" s="9"/>
    </row>
    <row r="195" spans="1:44" customFormat="1" outlineLevel="1" x14ac:dyDescent="0.35">
      <c r="A195" s="7"/>
      <c r="B195" s="8"/>
      <c r="C195" s="18"/>
      <c r="D195" s="18"/>
      <c r="E195" s="18"/>
      <c r="F195" s="24"/>
      <c r="G195" s="25"/>
      <c r="H195" s="25" t="s">
        <v>3168</v>
      </c>
      <c r="I195" s="512"/>
      <c r="J195" s="571">
        <v>9</v>
      </c>
      <c r="K195" s="571">
        <v>9</v>
      </c>
      <c r="L195" s="571">
        <v>9</v>
      </c>
      <c r="M195" s="571">
        <v>9</v>
      </c>
      <c r="N195" s="571">
        <v>9</v>
      </c>
      <c r="O195" s="571">
        <v>9</v>
      </c>
      <c r="P195" s="571">
        <v>9</v>
      </c>
      <c r="Q195" s="571">
        <v>9</v>
      </c>
      <c r="R195" s="571">
        <v>9</v>
      </c>
      <c r="S195" s="571">
        <v>9</v>
      </c>
      <c r="T195" s="571">
        <v>9</v>
      </c>
      <c r="U195" s="571">
        <v>9</v>
      </c>
      <c r="V195" s="571">
        <v>9</v>
      </c>
      <c r="W195" s="571">
        <v>9</v>
      </c>
      <c r="X195" s="571">
        <v>9</v>
      </c>
      <c r="Y195" s="571">
        <v>9</v>
      </c>
      <c r="Z195" s="571">
        <v>9</v>
      </c>
      <c r="AA195" s="571">
        <v>9</v>
      </c>
      <c r="AB195" s="571">
        <v>9</v>
      </c>
      <c r="AC195" s="571">
        <v>9</v>
      </c>
      <c r="AD195" s="571">
        <v>20</v>
      </c>
      <c r="AE195" s="571">
        <v>20</v>
      </c>
      <c r="AF195" s="571">
        <v>20</v>
      </c>
      <c r="AG195" s="571">
        <v>20</v>
      </c>
      <c r="AH195" s="571">
        <v>20</v>
      </c>
      <c r="AI195" s="571">
        <v>20</v>
      </c>
      <c r="AJ195" s="571">
        <v>9</v>
      </c>
      <c r="AK195" s="575">
        <f>INT(AVERAGE(AE195:AF195))</f>
        <v>20</v>
      </c>
      <c r="AL195" s="513"/>
      <c r="AM195" s="513"/>
      <c r="AN195" s="27"/>
      <c r="AO195" s="17"/>
      <c r="AP195" s="9"/>
      <c r="AQ195" s="9"/>
      <c r="AR195" s="9"/>
    </row>
    <row r="196" spans="1:44" customFormat="1" outlineLevel="1" x14ac:dyDescent="0.35">
      <c r="A196" s="7"/>
      <c r="B196" s="8"/>
      <c r="C196" s="18"/>
      <c r="D196" s="18"/>
      <c r="E196" s="18"/>
      <c r="F196" s="24"/>
      <c r="G196" s="25"/>
      <c r="H196" s="25"/>
      <c r="I196" s="512"/>
      <c r="J196" s="513"/>
      <c r="K196" s="513"/>
      <c r="L196" s="513"/>
      <c r="M196" s="513"/>
      <c r="N196" s="513"/>
      <c r="O196" s="513"/>
      <c r="P196" s="513"/>
      <c r="Q196" s="513"/>
      <c r="R196" s="513"/>
      <c r="S196" s="513"/>
      <c r="T196" s="513"/>
      <c r="U196" s="513"/>
      <c r="V196" s="513"/>
      <c r="W196" s="513"/>
      <c r="X196" s="513"/>
      <c r="Y196" s="513"/>
      <c r="Z196" s="513"/>
      <c r="AA196" s="513"/>
      <c r="AB196" s="513"/>
      <c r="AC196" s="513"/>
      <c r="AD196" s="513"/>
      <c r="AE196" s="513"/>
      <c r="AF196" s="513"/>
      <c r="AG196" s="513"/>
      <c r="AH196" s="513"/>
      <c r="AI196" s="513"/>
      <c r="AJ196" s="513"/>
      <c r="AK196" s="513"/>
      <c r="AL196" s="513"/>
      <c r="AM196" s="513"/>
      <c r="AN196" s="27"/>
      <c r="AO196" s="17"/>
      <c r="AP196" s="9"/>
      <c r="AQ196" s="9"/>
      <c r="AR196" s="9"/>
    </row>
    <row r="197" spans="1:44" customFormat="1" outlineLevel="1" x14ac:dyDescent="0.35">
      <c r="A197" s="7"/>
      <c r="B197" s="8"/>
      <c r="C197" s="18"/>
      <c r="D197" s="18"/>
      <c r="E197" s="18"/>
      <c r="F197" s="24"/>
      <c r="G197" s="25"/>
      <c r="H197" s="25" t="s">
        <v>3169</v>
      </c>
      <c r="J197" s="576">
        <v>2.16</v>
      </c>
      <c r="K197" s="576">
        <v>3.16</v>
      </c>
      <c r="L197" s="576">
        <v>1.9799999999999989</v>
      </c>
      <c r="M197" s="576">
        <v>3.96</v>
      </c>
      <c r="N197" s="576">
        <v>2.36</v>
      </c>
      <c r="O197" s="576">
        <v>2.4300000000000002</v>
      </c>
      <c r="P197" s="576">
        <v>2.4699999999999998</v>
      </c>
      <c r="Q197" s="576">
        <v>2.2000000000000002</v>
      </c>
      <c r="R197" s="577">
        <v>12</v>
      </c>
      <c r="S197" s="577">
        <v>12</v>
      </c>
      <c r="T197" s="577">
        <v>9</v>
      </c>
      <c r="U197" s="577">
        <v>9</v>
      </c>
      <c r="V197" s="577">
        <v>7</v>
      </c>
      <c r="W197" s="577">
        <v>7</v>
      </c>
      <c r="X197" s="577">
        <v>7.8</v>
      </c>
      <c r="Y197" s="577">
        <v>5.6</v>
      </c>
      <c r="Z197" s="577">
        <v>8.9</v>
      </c>
      <c r="AA197" s="577">
        <v>8.9</v>
      </c>
      <c r="AB197" s="577">
        <v>4.8</v>
      </c>
      <c r="AC197" s="577">
        <v>4.8</v>
      </c>
      <c r="AD197" s="577">
        <v>36</v>
      </c>
      <c r="AE197" s="577">
        <v>41</v>
      </c>
      <c r="AF197" s="577">
        <v>32</v>
      </c>
      <c r="AG197" s="577">
        <v>23</v>
      </c>
      <c r="AH197" s="577">
        <v>23</v>
      </c>
      <c r="AI197" s="577">
        <v>25</v>
      </c>
      <c r="AJ197" s="577">
        <v>7.88</v>
      </c>
      <c r="AK197" s="578">
        <f>AVERAGE(AE197:AF197)</f>
        <v>36.5</v>
      </c>
      <c r="AL197" s="513"/>
      <c r="AM197" s="513"/>
      <c r="AN197" s="27"/>
      <c r="AO197" s="17"/>
      <c r="AP197" s="9"/>
      <c r="AQ197" s="9"/>
      <c r="AR197" s="9"/>
    </row>
    <row r="198" spans="1:44" customFormat="1" outlineLevel="1" x14ac:dyDescent="0.35">
      <c r="A198" s="7"/>
      <c r="B198" s="8"/>
      <c r="C198" s="18"/>
      <c r="D198" s="18"/>
      <c r="E198" s="18"/>
      <c r="F198" s="24"/>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513"/>
      <c r="AM198" s="513"/>
      <c r="AN198" s="27"/>
      <c r="AO198" s="17"/>
      <c r="AP198" s="9"/>
      <c r="AQ198" s="9"/>
      <c r="AR198" s="9"/>
    </row>
    <row r="199" spans="1:44" customFormat="1" outlineLevel="1" x14ac:dyDescent="0.35">
      <c r="A199" s="7"/>
      <c r="B199" s="8"/>
      <c r="C199" s="18"/>
      <c r="D199" s="18"/>
      <c r="E199" s="18"/>
      <c r="F199" s="24"/>
      <c r="G199" s="25"/>
      <c r="H199" s="25" t="s">
        <v>3170</v>
      </c>
      <c r="I199" s="25"/>
      <c r="J199" s="577" t="s">
        <v>2343</v>
      </c>
      <c r="K199" s="577" t="s">
        <v>2343</v>
      </c>
      <c r="L199" s="577" t="s">
        <v>2343</v>
      </c>
      <c r="M199" s="577" t="s">
        <v>2343</v>
      </c>
      <c r="N199" s="577" t="s">
        <v>2343</v>
      </c>
      <c r="O199" s="577" t="s">
        <v>2343</v>
      </c>
      <c r="P199" s="577" t="s">
        <v>2343</v>
      </c>
      <c r="Q199" s="577" t="s">
        <v>2343</v>
      </c>
      <c r="R199" s="577" t="s">
        <v>3171</v>
      </c>
      <c r="S199" s="577" t="s">
        <v>2343</v>
      </c>
      <c r="T199" s="577" t="s">
        <v>3171</v>
      </c>
      <c r="U199" s="577" t="s">
        <v>2343</v>
      </c>
      <c r="V199" s="577" t="s">
        <v>3171</v>
      </c>
      <c r="W199" s="577" t="s">
        <v>2343</v>
      </c>
      <c r="X199" s="577" t="s">
        <v>3171</v>
      </c>
      <c r="Y199" s="577" t="s">
        <v>2343</v>
      </c>
      <c r="Z199" s="577" t="s">
        <v>3171</v>
      </c>
      <c r="AA199" s="577" t="s">
        <v>2343</v>
      </c>
      <c r="AB199" s="577" t="s">
        <v>3171</v>
      </c>
      <c r="AC199" s="577" t="s">
        <v>2343</v>
      </c>
      <c r="AD199" s="577" t="s">
        <v>2345</v>
      </c>
      <c r="AE199" s="577" t="s">
        <v>2345</v>
      </c>
      <c r="AF199" s="577" t="s">
        <v>2345</v>
      </c>
      <c r="AG199" s="577" t="s">
        <v>2345</v>
      </c>
      <c r="AH199" s="577" t="s">
        <v>2345</v>
      </c>
      <c r="AI199" s="577" t="s">
        <v>2345</v>
      </c>
      <c r="AJ199" s="577" t="s">
        <v>2343</v>
      </c>
      <c r="AK199" s="577" t="s">
        <v>2345</v>
      </c>
      <c r="AL199" s="513"/>
      <c r="AM199" s="513"/>
      <c r="AN199" s="27"/>
      <c r="AO199" s="17"/>
      <c r="AP199" s="9"/>
      <c r="AQ199" s="9"/>
      <c r="AR199" s="9"/>
    </row>
    <row r="200" spans="1:44" customFormat="1" outlineLevel="1" x14ac:dyDescent="0.35">
      <c r="A200" s="7"/>
      <c r="B200" s="8"/>
      <c r="C200" s="18"/>
      <c r="D200" s="18"/>
      <c r="E200" s="18"/>
      <c r="F200" s="24"/>
      <c r="G200" s="25"/>
      <c r="H200" s="25" t="s">
        <v>3172</v>
      </c>
      <c r="I200" s="25"/>
      <c r="J200" s="577" t="s">
        <v>5</v>
      </c>
      <c r="K200" s="577" t="s">
        <v>5</v>
      </c>
      <c r="L200" s="577" t="s">
        <v>5</v>
      </c>
      <c r="M200" s="577" t="s">
        <v>5</v>
      </c>
      <c r="N200" s="577" t="s">
        <v>5</v>
      </c>
      <c r="O200" s="577" t="s">
        <v>5</v>
      </c>
      <c r="P200" s="577" t="s">
        <v>5</v>
      </c>
      <c r="Q200" s="577" t="s">
        <v>5</v>
      </c>
      <c r="R200" s="579" t="s">
        <v>4</v>
      </c>
      <c r="S200" s="579" t="s">
        <v>4</v>
      </c>
      <c r="T200" s="579" t="s">
        <v>8</v>
      </c>
      <c r="U200" s="579" t="s">
        <v>8</v>
      </c>
      <c r="V200" s="579" t="s">
        <v>5</v>
      </c>
      <c r="W200" s="579" t="s">
        <v>5</v>
      </c>
      <c r="X200" s="579" t="s">
        <v>8</v>
      </c>
      <c r="Y200" s="579" t="s">
        <v>8</v>
      </c>
      <c r="Z200" s="579" t="s">
        <v>5</v>
      </c>
      <c r="AA200" s="579" t="s">
        <v>5</v>
      </c>
      <c r="AB200" s="579" t="s">
        <v>5</v>
      </c>
      <c r="AC200" s="579" t="s">
        <v>5</v>
      </c>
      <c r="AD200" s="577" t="s">
        <v>7</v>
      </c>
      <c r="AE200" s="577" t="s">
        <v>7</v>
      </c>
      <c r="AF200" s="577" t="s">
        <v>7</v>
      </c>
      <c r="AG200" s="577" t="s">
        <v>7</v>
      </c>
      <c r="AH200" s="577" t="s">
        <v>79</v>
      </c>
      <c r="AI200" s="577" t="s">
        <v>7</v>
      </c>
      <c r="AJ200" s="577" t="s">
        <v>7</v>
      </c>
      <c r="AK200" s="577" t="s">
        <v>79</v>
      </c>
      <c r="AL200" s="513"/>
      <c r="AM200" s="513"/>
      <c r="AN200" s="27"/>
      <c r="AO200" s="17"/>
      <c r="AP200" s="9"/>
      <c r="AQ200" s="9"/>
      <c r="AR200" s="9"/>
    </row>
    <row r="201" spans="1:44" customFormat="1" ht="14.5" customHeight="1" outlineLevel="1" x14ac:dyDescent="0.35">
      <c r="A201" s="7"/>
      <c r="B201" s="8"/>
      <c r="C201" s="18"/>
      <c r="D201" s="18"/>
      <c r="E201" s="18"/>
      <c r="F201" s="24"/>
      <c r="G201" s="25"/>
      <c r="H201" s="580" t="s">
        <v>3173</v>
      </c>
      <c r="I201" s="25"/>
      <c r="J201" s="581">
        <v>2520</v>
      </c>
      <c r="K201" s="581">
        <v>1470</v>
      </c>
      <c r="L201" s="581">
        <v>1660</v>
      </c>
      <c r="M201" s="581">
        <v>1660</v>
      </c>
      <c r="N201" s="581">
        <v>2690</v>
      </c>
      <c r="O201" s="581">
        <v>2110</v>
      </c>
      <c r="P201" s="581">
        <v>2110</v>
      </c>
      <c r="Q201" s="581">
        <v>2520</v>
      </c>
      <c r="R201" s="581">
        <v>3000</v>
      </c>
      <c r="S201" s="581">
        <v>3000</v>
      </c>
      <c r="T201" s="581">
        <v>2000</v>
      </c>
      <c r="U201" s="581">
        <v>2000</v>
      </c>
      <c r="V201" s="581">
        <v>2100</v>
      </c>
      <c r="W201" s="581">
        <v>2100</v>
      </c>
      <c r="X201" s="581">
        <v>1600</v>
      </c>
      <c r="Y201" s="581">
        <v>1150</v>
      </c>
      <c r="Z201" s="581">
        <v>3000</v>
      </c>
      <c r="AA201" s="581">
        <v>3000</v>
      </c>
      <c r="AB201" s="581">
        <v>3000</v>
      </c>
      <c r="AC201" s="581">
        <v>3000</v>
      </c>
      <c r="AD201" s="581"/>
      <c r="AE201" s="581"/>
      <c r="AF201" s="581"/>
      <c r="AG201" s="581"/>
      <c r="AH201" s="581"/>
      <c r="AI201" s="581"/>
      <c r="AJ201" s="581">
        <v>2000</v>
      </c>
      <c r="AK201" s="581"/>
      <c r="AL201" s="513"/>
      <c r="AM201" s="513"/>
      <c r="AN201" s="27"/>
      <c r="AO201" s="17"/>
      <c r="AP201" s="9"/>
      <c r="AQ201" s="9"/>
      <c r="AR201" s="9"/>
    </row>
    <row r="202" spans="1:44" customFormat="1" outlineLevel="1" x14ac:dyDescent="0.35">
      <c r="A202" s="7"/>
      <c r="B202" s="8"/>
      <c r="C202" s="18"/>
      <c r="D202" s="18"/>
      <c r="E202" s="18"/>
      <c r="F202" s="24"/>
      <c r="G202" s="25"/>
      <c r="H202" s="582" t="s">
        <v>3174</v>
      </c>
      <c r="I202" s="583"/>
      <c r="J202" s="584">
        <f>J201/VLOOKUP(J$200,$G$120:$H$137,2)</f>
        <v>2680.8510638297876</v>
      </c>
      <c r="K202" s="584">
        <f t="shared" ref="K202:S202" si="10">K201/VLOOKUP(K$200,$G$120:$H$137,2)</f>
        <v>1563.8297872340427</v>
      </c>
      <c r="L202" s="584">
        <f t="shared" si="10"/>
        <v>1765.9574468085107</v>
      </c>
      <c r="M202" s="584">
        <f t="shared" si="10"/>
        <v>1765.9574468085107</v>
      </c>
      <c r="N202" s="584">
        <f t="shared" si="10"/>
        <v>2861.7021276595747</v>
      </c>
      <c r="O202" s="584">
        <f t="shared" si="10"/>
        <v>2244.6808510638298</v>
      </c>
      <c r="P202" s="584">
        <f t="shared" si="10"/>
        <v>2244.6808510638298</v>
      </c>
      <c r="Q202" s="584">
        <f t="shared" si="10"/>
        <v>2680.8510638297876</v>
      </c>
      <c r="R202" s="584">
        <f t="shared" si="10"/>
        <v>3191.489361702128</v>
      </c>
      <c r="S202" s="584">
        <f t="shared" si="10"/>
        <v>3191.489361702128</v>
      </c>
      <c r="T202" s="584">
        <f>T201/VLOOKUP(T$200,$G$120:$H$137,2)</f>
        <v>2061.855670103093</v>
      </c>
      <c r="U202" s="584">
        <f t="shared" ref="U202:AC202" si="11">U201/VLOOKUP(U$200,$G$120:$H$137,2)</f>
        <v>2061.855670103093</v>
      </c>
      <c r="V202" s="584">
        <f t="shared" si="11"/>
        <v>2234.0425531914893</v>
      </c>
      <c r="W202" s="584">
        <f t="shared" si="11"/>
        <v>2234.0425531914893</v>
      </c>
      <c r="X202" s="584">
        <f t="shared" si="11"/>
        <v>1649.4845360824743</v>
      </c>
      <c r="Y202" s="584">
        <f t="shared" si="11"/>
        <v>1185.5670103092784</v>
      </c>
      <c r="Z202" s="584">
        <f t="shared" si="11"/>
        <v>3191.489361702128</v>
      </c>
      <c r="AA202" s="584">
        <f t="shared" si="11"/>
        <v>3191.489361702128</v>
      </c>
      <c r="AB202" s="584">
        <f t="shared" si="11"/>
        <v>3191.489361702128</v>
      </c>
      <c r="AC202" s="584">
        <f t="shared" si="11"/>
        <v>3191.489361702128</v>
      </c>
      <c r="AD202" s="579">
        <f>AVERAGE(1700/0.95,3460)</f>
        <v>2624.7368421052633</v>
      </c>
      <c r="AE202" s="579">
        <f>AVERAGE(1750/0.95,2288)</f>
        <v>2065.0526315789475</v>
      </c>
      <c r="AF202" s="579">
        <f>AVERAGE(1700/0.95,1373)</f>
        <v>1581.2368421052633</v>
      </c>
      <c r="AG202" s="579">
        <f>AVERAGE(1800/0.95,4500)</f>
        <v>3197.3684210526317</v>
      </c>
      <c r="AH202" s="579">
        <f>AVERAGE(2800/0.95,4032)</f>
        <v>3489.6842105263158</v>
      </c>
      <c r="AI202" s="579">
        <f>AVERAGE(1800/0.95,2280)</f>
        <v>2087.3684210526317</v>
      </c>
      <c r="AJ202" s="584">
        <f>AJ201/VLOOKUP(AJ$200,$G$120:$H$137,2)</f>
        <v>2222.2222222222222</v>
      </c>
      <c r="AK202" s="579">
        <f t="shared" ref="AK202" si="12">AVERAGE(2800/0.95,4032)</f>
        <v>3489.6842105263158</v>
      </c>
      <c r="AL202" s="513"/>
      <c r="AM202" s="513"/>
      <c r="AN202" s="27"/>
      <c r="AO202" s="17"/>
      <c r="AP202" s="9"/>
      <c r="AQ202" s="9"/>
      <c r="AR202" s="9"/>
    </row>
    <row r="203" spans="1:44" customFormat="1" x14ac:dyDescent="0.35">
      <c r="A203" s="7"/>
      <c r="B203" s="8"/>
      <c r="C203" s="18"/>
      <c r="D203" s="18"/>
      <c r="E203" s="18"/>
      <c r="F203" s="24"/>
      <c r="G203" s="570" t="s">
        <v>3175</v>
      </c>
      <c r="H203" s="25"/>
      <c r="I203" s="512"/>
      <c r="J203" s="512"/>
      <c r="K203" s="512"/>
      <c r="L203" s="512"/>
      <c r="M203" s="512"/>
      <c r="N203" s="512"/>
      <c r="O203" s="512"/>
      <c r="P203" s="512"/>
      <c r="Q203" s="512"/>
      <c r="R203" s="512"/>
      <c r="S203" s="512"/>
      <c r="T203" s="512"/>
      <c r="U203" s="512"/>
      <c r="V203" s="512"/>
      <c r="W203" s="512"/>
      <c r="X203" s="512"/>
      <c r="Y203" s="512"/>
      <c r="Z203" s="512"/>
      <c r="AA203" s="512"/>
      <c r="AB203" s="512"/>
      <c r="AC203" s="512"/>
      <c r="AD203" s="512"/>
      <c r="AE203" s="512"/>
      <c r="AF203" s="512"/>
      <c r="AG203" s="512"/>
      <c r="AH203" s="512"/>
      <c r="AI203" s="512"/>
      <c r="AJ203" s="512"/>
      <c r="AK203" s="512"/>
      <c r="AL203" s="513"/>
      <c r="AM203" s="513"/>
      <c r="AN203" s="27"/>
      <c r="AO203" s="17"/>
      <c r="AP203" s="9"/>
      <c r="AQ203" s="9"/>
      <c r="AR203" s="9"/>
    </row>
    <row r="204" spans="1:44" customFormat="1" outlineLevel="1" x14ac:dyDescent="0.35">
      <c r="A204" s="7"/>
      <c r="B204" s="8"/>
      <c r="C204" s="18"/>
      <c r="D204" s="18"/>
      <c r="E204" s="18"/>
      <c r="F204" s="24"/>
      <c r="G204" s="25"/>
      <c r="H204" s="25" t="s">
        <v>3176</v>
      </c>
      <c r="I204" s="512"/>
      <c r="J204" s="577">
        <v>3</v>
      </c>
      <c r="K204" s="577">
        <v>3</v>
      </c>
      <c r="L204" s="577">
        <v>3</v>
      </c>
      <c r="M204" s="577">
        <v>3</v>
      </c>
      <c r="N204" s="577">
        <v>3</v>
      </c>
      <c r="O204" s="577">
        <v>3</v>
      </c>
      <c r="P204" s="577">
        <v>3</v>
      </c>
      <c r="Q204" s="577">
        <v>3</v>
      </c>
      <c r="R204" s="577">
        <v>3</v>
      </c>
      <c r="S204" s="577">
        <v>3</v>
      </c>
      <c r="T204" s="577">
        <v>3</v>
      </c>
      <c r="U204" s="577">
        <v>3</v>
      </c>
      <c r="V204" s="577">
        <v>3</v>
      </c>
      <c r="W204" s="577">
        <v>3</v>
      </c>
      <c r="X204" s="577">
        <v>3</v>
      </c>
      <c r="Y204" s="577">
        <v>3</v>
      </c>
      <c r="Z204" s="577">
        <v>3</v>
      </c>
      <c r="AA204" s="577">
        <v>3</v>
      </c>
      <c r="AB204" s="577">
        <v>3</v>
      </c>
      <c r="AC204" s="577">
        <v>3</v>
      </c>
      <c r="AD204" s="577">
        <v>1</v>
      </c>
      <c r="AE204" s="577">
        <v>1</v>
      </c>
      <c r="AF204" s="577">
        <v>1</v>
      </c>
      <c r="AG204" s="577">
        <v>1</v>
      </c>
      <c r="AH204" s="577">
        <v>1</v>
      </c>
      <c r="AI204" s="577">
        <v>1</v>
      </c>
      <c r="AJ204" s="577">
        <v>3</v>
      </c>
      <c r="AK204" s="578">
        <f t="shared" ref="AK204:AK209" si="13">AVERAGE(AE204:AF204)</f>
        <v>1</v>
      </c>
      <c r="AL204" s="513"/>
      <c r="AM204" s="513"/>
      <c r="AN204" s="27"/>
      <c r="AO204" s="17"/>
      <c r="AP204" s="9"/>
      <c r="AQ204" s="9"/>
      <c r="AR204" s="9"/>
    </row>
    <row r="205" spans="1:44" customFormat="1" outlineLevel="1" x14ac:dyDescent="0.35">
      <c r="A205" s="7"/>
      <c r="B205" s="8"/>
      <c r="C205" s="18"/>
      <c r="D205" s="18"/>
      <c r="E205" s="18"/>
      <c r="F205" s="24"/>
      <c r="G205" s="25"/>
      <c r="H205" s="25" t="s">
        <v>3177</v>
      </c>
      <c r="I205" s="512"/>
      <c r="J205" s="577">
        <v>3</v>
      </c>
      <c r="K205" s="577">
        <v>3</v>
      </c>
      <c r="L205" s="577">
        <v>3</v>
      </c>
      <c r="M205" s="577">
        <v>3</v>
      </c>
      <c r="N205" s="577">
        <v>3</v>
      </c>
      <c r="O205" s="577">
        <v>3</v>
      </c>
      <c r="P205" s="577">
        <v>3</v>
      </c>
      <c r="Q205" s="577">
        <v>3</v>
      </c>
      <c r="R205" s="577">
        <v>3</v>
      </c>
      <c r="S205" s="577">
        <v>3</v>
      </c>
      <c r="T205" s="577">
        <v>3</v>
      </c>
      <c r="U205" s="577">
        <v>3</v>
      </c>
      <c r="V205" s="577">
        <v>3</v>
      </c>
      <c r="W205" s="577">
        <v>3</v>
      </c>
      <c r="X205" s="577">
        <v>3</v>
      </c>
      <c r="Y205" s="577">
        <v>3</v>
      </c>
      <c r="Z205" s="577">
        <v>3</v>
      </c>
      <c r="AA205" s="577">
        <v>3</v>
      </c>
      <c r="AB205" s="577">
        <v>3</v>
      </c>
      <c r="AC205" s="577">
        <v>3</v>
      </c>
      <c r="AD205" s="577">
        <v>1.2</v>
      </c>
      <c r="AE205" s="577">
        <v>1.2</v>
      </c>
      <c r="AF205" s="577">
        <v>1.2</v>
      </c>
      <c r="AG205" s="577">
        <v>1.2</v>
      </c>
      <c r="AH205" s="577">
        <v>1.2</v>
      </c>
      <c r="AI205" s="577">
        <v>1.2</v>
      </c>
      <c r="AJ205" s="577">
        <v>3</v>
      </c>
      <c r="AK205" s="578">
        <f t="shared" si="13"/>
        <v>1.2</v>
      </c>
      <c r="AL205" s="513"/>
      <c r="AM205" s="513"/>
      <c r="AN205" s="27"/>
      <c r="AO205" s="17"/>
      <c r="AP205" s="9"/>
      <c r="AQ205" s="9"/>
      <c r="AR205" s="9"/>
    </row>
    <row r="206" spans="1:44" customFormat="1" outlineLevel="1" x14ac:dyDescent="0.35">
      <c r="A206" s="7"/>
      <c r="B206" s="8"/>
      <c r="C206" s="18"/>
      <c r="D206" s="18"/>
      <c r="E206" s="18"/>
      <c r="F206" s="24"/>
      <c r="G206" s="25"/>
      <c r="H206" s="25" t="s">
        <v>3178</v>
      </c>
      <c r="I206" s="512"/>
      <c r="J206" s="577">
        <v>21</v>
      </c>
      <c r="K206" s="577">
        <v>21</v>
      </c>
      <c r="L206" s="577">
        <v>21</v>
      </c>
      <c r="M206" s="577">
        <v>21</v>
      </c>
      <c r="N206" s="577">
        <v>21</v>
      </c>
      <c r="O206" s="577">
        <v>21</v>
      </c>
      <c r="P206" s="577">
        <v>21</v>
      </c>
      <c r="Q206" s="577">
        <v>21</v>
      </c>
      <c r="R206" s="577">
        <v>21</v>
      </c>
      <c r="S206" s="577">
        <v>21</v>
      </c>
      <c r="T206" s="577">
        <v>21</v>
      </c>
      <c r="U206" s="577">
        <v>21</v>
      </c>
      <c r="V206" s="577">
        <v>21</v>
      </c>
      <c r="W206" s="577">
        <v>21</v>
      </c>
      <c r="X206" s="577">
        <v>21</v>
      </c>
      <c r="Y206" s="577">
        <v>21</v>
      </c>
      <c r="Z206" s="577">
        <v>21</v>
      </c>
      <c r="AA206" s="577">
        <v>21</v>
      </c>
      <c r="AB206" s="577">
        <v>21</v>
      </c>
      <c r="AC206" s="577">
        <v>21</v>
      </c>
      <c r="AD206" s="577">
        <v>25</v>
      </c>
      <c r="AE206" s="577">
        <v>21</v>
      </c>
      <c r="AF206" s="577">
        <v>21</v>
      </c>
      <c r="AG206" s="577">
        <v>21</v>
      </c>
      <c r="AH206" s="577">
        <v>21</v>
      </c>
      <c r="AI206" s="577">
        <v>25</v>
      </c>
      <c r="AJ206" s="577">
        <v>21</v>
      </c>
      <c r="AK206" s="578">
        <f t="shared" si="13"/>
        <v>21</v>
      </c>
      <c r="AL206" s="513"/>
      <c r="AM206" s="513"/>
      <c r="AN206" s="27"/>
      <c r="AO206" s="17"/>
      <c r="AP206" s="9"/>
      <c r="AQ206" s="9"/>
      <c r="AR206" s="9"/>
    </row>
    <row r="207" spans="1:44" customFormat="1" outlineLevel="1" x14ac:dyDescent="0.35">
      <c r="A207" s="7"/>
      <c r="B207" s="8"/>
      <c r="C207" s="18"/>
      <c r="D207" s="18"/>
      <c r="E207" s="18"/>
      <c r="F207" s="24"/>
      <c r="G207" s="25"/>
      <c r="H207" s="25" t="s">
        <v>3179</v>
      </c>
      <c r="I207" s="512"/>
      <c r="J207" s="577">
        <v>5</v>
      </c>
      <c r="K207" s="577">
        <v>5</v>
      </c>
      <c r="L207" s="577">
        <v>5</v>
      </c>
      <c r="M207" s="577">
        <v>5</v>
      </c>
      <c r="N207" s="577">
        <v>5</v>
      </c>
      <c r="O207" s="577">
        <v>5</v>
      </c>
      <c r="P207" s="577">
        <v>5</v>
      </c>
      <c r="Q207" s="577">
        <v>5</v>
      </c>
      <c r="R207" s="577">
        <v>5</v>
      </c>
      <c r="S207" s="577">
        <v>5</v>
      </c>
      <c r="T207" s="577">
        <v>5</v>
      </c>
      <c r="U207" s="577">
        <v>5</v>
      </c>
      <c r="V207" s="577">
        <v>5</v>
      </c>
      <c r="W207" s="577">
        <v>5</v>
      </c>
      <c r="X207" s="577">
        <v>5</v>
      </c>
      <c r="Y207" s="577">
        <v>5</v>
      </c>
      <c r="Z207" s="577">
        <v>5</v>
      </c>
      <c r="AA207" s="577">
        <v>5</v>
      </c>
      <c r="AB207" s="577">
        <v>5</v>
      </c>
      <c r="AC207" s="577">
        <v>5</v>
      </c>
      <c r="AD207" s="577">
        <v>2.5</v>
      </c>
      <c r="AE207" s="577">
        <v>2.5</v>
      </c>
      <c r="AF207" s="577">
        <v>2.5</v>
      </c>
      <c r="AG207" s="577">
        <v>2.5</v>
      </c>
      <c r="AH207" s="577">
        <v>2.5</v>
      </c>
      <c r="AI207" s="577">
        <v>2.5</v>
      </c>
      <c r="AJ207" s="577">
        <v>5</v>
      </c>
      <c r="AK207" s="578">
        <f t="shared" si="13"/>
        <v>2.5</v>
      </c>
      <c r="AL207" s="513"/>
      <c r="AM207" s="513"/>
      <c r="AN207" s="27"/>
      <c r="AO207" s="17"/>
      <c r="AP207" s="9"/>
      <c r="AQ207" s="9"/>
      <c r="AR207" s="9"/>
    </row>
    <row r="208" spans="1:44" customFormat="1" ht="15" customHeight="1" outlineLevel="1" x14ac:dyDescent="0.35">
      <c r="A208" s="7"/>
      <c r="B208" s="8"/>
      <c r="C208" s="18"/>
      <c r="D208" s="18"/>
      <c r="E208" s="18"/>
      <c r="F208" s="24"/>
      <c r="G208" s="25"/>
      <c r="H208" s="25" t="s">
        <v>3180</v>
      </c>
      <c r="I208" s="612" t="s">
        <v>3181</v>
      </c>
      <c r="J208" s="585">
        <v>0.15</v>
      </c>
      <c r="K208" s="585">
        <v>0.15</v>
      </c>
      <c r="L208" s="585">
        <v>0.15</v>
      </c>
      <c r="M208" s="585">
        <v>0.15</v>
      </c>
      <c r="N208" s="585">
        <v>0.15</v>
      </c>
      <c r="O208" s="585">
        <v>0.15</v>
      </c>
      <c r="P208" s="585">
        <v>0.15</v>
      </c>
      <c r="Q208" s="585">
        <v>0.15</v>
      </c>
      <c r="R208" s="585">
        <v>0.15</v>
      </c>
      <c r="S208" s="585">
        <v>0.15</v>
      </c>
      <c r="T208" s="585">
        <v>0.15</v>
      </c>
      <c r="U208" s="585">
        <v>0.15</v>
      </c>
      <c r="V208" s="585">
        <v>0.15</v>
      </c>
      <c r="W208" s="585">
        <v>0.15</v>
      </c>
      <c r="X208" s="585">
        <v>0.15</v>
      </c>
      <c r="Y208" s="585">
        <v>0.15</v>
      </c>
      <c r="Z208" s="585">
        <v>0.15</v>
      </c>
      <c r="AA208" s="585">
        <v>0.15</v>
      </c>
      <c r="AB208" s="585">
        <v>0.15</v>
      </c>
      <c r="AC208" s="585">
        <v>0.15</v>
      </c>
      <c r="AD208" s="585">
        <v>0.15</v>
      </c>
      <c r="AE208" s="585">
        <v>0.15</v>
      </c>
      <c r="AF208" s="585">
        <v>0.15</v>
      </c>
      <c r="AG208" s="585">
        <v>0.15</v>
      </c>
      <c r="AH208" s="585">
        <v>0.15</v>
      </c>
      <c r="AI208" s="585">
        <v>0.15</v>
      </c>
      <c r="AJ208" s="585">
        <v>0.15</v>
      </c>
      <c r="AK208" s="586">
        <f t="shared" si="13"/>
        <v>0.15</v>
      </c>
      <c r="AL208" s="513"/>
      <c r="AM208" s="513"/>
      <c r="AN208" s="27"/>
      <c r="AO208" s="17"/>
      <c r="AP208" s="9"/>
      <c r="AQ208" s="9"/>
      <c r="AR208" s="9"/>
    </row>
    <row r="209" spans="1:44" customFormat="1" outlineLevel="1" x14ac:dyDescent="0.35">
      <c r="A209" s="7"/>
      <c r="B209" s="8"/>
      <c r="C209" s="18"/>
      <c r="D209" s="18"/>
      <c r="E209" s="18"/>
      <c r="F209" s="24"/>
      <c r="G209" s="25"/>
      <c r="H209" s="25" t="s">
        <v>3182</v>
      </c>
      <c r="I209" s="612"/>
      <c r="J209" s="585">
        <v>0.02</v>
      </c>
      <c r="K209" s="585">
        <v>0.02</v>
      </c>
      <c r="L209" s="585">
        <v>0.02</v>
      </c>
      <c r="M209" s="585">
        <v>0.02</v>
      </c>
      <c r="N209" s="585">
        <v>0.02</v>
      </c>
      <c r="O209" s="585">
        <v>0.02</v>
      </c>
      <c r="P209" s="585">
        <v>0.02</v>
      </c>
      <c r="Q209" s="585">
        <v>0.02</v>
      </c>
      <c r="R209" s="585">
        <v>0.02</v>
      </c>
      <c r="S209" s="585">
        <v>0.02</v>
      </c>
      <c r="T209" s="585">
        <v>0.02</v>
      </c>
      <c r="U209" s="585">
        <v>0.02</v>
      </c>
      <c r="V209" s="585">
        <v>0.02</v>
      </c>
      <c r="W209" s="585">
        <v>0.02</v>
      </c>
      <c r="X209" s="585">
        <v>0.02</v>
      </c>
      <c r="Y209" s="585">
        <v>0.02</v>
      </c>
      <c r="Z209" s="585">
        <v>0.02</v>
      </c>
      <c r="AA209" s="585">
        <v>0.02</v>
      </c>
      <c r="AB209" s="585">
        <v>0.02</v>
      </c>
      <c r="AC209" s="585">
        <v>0.02</v>
      </c>
      <c r="AD209" s="585">
        <v>0.02</v>
      </c>
      <c r="AE209" s="585">
        <v>0.02</v>
      </c>
      <c r="AF209" s="585">
        <v>0.02</v>
      </c>
      <c r="AG209" s="585">
        <v>0.02</v>
      </c>
      <c r="AH209" s="585">
        <v>0.02</v>
      </c>
      <c r="AI209" s="585">
        <v>0.02</v>
      </c>
      <c r="AJ209" s="585">
        <v>0.02</v>
      </c>
      <c r="AK209" s="586">
        <f t="shared" si="13"/>
        <v>0.02</v>
      </c>
      <c r="AL209" s="513"/>
      <c r="AM209" s="513"/>
      <c r="AN209" s="27"/>
      <c r="AO209" s="17"/>
      <c r="AP209" s="9"/>
      <c r="AQ209" s="9"/>
      <c r="AR209" s="9"/>
    </row>
    <row r="210" spans="1:44" customFormat="1" outlineLevel="1" x14ac:dyDescent="0.35">
      <c r="A210" s="7"/>
      <c r="B210" s="8"/>
      <c r="C210" s="18"/>
      <c r="D210" s="18"/>
      <c r="E210" s="18"/>
      <c r="F210" s="24"/>
      <c r="G210" s="25"/>
      <c r="H210" s="25" t="s">
        <v>3183</v>
      </c>
      <c r="I210" s="612"/>
      <c r="J210" s="586">
        <f>1-SUM(J208:J209)</f>
        <v>0.83000000000000007</v>
      </c>
      <c r="K210" s="586">
        <f t="shared" ref="K210:Q210" si="14">1-SUM(K208:K209)</f>
        <v>0.83000000000000007</v>
      </c>
      <c r="L210" s="586">
        <f t="shared" si="14"/>
        <v>0.83000000000000007</v>
      </c>
      <c r="M210" s="586">
        <f t="shared" si="14"/>
        <v>0.83000000000000007</v>
      </c>
      <c r="N210" s="586">
        <f t="shared" si="14"/>
        <v>0.83000000000000007</v>
      </c>
      <c r="O210" s="586">
        <f t="shared" si="14"/>
        <v>0.83000000000000007</v>
      </c>
      <c r="P210" s="586">
        <f t="shared" si="14"/>
        <v>0.83000000000000007</v>
      </c>
      <c r="Q210" s="586">
        <f t="shared" si="14"/>
        <v>0.83000000000000007</v>
      </c>
      <c r="R210" s="586">
        <f t="shared" ref="R210:AI210" si="15">1-SUM(R208:R209)</f>
        <v>0.83000000000000007</v>
      </c>
      <c r="S210" s="586">
        <f t="shared" si="15"/>
        <v>0.83000000000000007</v>
      </c>
      <c r="T210" s="586">
        <f t="shared" si="15"/>
        <v>0.83000000000000007</v>
      </c>
      <c r="U210" s="586">
        <f t="shared" si="15"/>
        <v>0.83000000000000007</v>
      </c>
      <c r="V210" s="586">
        <f t="shared" si="15"/>
        <v>0.83000000000000007</v>
      </c>
      <c r="W210" s="586">
        <f t="shared" si="15"/>
        <v>0.83000000000000007</v>
      </c>
      <c r="X210" s="586">
        <f t="shared" si="15"/>
        <v>0.83000000000000007</v>
      </c>
      <c r="Y210" s="586">
        <f t="shared" si="15"/>
        <v>0.83000000000000007</v>
      </c>
      <c r="Z210" s="586">
        <f t="shared" si="15"/>
        <v>0.83000000000000007</v>
      </c>
      <c r="AA210" s="586">
        <f t="shared" si="15"/>
        <v>0.83000000000000007</v>
      </c>
      <c r="AB210" s="586">
        <f t="shared" si="15"/>
        <v>0.83000000000000007</v>
      </c>
      <c r="AC210" s="586">
        <f t="shared" si="15"/>
        <v>0.83000000000000007</v>
      </c>
      <c r="AD210" s="586">
        <f t="shared" si="15"/>
        <v>0.83000000000000007</v>
      </c>
      <c r="AE210" s="586">
        <f t="shared" si="15"/>
        <v>0.83000000000000007</v>
      </c>
      <c r="AF210" s="586">
        <f t="shared" si="15"/>
        <v>0.83000000000000007</v>
      </c>
      <c r="AG210" s="586">
        <f t="shared" si="15"/>
        <v>0.83000000000000007</v>
      </c>
      <c r="AH210" s="586">
        <f t="shared" si="15"/>
        <v>0.83000000000000007</v>
      </c>
      <c r="AI210" s="586">
        <f t="shared" si="15"/>
        <v>0.83000000000000007</v>
      </c>
      <c r="AJ210" s="586">
        <f>1-SUM(AJ208:AJ209)</f>
        <v>0.83000000000000007</v>
      </c>
      <c r="AK210" s="586">
        <f t="shared" ref="AK210" si="16">1-SUM(AK208:AK209)</f>
        <v>0.83000000000000007</v>
      </c>
      <c r="AL210" s="513"/>
      <c r="AM210" s="513"/>
      <c r="AN210" s="27"/>
      <c r="AO210" s="17"/>
      <c r="AP210" s="9"/>
      <c r="AQ210" s="9"/>
      <c r="AR210" s="9"/>
    </row>
    <row r="211" spans="1:44" customFormat="1" outlineLevel="1" x14ac:dyDescent="0.35">
      <c r="A211" s="7"/>
      <c r="B211" s="8"/>
      <c r="C211" s="18"/>
      <c r="D211" s="18"/>
      <c r="E211" s="18"/>
      <c r="F211" s="24"/>
      <c r="G211" s="25"/>
      <c r="H211" s="25" t="s">
        <v>3184</v>
      </c>
      <c r="I211" s="512"/>
      <c r="J211" s="587">
        <v>0</v>
      </c>
      <c r="K211" s="587">
        <v>0</v>
      </c>
      <c r="L211" s="587">
        <v>0</v>
      </c>
      <c r="M211" s="587">
        <v>0</v>
      </c>
      <c r="N211" s="587">
        <v>0</v>
      </c>
      <c r="O211" s="587">
        <v>0</v>
      </c>
      <c r="P211" s="587">
        <v>0</v>
      </c>
      <c r="Q211" s="587">
        <v>0</v>
      </c>
      <c r="R211" s="587">
        <v>0</v>
      </c>
      <c r="S211" s="587">
        <v>0</v>
      </c>
      <c r="T211" s="587">
        <v>0</v>
      </c>
      <c r="U211" s="587">
        <v>0</v>
      </c>
      <c r="V211" s="587">
        <v>0</v>
      </c>
      <c r="W211" s="587">
        <v>0</v>
      </c>
      <c r="X211" s="587">
        <v>0</v>
      </c>
      <c r="Y211" s="587">
        <v>0</v>
      </c>
      <c r="Z211" s="587">
        <v>0</v>
      </c>
      <c r="AA211" s="587">
        <v>0</v>
      </c>
      <c r="AB211" s="587">
        <v>0</v>
      </c>
      <c r="AC211" s="587">
        <v>0</v>
      </c>
      <c r="AD211" s="587">
        <v>0</v>
      </c>
      <c r="AE211" s="587">
        <v>0</v>
      </c>
      <c r="AF211" s="587">
        <v>0</v>
      </c>
      <c r="AG211" s="587">
        <v>0</v>
      </c>
      <c r="AH211" s="587">
        <v>0</v>
      </c>
      <c r="AI211" s="587">
        <v>0</v>
      </c>
      <c r="AJ211" s="587">
        <v>0</v>
      </c>
      <c r="AK211" s="588">
        <f>AVERAGE(AE211:AF211)</f>
        <v>0</v>
      </c>
      <c r="AL211" s="513"/>
      <c r="AM211" s="513"/>
      <c r="AN211" s="27"/>
      <c r="AO211" s="17"/>
      <c r="AP211" s="9"/>
      <c r="AQ211" s="9"/>
      <c r="AR211" s="9"/>
    </row>
    <row r="212" spans="1:44" customFormat="1" outlineLevel="1" x14ac:dyDescent="0.35">
      <c r="A212" s="7"/>
      <c r="B212" s="8"/>
      <c r="C212" s="18"/>
      <c r="D212" s="18"/>
      <c r="E212" s="18"/>
      <c r="F212" s="24"/>
      <c r="G212" s="25"/>
      <c r="H212" s="25" t="s">
        <v>3185</v>
      </c>
      <c r="I212" s="512"/>
      <c r="J212" s="587">
        <v>10</v>
      </c>
      <c r="K212" s="587">
        <v>10</v>
      </c>
      <c r="L212" s="587">
        <v>10</v>
      </c>
      <c r="M212" s="587">
        <v>10</v>
      </c>
      <c r="N212" s="587">
        <v>10</v>
      </c>
      <c r="O212" s="587">
        <v>10</v>
      </c>
      <c r="P212" s="587">
        <v>10</v>
      </c>
      <c r="Q212" s="587">
        <v>10</v>
      </c>
      <c r="R212" s="587">
        <v>10</v>
      </c>
      <c r="S212" s="587">
        <v>10</v>
      </c>
      <c r="T212" s="587">
        <v>10</v>
      </c>
      <c r="U212" s="587">
        <v>10</v>
      </c>
      <c r="V212" s="587">
        <v>10</v>
      </c>
      <c r="W212" s="587">
        <v>10</v>
      </c>
      <c r="X212" s="587">
        <v>10</v>
      </c>
      <c r="Y212" s="587">
        <v>10</v>
      </c>
      <c r="Z212" s="587">
        <v>10</v>
      </c>
      <c r="AA212" s="587">
        <v>10</v>
      </c>
      <c r="AB212" s="587">
        <v>10</v>
      </c>
      <c r="AC212" s="587">
        <v>10</v>
      </c>
      <c r="AD212" s="587">
        <v>12</v>
      </c>
      <c r="AE212" s="587">
        <v>12</v>
      </c>
      <c r="AF212" s="587">
        <v>12</v>
      </c>
      <c r="AG212" s="587">
        <v>12</v>
      </c>
      <c r="AH212" s="587">
        <v>12</v>
      </c>
      <c r="AI212" s="587">
        <v>12</v>
      </c>
      <c r="AJ212" s="587">
        <v>10</v>
      </c>
      <c r="AK212" s="588">
        <f>AVERAGE(AE212:AF212)</f>
        <v>12</v>
      </c>
      <c r="AL212" s="513"/>
      <c r="AM212" s="513"/>
      <c r="AN212" s="27"/>
      <c r="AO212" s="17"/>
      <c r="AP212" s="9"/>
      <c r="AQ212" s="9"/>
      <c r="AR212" s="9"/>
    </row>
    <row r="213" spans="1:44" customFormat="1" outlineLevel="1" x14ac:dyDescent="0.35">
      <c r="A213" s="7"/>
      <c r="B213" s="8"/>
      <c r="C213" s="18"/>
      <c r="D213" s="18"/>
      <c r="E213" s="18"/>
      <c r="F213" s="24"/>
      <c r="G213" s="25"/>
      <c r="H213" s="25"/>
      <c r="I213" s="512"/>
      <c r="J213" s="512"/>
      <c r="K213" s="512"/>
      <c r="L213" s="512"/>
      <c r="M213" s="512"/>
      <c r="N213" s="512"/>
      <c r="O213" s="512"/>
      <c r="P213" s="512"/>
      <c r="Q213" s="512"/>
      <c r="R213" s="512"/>
      <c r="S213" s="512"/>
      <c r="T213" s="512"/>
      <c r="U213" s="512"/>
      <c r="V213" s="512"/>
      <c r="W213" s="512"/>
      <c r="X213" s="512"/>
      <c r="Y213" s="512"/>
      <c r="Z213" s="512"/>
      <c r="AA213" s="512"/>
      <c r="AB213" s="512"/>
      <c r="AC213" s="512"/>
      <c r="AD213" s="512"/>
      <c r="AE213" s="512"/>
      <c r="AF213" s="512"/>
      <c r="AG213" s="512"/>
      <c r="AH213" s="512"/>
      <c r="AI213" s="512"/>
      <c r="AJ213" s="512"/>
      <c r="AK213" s="512"/>
      <c r="AL213" s="513"/>
      <c r="AM213" s="513"/>
      <c r="AN213" s="27"/>
      <c r="AO213" s="17"/>
      <c r="AP213" s="9"/>
      <c r="AQ213" s="9"/>
      <c r="AR213" s="9"/>
    </row>
    <row r="214" spans="1:44" customFormat="1" outlineLevel="1" x14ac:dyDescent="0.35">
      <c r="A214" s="7"/>
      <c r="B214" s="8"/>
      <c r="C214" s="18"/>
      <c r="D214" s="18"/>
      <c r="E214" s="18"/>
      <c r="F214" s="24"/>
      <c r="G214" s="25"/>
      <c r="H214" s="25" t="s">
        <v>3186</v>
      </c>
      <c r="I214" s="512"/>
      <c r="J214" s="587" t="b">
        <v>1</v>
      </c>
      <c r="K214" s="587" t="b">
        <v>1</v>
      </c>
      <c r="L214" s="587" t="b">
        <v>1</v>
      </c>
      <c r="M214" s="587" t="b">
        <v>1</v>
      </c>
      <c r="N214" s="587" t="b">
        <v>1</v>
      </c>
      <c r="O214" s="587" t="b">
        <v>1</v>
      </c>
      <c r="P214" s="587" t="b">
        <v>1</v>
      </c>
      <c r="Q214" s="587" t="b">
        <v>1</v>
      </c>
      <c r="R214" s="587" t="b">
        <v>1</v>
      </c>
      <c r="S214" s="587" t="b">
        <v>1</v>
      </c>
      <c r="T214" s="587" t="b">
        <v>1</v>
      </c>
      <c r="U214" s="587" t="b">
        <v>1</v>
      </c>
      <c r="V214" s="587" t="b">
        <v>1</v>
      </c>
      <c r="W214" s="587" t="b">
        <v>1</v>
      </c>
      <c r="X214" s="587" t="b">
        <v>1</v>
      </c>
      <c r="Y214" s="587" t="b">
        <v>1</v>
      </c>
      <c r="Z214" s="587" t="b">
        <v>1</v>
      </c>
      <c r="AA214" s="587" t="b">
        <v>1</v>
      </c>
      <c r="AB214" s="587" t="b">
        <v>1</v>
      </c>
      <c r="AC214" s="587" t="b">
        <v>1</v>
      </c>
      <c r="AD214" s="587" t="b">
        <v>1</v>
      </c>
      <c r="AE214" s="587" t="b">
        <v>1</v>
      </c>
      <c r="AF214" s="587" t="b">
        <v>1</v>
      </c>
      <c r="AG214" s="587" t="b">
        <v>1</v>
      </c>
      <c r="AH214" s="587" t="b">
        <v>1</v>
      </c>
      <c r="AI214" s="587" t="b">
        <v>1</v>
      </c>
      <c r="AJ214" s="587" t="b">
        <v>1</v>
      </c>
      <c r="AK214" s="587" t="b">
        <v>1</v>
      </c>
      <c r="AL214" s="513"/>
      <c r="AM214" s="513"/>
      <c r="AN214" s="27"/>
      <c r="AO214" s="17"/>
      <c r="AP214" s="9"/>
      <c r="AQ214" s="9"/>
      <c r="AR214" s="9"/>
    </row>
    <row r="215" spans="1:44" customFormat="1" outlineLevel="1" x14ac:dyDescent="0.35">
      <c r="A215" s="7"/>
      <c r="B215" s="8"/>
      <c r="C215" s="18"/>
      <c r="D215" s="18"/>
      <c r="E215" s="18"/>
      <c r="F215" s="24"/>
      <c r="G215" s="25"/>
      <c r="H215" s="25" t="s">
        <v>3187</v>
      </c>
      <c r="I215" s="512"/>
      <c r="J215" s="588" t="b">
        <f>NOT(J214)</f>
        <v>0</v>
      </c>
      <c r="K215" s="588" t="b">
        <f t="shared" ref="K215:AI215" si="17">NOT(K214)</f>
        <v>0</v>
      </c>
      <c r="L215" s="588" t="b">
        <f t="shared" si="17"/>
        <v>0</v>
      </c>
      <c r="M215" s="588" t="b">
        <f t="shared" si="17"/>
        <v>0</v>
      </c>
      <c r="N215" s="588" t="b">
        <f t="shared" si="17"/>
        <v>0</v>
      </c>
      <c r="O215" s="588" t="b">
        <f t="shared" si="17"/>
        <v>0</v>
      </c>
      <c r="P215" s="588" t="b">
        <f t="shared" si="17"/>
        <v>0</v>
      </c>
      <c r="Q215" s="588" t="b">
        <f t="shared" si="17"/>
        <v>0</v>
      </c>
      <c r="R215" s="588" t="b">
        <f t="shared" si="17"/>
        <v>0</v>
      </c>
      <c r="S215" s="588" t="b">
        <f t="shared" si="17"/>
        <v>0</v>
      </c>
      <c r="T215" s="588" t="b">
        <f t="shared" si="17"/>
        <v>0</v>
      </c>
      <c r="U215" s="588" t="b">
        <f t="shared" si="17"/>
        <v>0</v>
      </c>
      <c r="V215" s="588" t="b">
        <f t="shared" si="17"/>
        <v>0</v>
      </c>
      <c r="W215" s="588" t="b">
        <f t="shared" si="17"/>
        <v>0</v>
      </c>
      <c r="X215" s="588" t="b">
        <f t="shared" si="17"/>
        <v>0</v>
      </c>
      <c r="Y215" s="588" t="b">
        <f t="shared" si="17"/>
        <v>0</v>
      </c>
      <c r="Z215" s="588" t="b">
        <f t="shared" si="17"/>
        <v>0</v>
      </c>
      <c r="AA215" s="588" t="b">
        <f t="shared" si="17"/>
        <v>0</v>
      </c>
      <c r="AB215" s="588" t="b">
        <f t="shared" si="17"/>
        <v>0</v>
      </c>
      <c r="AC215" s="588" t="b">
        <f t="shared" si="17"/>
        <v>0</v>
      </c>
      <c r="AD215" s="588" t="b">
        <f t="shared" si="17"/>
        <v>0</v>
      </c>
      <c r="AE215" s="588" t="b">
        <f t="shared" si="17"/>
        <v>0</v>
      </c>
      <c r="AF215" s="588" t="b">
        <f t="shared" si="17"/>
        <v>0</v>
      </c>
      <c r="AG215" s="588" t="b">
        <f t="shared" si="17"/>
        <v>0</v>
      </c>
      <c r="AH215" s="588" t="b">
        <f t="shared" si="17"/>
        <v>0</v>
      </c>
      <c r="AI215" s="588" t="b">
        <f t="shared" si="17"/>
        <v>0</v>
      </c>
      <c r="AJ215" s="588" t="b">
        <f>NOT(AJ214)</f>
        <v>0</v>
      </c>
      <c r="AK215" s="588" t="b">
        <f t="shared" ref="AK215" si="18">NOT(AK214)</f>
        <v>0</v>
      </c>
      <c r="AL215" s="513"/>
      <c r="AM215" s="513"/>
      <c r="AN215" s="27"/>
      <c r="AO215" s="17"/>
      <c r="AP215" s="9"/>
      <c r="AQ215" s="9"/>
      <c r="AR215" s="9"/>
    </row>
    <row r="216" spans="1:44" customFormat="1" outlineLevel="1" x14ac:dyDescent="0.35">
      <c r="A216" s="7"/>
      <c r="B216" s="8"/>
      <c r="C216" s="18"/>
      <c r="D216" s="18"/>
      <c r="E216" s="18"/>
      <c r="F216" s="24"/>
      <c r="G216" s="25"/>
      <c r="H216" s="25"/>
      <c r="I216" s="512"/>
      <c r="J216" s="512"/>
      <c r="K216" s="512"/>
      <c r="L216" s="512"/>
      <c r="M216" s="512"/>
      <c r="N216" s="512"/>
      <c r="O216" s="512"/>
      <c r="P216" s="512"/>
      <c r="Q216" s="512"/>
      <c r="R216" s="512"/>
      <c r="S216" s="512"/>
      <c r="T216" s="512"/>
      <c r="U216" s="512"/>
      <c r="V216" s="512"/>
      <c r="W216" s="512"/>
      <c r="X216" s="512"/>
      <c r="Y216" s="512"/>
      <c r="Z216" s="512"/>
      <c r="AA216" s="512"/>
      <c r="AB216" s="512"/>
      <c r="AC216" s="512"/>
      <c r="AD216" s="512"/>
      <c r="AE216" s="512"/>
      <c r="AF216" s="512"/>
      <c r="AG216" s="512"/>
      <c r="AH216" s="512"/>
      <c r="AI216" s="512"/>
      <c r="AJ216" s="512"/>
      <c r="AK216" s="512"/>
      <c r="AL216" s="513"/>
      <c r="AM216" s="513"/>
      <c r="AN216" s="27"/>
      <c r="AO216" s="17"/>
      <c r="AP216" s="9"/>
      <c r="AQ216" s="9"/>
      <c r="AR216" s="9"/>
    </row>
    <row r="217" spans="1:44" customFormat="1" outlineLevel="1" x14ac:dyDescent="0.35">
      <c r="A217" s="7"/>
      <c r="B217" s="8"/>
      <c r="C217" s="18"/>
      <c r="D217" s="18"/>
      <c r="E217" s="18"/>
      <c r="F217" s="24"/>
      <c r="G217" s="25"/>
      <c r="H217" s="25" t="s">
        <v>3188</v>
      </c>
      <c r="I217" s="16" t="s">
        <v>3189</v>
      </c>
      <c r="J217" s="577">
        <v>1</v>
      </c>
      <c r="K217" s="577">
        <v>1</v>
      </c>
      <c r="L217" s="577">
        <v>1</v>
      </c>
      <c r="M217" s="577">
        <v>1</v>
      </c>
      <c r="N217" s="577">
        <v>1</v>
      </c>
      <c r="O217" s="577">
        <v>1</v>
      </c>
      <c r="P217" s="577">
        <v>1</v>
      </c>
      <c r="Q217" s="577">
        <v>1</v>
      </c>
      <c r="R217" s="577">
        <v>1</v>
      </c>
      <c r="S217" s="577">
        <v>1</v>
      </c>
      <c r="T217" s="577">
        <v>1</v>
      </c>
      <c r="U217" s="577">
        <v>1</v>
      </c>
      <c r="V217" s="577">
        <v>1</v>
      </c>
      <c r="W217" s="577">
        <v>1</v>
      </c>
      <c r="X217" s="577">
        <v>1</v>
      </c>
      <c r="Y217" s="577">
        <v>1</v>
      </c>
      <c r="Z217" s="577">
        <v>1</v>
      </c>
      <c r="AA217" s="577">
        <v>1</v>
      </c>
      <c r="AB217" s="577">
        <v>1</v>
      </c>
      <c r="AC217" s="577">
        <v>1</v>
      </c>
      <c r="AD217" s="577">
        <v>1</v>
      </c>
      <c r="AE217" s="577">
        <v>1</v>
      </c>
      <c r="AF217" s="577">
        <v>1</v>
      </c>
      <c r="AG217" s="577">
        <v>1</v>
      </c>
      <c r="AH217" s="577">
        <v>1</v>
      </c>
      <c r="AI217" s="577">
        <v>1</v>
      </c>
      <c r="AJ217" s="577">
        <v>1</v>
      </c>
      <c r="AK217" s="577">
        <v>1</v>
      </c>
      <c r="AL217" s="513"/>
      <c r="AM217" s="513"/>
      <c r="AN217" s="27"/>
      <c r="AO217" s="17"/>
      <c r="AP217" s="9"/>
      <c r="AQ217" s="9"/>
      <c r="AR217" s="9"/>
    </row>
    <row r="218" spans="1:44" customFormat="1" outlineLevel="1" x14ac:dyDescent="0.35">
      <c r="A218" s="7"/>
      <c r="B218" s="8"/>
      <c r="C218" s="18"/>
      <c r="D218" s="18"/>
      <c r="E218" s="18"/>
      <c r="F218" s="24"/>
      <c r="G218" s="25"/>
      <c r="H218" s="25"/>
      <c r="I218" s="589" t="s">
        <v>3190</v>
      </c>
      <c r="J218" s="577">
        <v>0</v>
      </c>
      <c r="K218" s="577">
        <v>0</v>
      </c>
      <c r="L218" s="577">
        <v>0</v>
      </c>
      <c r="M218" s="577">
        <v>0</v>
      </c>
      <c r="N218" s="577">
        <v>0</v>
      </c>
      <c r="O218" s="577">
        <v>0</v>
      </c>
      <c r="P218" s="577">
        <v>0</v>
      </c>
      <c r="Q218" s="577">
        <v>0</v>
      </c>
      <c r="R218" s="577">
        <v>0</v>
      </c>
      <c r="S218" s="577">
        <v>0</v>
      </c>
      <c r="T218" s="577">
        <v>0</v>
      </c>
      <c r="U218" s="577">
        <v>0</v>
      </c>
      <c r="V218" s="577">
        <v>0</v>
      </c>
      <c r="W218" s="577">
        <v>0</v>
      </c>
      <c r="X218" s="577">
        <v>0</v>
      </c>
      <c r="Y218" s="577">
        <v>0</v>
      </c>
      <c r="Z218" s="577">
        <v>0</v>
      </c>
      <c r="AA218" s="577">
        <v>0</v>
      </c>
      <c r="AB218" s="577">
        <v>0</v>
      </c>
      <c r="AC218" s="577">
        <v>0</v>
      </c>
      <c r="AD218" s="577">
        <v>0</v>
      </c>
      <c r="AE218" s="577">
        <v>0</v>
      </c>
      <c r="AF218" s="577">
        <v>0</v>
      </c>
      <c r="AG218" s="577">
        <v>0</v>
      </c>
      <c r="AH218" s="577">
        <v>0</v>
      </c>
      <c r="AI218" s="577">
        <v>0</v>
      </c>
      <c r="AJ218" s="577">
        <v>0</v>
      </c>
      <c r="AK218" s="577">
        <v>0</v>
      </c>
      <c r="AL218" s="513"/>
      <c r="AM218" s="513"/>
      <c r="AN218" s="27"/>
      <c r="AO218" s="17"/>
      <c r="AP218" s="9"/>
      <c r="AQ218" s="9"/>
      <c r="AR218" s="9"/>
    </row>
    <row r="219" spans="1:44" customFormat="1" outlineLevel="1" x14ac:dyDescent="0.35">
      <c r="A219" s="7"/>
      <c r="B219" s="8"/>
      <c r="C219" s="18"/>
      <c r="D219" s="18"/>
      <c r="E219" s="18"/>
      <c r="F219" s="24"/>
      <c r="G219" s="25"/>
      <c r="H219" s="25"/>
      <c r="I219" s="589" t="s">
        <v>3191</v>
      </c>
      <c r="J219" s="577">
        <v>0</v>
      </c>
      <c r="K219" s="577">
        <v>0</v>
      </c>
      <c r="L219" s="577">
        <v>0</v>
      </c>
      <c r="M219" s="577">
        <v>0</v>
      </c>
      <c r="N219" s="577">
        <v>0</v>
      </c>
      <c r="O219" s="577">
        <v>0</v>
      </c>
      <c r="P219" s="577">
        <v>0</v>
      </c>
      <c r="Q219" s="577">
        <v>0</v>
      </c>
      <c r="R219" s="577">
        <v>0</v>
      </c>
      <c r="S219" s="577">
        <v>0</v>
      </c>
      <c r="T219" s="577">
        <v>0</v>
      </c>
      <c r="U219" s="577">
        <v>0</v>
      </c>
      <c r="V219" s="577">
        <v>0</v>
      </c>
      <c r="W219" s="577">
        <v>0</v>
      </c>
      <c r="X219" s="577">
        <v>0</v>
      </c>
      <c r="Y219" s="577">
        <v>0</v>
      </c>
      <c r="Z219" s="577">
        <v>0</v>
      </c>
      <c r="AA219" s="577">
        <v>0</v>
      </c>
      <c r="AB219" s="577">
        <v>0</v>
      </c>
      <c r="AC219" s="577">
        <v>0</v>
      </c>
      <c r="AD219" s="577">
        <v>0</v>
      </c>
      <c r="AE219" s="577">
        <v>0</v>
      </c>
      <c r="AF219" s="577">
        <v>0</v>
      </c>
      <c r="AG219" s="577">
        <v>0</v>
      </c>
      <c r="AH219" s="577">
        <v>0</v>
      </c>
      <c r="AI219" s="577">
        <v>0</v>
      </c>
      <c r="AJ219" s="577">
        <v>0</v>
      </c>
      <c r="AK219" s="577">
        <v>0</v>
      </c>
      <c r="AL219" s="513"/>
      <c r="AM219" s="513"/>
      <c r="AN219" s="27"/>
      <c r="AO219" s="17"/>
      <c r="AP219" s="9"/>
      <c r="AQ219" s="9"/>
      <c r="AR219" s="9"/>
    </row>
    <row r="220" spans="1:44" customFormat="1" outlineLevel="1" x14ac:dyDescent="0.35">
      <c r="A220" s="7"/>
      <c r="B220" s="8"/>
      <c r="C220" s="18"/>
      <c r="D220" s="18"/>
      <c r="E220" s="18"/>
      <c r="F220" s="24"/>
      <c r="G220" s="25"/>
      <c r="H220" s="25"/>
      <c r="I220" s="589" t="s">
        <v>3192</v>
      </c>
      <c r="J220" s="577">
        <v>0</v>
      </c>
      <c r="K220" s="577">
        <v>0</v>
      </c>
      <c r="L220" s="577">
        <v>0</v>
      </c>
      <c r="M220" s="577">
        <v>0</v>
      </c>
      <c r="N220" s="577">
        <v>0</v>
      </c>
      <c r="O220" s="577">
        <v>0</v>
      </c>
      <c r="P220" s="577">
        <v>0</v>
      </c>
      <c r="Q220" s="577">
        <v>0</v>
      </c>
      <c r="R220" s="577">
        <v>0</v>
      </c>
      <c r="S220" s="577">
        <v>0</v>
      </c>
      <c r="T220" s="577">
        <v>0</v>
      </c>
      <c r="U220" s="577">
        <v>0</v>
      </c>
      <c r="V220" s="577">
        <v>0</v>
      </c>
      <c r="W220" s="577">
        <v>0</v>
      </c>
      <c r="X220" s="577">
        <v>0</v>
      </c>
      <c r="Y220" s="577">
        <v>0</v>
      </c>
      <c r="Z220" s="577">
        <v>0</v>
      </c>
      <c r="AA220" s="577">
        <v>0</v>
      </c>
      <c r="AB220" s="577">
        <v>0</v>
      </c>
      <c r="AC220" s="577">
        <v>0</v>
      </c>
      <c r="AD220" s="577">
        <v>0</v>
      </c>
      <c r="AE220" s="577">
        <v>0</v>
      </c>
      <c r="AF220" s="577">
        <v>0</v>
      </c>
      <c r="AG220" s="577">
        <v>0</v>
      </c>
      <c r="AH220" s="577">
        <v>0</v>
      </c>
      <c r="AI220" s="577">
        <v>0</v>
      </c>
      <c r="AJ220" s="577">
        <v>0</v>
      </c>
      <c r="AK220" s="577">
        <v>0</v>
      </c>
      <c r="AL220" s="513"/>
      <c r="AM220" s="513"/>
      <c r="AN220" s="27"/>
      <c r="AO220" s="17"/>
      <c r="AP220" s="9"/>
      <c r="AQ220" s="9"/>
      <c r="AR220" s="9"/>
    </row>
    <row r="221" spans="1:44" customFormat="1" outlineLevel="1" x14ac:dyDescent="0.35">
      <c r="A221" s="7"/>
      <c r="B221" s="8"/>
      <c r="C221" s="18"/>
      <c r="D221" s="18"/>
      <c r="E221" s="18"/>
      <c r="F221" s="24"/>
      <c r="G221" s="25"/>
      <c r="H221" s="25"/>
      <c r="I221" s="589" t="s">
        <v>3193</v>
      </c>
      <c r="J221" s="577">
        <v>0</v>
      </c>
      <c r="K221" s="577">
        <v>0</v>
      </c>
      <c r="L221" s="577">
        <v>0</v>
      </c>
      <c r="M221" s="577">
        <v>0</v>
      </c>
      <c r="N221" s="577">
        <v>0</v>
      </c>
      <c r="O221" s="577">
        <v>0</v>
      </c>
      <c r="P221" s="577">
        <v>0</v>
      </c>
      <c r="Q221" s="577">
        <v>0</v>
      </c>
      <c r="R221" s="577">
        <v>0</v>
      </c>
      <c r="S221" s="577">
        <v>0</v>
      </c>
      <c r="T221" s="577">
        <v>0</v>
      </c>
      <c r="U221" s="577">
        <v>0</v>
      </c>
      <c r="V221" s="577">
        <v>0</v>
      </c>
      <c r="W221" s="577">
        <v>0</v>
      </c>
      <c r="X221" s="577">
        <v>0</v>
      </c>
      <c r="Y221" s="577">
        <v>0</v>
      </c>
      <c r="Z221" s="577">
        <v>0</v>
      </c>
      <c r="AA221" s="577">
        <v>0</v>
      </c>
      <c r="AB221" s="577">
        <v>0</v>
      </c>
      <c r="AC221" s="577">
        <v>0</v>
      </c>
      <c r="AD221" s="577">
        <v>0</v>
      </c>
      <c r="AE221" s="577">
        <v>0</v>
      </c>
      <c r="AF221" s="577">
        <v>0</v>
      </c>
      <c r="AG221" s="577">
        <v>0</v>
      </c>
      <c r="AH221" s="577">
        <v>0</v>
      </c>
      <c r="AI221" s="577">
        <v>0</v>
      </c>
      <c r="AJ221" s="577">
        <v>0</v>
      </c>
      <c r="AK221" s="577">
        <v>0</v>
      </c>
      <c r="AL221" s="513"/>
      <c r="AM221" s="513"/>
      <c r="AN221" s="27"/>
      <c r="AO221" s="17"/>
      <c r="AP221" s="9"/>
      <c r="AQ221" s="9"/>
      <c r="AR221" s="9"/>
    </row>
    <row r="222" spans="1:44" customFormat="1" outlineLevel="1" x14ac:dyDescent="0.35">
      <c r="A222" s="7"/>
      <c r="B222" s="8"/>
      <c r="C222" s="18"/>
      <c r="D222" s="18"/>
      <c r="E222" s="18"/>
      <c r="F222" s="24"/>
      <c r="G222" s="25"/>
      <c r="H222" s="25"/>
      <c r="I222" s="589" t="s">
        <v>3194</v>
      </c>
      <c r="J222" s="577">
        <v>0</v>
      </c>
      <c r="K222" s="577">
        <v>0</v>
      </c>
      <c r="L222" s="577">
        <v>0</v>
      </c>
      <c r="M222" s="577">
        <v>0</v>
      </c>
      <c r="N222" s="577">
        <v>0</v>
      </c>
      <c r="O222" s="577">
        <v>0</v>
      </c>
      <c r="P222" s="577">
        <v>0</v>
      </c>
      <c r="Q222" s="577">
        <v>0</v>
      </c>
      <c r="R222" s="577">
        <v>0</v>
      </c>
      <c r="S222" s="577">
        <v>0</v>
      </c>
      <c r="T222" s="577">
        <v>0</v>
      </c>
      <c r="U222" s="577">
        <v>0</v>
      </c>
      <c r="V222" s="577">
        <v>0</v>
      </c>
      <c r="W222" s="577">
        <v>0</v>
      </c>
      <c r="X222" s="577">
        <v>0</v>
      </c>
      <c r="Y222" s="577">
        <v>0</v>
      </c>
      <c r="Z222" s="577">
        <v>0</v>
      </c>
      <c r="AA222" s="577">
        <v>0</v>
      </c>
      <c r="AB222" s="577">
        <v>0</v>
      </c>
      <c r="AC222" s="577">
        <v>0</v>
      </c>
      <c r="AD222" s="577">
        <v>0</v>
      </c>
      <c r="AE222" s="577">
        <v>0</v>
      </c>
      <c r="AF222" s="577">
        <v>0</v>
      </c>
      <c r="AG222" s="577">
        <v>0</v>
      </c>
      <c r="AH222" s="577">
        <v>0</v>
      </c>
      <c r="AI222" s="577">
        <v>0</v>
      </c>
      <c r="AJ222" s="577">
        <v>0</v>
      </c>
      <c r="AK222" s="577">
        <v>0</v>
      </c>
      <c r="AL222" s="513"/>
      <c r="AM222" s="513"/>
      <c r="AN222" s="27"/>
      <c r="AO222" s="17"/>
      <c r="AP222" s="9"/>
      <c r="AQ222" s="9"/>
      <c r="AR222" s="9"/>
    </row>
    <row r="223" spans="1:44" customFormat="1" outlineLevel="1" x14ac:dyDescent="0.35">
      <c r="A223" s="7"/>
      <c r="B223" s="8"/>
      <c r="C223" s="18"/>
      <c r="D223" s="18"/>
      <c r="E223" s="18"/>
      <c r="F223" s="24"/>
      <c r="G223" s="25"/>
      <c r="H223" s="25"/>
      <c r="I223" s="589" t="s">
        <v>3195</v>
      </c>
      <c r="J223" s="577">
        <v>0</v>
      </c>
      <c r="K223" s="577">
        <v>0</v>
      </c>
      <c r="L223" s="577">
        <v>0</v>
      </c>
      <c r="M223" s="577">
        <v>0</v>
      </c>
      <c r="N223" s="577">
        <v>0</v>
      </c>
      <c r="O223" s="577">
        <v>0</v>
      </c>
      <c r="P223" s="577">
        <v>0</v>
      </c>
      <c r="Q223" s="577">
        <v>0</v>
      </c>
      <c r="R223" s="577">
        <v>0</v>
      </c>
      <c r="S223" s="577">
        <v>0</v>
      </c>
      <c r="T223" s="577">
        <v>0</v>
      </c>
      <c r="U223" s="577">
        <v>0</v>
      </c>
      <c r="V223" s="577">
        <v>0</v>
      </c>
      <c r="W223" s="577">
        <v>0</v>
      </c>
      <c r="X223" s="577">
        <v>0</v>
      </c>
      <c r="Y223" s="577">
        <v>0</v>
      </c>
      <c r="Z223" s="577">
        <v>0</v>
      </c>
      <c r="AA223" s="577">
        <v>0</v>
      </c>
      <c r="AB223" s="577">
        <v>0</v>
      </c>
      <c r="AC223" s="577">
        <v>0</v>
      </c>
      <c r="AD223" s="577">
        <v>0</v>
      </c>
      <c r="AE223" s="577">
        <v>0</v>
      </c>
      <c r="AF223" s="577">
        <v>0</v>
      </c>
      <c r="AG223" s="577">
        <v>0</v>
      </c>
      <c r="AH223" s="577">
        <v>0</v>
      </c>
      <c r="AI223" s="577">
        <v>0</v>
      </c>
      <c r="AJ223" s="577">
        <v>0</v>
      </c>
      <c r="AK223" s="577">
        <v>0</v>
      </c>
      <c r="AL223" s="513"/>
      <c r="AM223" s="513"/>
      <c r="AN223" s="27"/>
      <c r="AO223" s="17"/>
      <c r="AP223" s="9"/>
      <c r="AQ223" s="9"/>
      <c r="AR223" s="9"/>
    </row>
    <row r="224" spans="1:44" customFormat="1" outlineLevel="1" x14ac:dyDescent="0.35">
      <c r="A224" s="7"/>
      <c r="B224" s="8"/>
      <c r="C224" s="18"/>
      <c r="D224" s="18"/>
      <c r="E224" s="18"/>
      <c r="F224" s="24"/>
      <c r="G224" s="25"/>
      <c r="H224" s="25"/>
      <c r="I224" s="589" t="s">
        <v>3196</v>
      </c>
      <c r="J224" s="577">
        <v>0</v>
      </c>
      <c r="K224" s="577">
        <v>0</v>
      </c>
      <c r="L224" s="577">
        <v>0</v>
      </c>
      <c r="M224" s="577">
        <v>0</v>
      </c>
      <c r="N224" s="577">
        <v>0</v>
      </c>
      <c r="O224" s="577">
        <v>0</v>
      </c>
      <c r="P224" s="577">
        <v>0</v>
      </c>
      <c r="Q224" s="577">
        <v>0</v>
      </c>
      <c r="R224" s="577">
        <v>0</v>
      </c>
      <c r="S224" s="577">
        <v>0</v>
      </c>
      <c r="T224" s="577">
        <v>0</v>
      </c>
      <c r="U224" s="577">
        <v>0</v>
      </c>
      <c r="V224" s="577">
        <v>0</v>
      </c>
      <c r="W224" s="577">
        <v>0</v>
      </c>
      <c r="X224" s="577">
        <v>0</v>
      </c>
      <c r="Y224" s="577">
        <v>0</v>
      </c>
      <c r="Z224" s="577">
        <v>0</v>
      </c>
      <c r="AA224" s="577">
        <v>0</v>
      </c>
      <c r="AB224" s="577">
        <v>0</v>
      </c>
      <c r="AC224" s="577">
        <v>0</v>
      </c>
      <c r="AD224" s="577">
        <v>0</v>
      </c>
      <c r="AE224" s="577">
        <v>0</v>
      </c>
      <c r="AF224" s="577">
        <v>0</v>
      </c>
      <c r="AG224" s="577">
        <v>0</v>
      </c>
      <c r="AH224" s="577">
        <v>0</v>
      </c>
      <c r="AI224" s="577">
        <v>0</v>
      </c>
      <c r="AJ224" s="577">
        <v>0</v>
      </c>
      <c r="AK224" s="577">
        <v>0</v>
      </c>
      <c r="AL224" s="513"/>
      <c r="AM224" s="513"/>
      <c r="AN224" s="27"/>
      <c r="AO224" s="17"/>
      <c r="AP224" s="9"/>
      <c r="AQ224" s="9"/>
      <c r="AR224" s="9"/>
    </row>
    <row r="225" spans="1:44" customFormat="1" outlineLevel="1" x14ac:dyDescent="0.35">
      <c r="A225" s="7"/>
      <c r="B225" s="8"/>
      <c r="C225" s="18"/>
      <c r="D225" s="18"/>
      <c r="E225" s="18"/>
      <c r="F225" s="24"/>
      <c r="G225" s="25"/>
      <c r="H225" s="25"/>
      <c r="I225" s="589" t="s">
        <v>3197</v>
      </c>
      <c r="J225" s="577">
        <v>0</v>
      </c>
      <c r="K225" s="577">
        <v>0</v>
      </c>
      <c r="L225" s="577">
        <v>0</v>
      </c>
      <c r="M225" s="577">
        <v>0</v>
      </c>
      <c r="N225" s="577">
        <v>0</v>
      </c>
      <c r="O225" s="577">
        <v>0</v>
      </c>
      <c r="P225" s="577">
        <v>0</v>
      </c>
      <c r="Q225" s="577">
        <v>0</v>
      </c>
      <c r="R225" s="577">
        <v>0</v>
      </c>
      <c r="S225" s="577">
        <v>0</v>
      </c>
      <c r="T225" s="577">
        <v>0</v>
      </c>
      <c r="U225" s="577">
        <v>0</v>
      </c>
      <c r="V225" s="577">
        <v>0</v>
      </c>
      <c r="W225" s="577">
        <v>0</v>
      </c>
      <c r="X225" s="577">
        <v>0</v>
      </c>
      <c r="Y225" s="577">
        <v>0</v>
      </c>
      <c r="Z225" s="577">
        <v>0</v>
      </c>
      <c r="AA225" s="577">
        <v>0</v>
      </c>
      <c r="AB225" s="577">
        <v>0</v>
      </c>
      <c r="AC225" s="577">
        <v>0</v>
      </c>
      <c r="AD225" s="577">
        <v>0</v>
      </c>
      <c r="AE225" s="577">
        <v>0</v>
      </c>
      <c r="AF225" s="577">
        <v>0</v>
      </c>
      <c r="AG225" s="577">
        <v>0</v>
      </c>
      <c r="AH225" s="577">
        <v>0</v>
      </c>
      <c r="AI225" s="577">
        <v>0</v>
      </c>
      <c r="AJ225" s="577">
        <v>0</v>
      </c>
      <c r="AK225" s="577">
        <v>0</v>
      </c>
      <c r="AL225" s="513"/>
      <c r="AM225" s="513"/>
      <c r="AN225" s="27"/>
      <c r="AO225" s="17"/>
      <c r="AP225" s="9"/>
      <c r="AQ225" s="9"/>
      <c r="AR225" s="9"/>
    </row>
    <row r="226" spans="1:44" customFormat="1" outlineLevel="1" x14ac:dyDescent="0.35">
      <c r="A226" s="7"/>
      <c r="B226" s="8"/>
      <c r="C226" s="18"/>
      <c r="D226" s="18"/>
      <c r="E226" s="18"/>
      <c r="F226" s="24"/>
      <c r="G226" s="25"/>
      <c r="H226" s="25"/>
      <c r="I226" s="589" t="s">
        <v>3198</v>
      </c>
      <c r="J226" s="577">
        <v>0</v>
      </c>
      <c r="K226" s="577">
        <v>0</v>
      </c>
      <c r="L226" s="577">
        <v>0</v>
      </c>
      <c r="M226" s="577">
        <v>0</v>
      </c>
      <c r="N226" s="577">
        <v>0</v>
      </c>
      <c r="O226" s="577">
        <v>0</v>
      </c>
      <c r="P226" s="577">
        <v>0</v>
      </c>
      <c r="Q226" s="577">
        <v>0</v>
      </c>
      <c r="R226" s="577">
        <v>0</v>
      </c>
      <c r="S226" s="577">
        <v>0</v>
      </c>
      <c r="T226" s="577">
        <v>0</v>
      </c>
      <c r="U226" s="577">
        <v>0</v>
      </c>
      <c r="V226" s="577">
        <v>0</v>
      </c>
      <c r="W226" s="577">
        <v>0</v>
      </c>
      <c r="X226" s="577">
        <v>0</v>
      </c>
      <c r="Y226" s="577">
        <v>0</v>
      </c>
      <c r="Z226" s="577">
        <v>0</v>
      </c>
      <c r="AA226" s="577">
        <v>0</v>
      </c>
      <c r="AB226" s="577">
        <v>0</v>
      </c>
      <c r="AC226" s="577">
        <v>0</v>
      </c>
      <c r="AD226" s="577">
        <v>0</v>
      </c>
      <c r="AE226" s="577">
        <v>0</v>
      </c>
      <c r="AF226" s="577">
        <v>0</v>
      </c>
      <c r="AG226" s="577">
        <v>0</v>
      </c>
      <c r="AH226" s="577">
        <v>0</v>
      </c>
      <c r="AI226" s="577">
        <v>0</v>
      </c>
      <c r="AJ226" s="577">
        <v>0</v>
      </c>
      <c r="AK226" s="577">
        <v>0</v>
      </c>
      <c r="AL226" s="513"/>
      <c r="AM226" s="513"/>
      <c r="AN226" s="27"/>
      <c r="AO226" s="17"/>
      <c r="AP226" s="9"/>
      <c r="AQ226" s="9"/>
      <c r="AR226" s="9"/>
    </row>
    <row r="227" spans="1:44" customFormat="1" outlineLevel="1" x14ac:dyDescent="0.35">
      <c r="A227" s="7"/>
      <c r="B227" s="8"/>
      <c r="C227" s="18"/>
      <c r="D227" s="18"/>
      <c r="E227" s="18"/>
      <c r="F227" s="24"/>
      <c r="G227" s="25"/>
      <c r="H227" s="25"/>
      <c r="I227" s="589" t="s">
        <v>3199</v>
      </c>
      <c r="J227" s="577">
        <v>0</v>
      </c>
      <c r="K227" s="577">
        <v>0</v>
      </c>
      <c r="L227" s="577">
        <v>0</v>
      </c>
      <c r="M227" s="577">
        <v>0</v>
      </c>
      <c r="N227" s="577">
        <v>0</v>
      </c>
      <c r="O227" s="577">
        <v>0</v>
      </c>
      <c r="P227" s="577">
        <v>0</v>
      </c>
      <c r="Q227" s="577">
        <v>0</v>
      </c>
      <c r="R227" s="577">
        <v>0</v>
      </c>
      <c r="S227" s="577">
        <v>0</v>
      </c>
      <c r="T227" s="577">
        <v>0</v>
      </c>
      <c r="U227" s="577">
        <v>0</v>
      </c>
      <c r="V227" s="577">
        <v>0</v>
      </c>
      <c r="W227" s="577">
        <v>0</v>
      </c>
      <c r="X227" s="577">
        <v>0</v>
      </c>
      <c r="Y227" s="577">
        <v>0</v>
      </c>
      <c r="Z227" s="577">
        <v>0</v>
      </c>
      <c r="AA227" s="577">
        <v>0</v>
      </c>
      <c r="AB227" s="577">
        <v>0</v>
      </c>
      <c r="AC227" s="577">
        <v>0</v>
      </c>
      <c r="AD227" s="577">
        <v>0</v>
      </c>
      <c r="AE227" s="577">
        <v>0</v>
      </c>
      <c r="AF227" s="577">
        <v>0</v>
      </c>
      <c r="AG227" s="577">
        <v>0</v>
      </c>
      <c r="AH227" s="577">
        <v>0</v>
      </c>
      <c r="AI227" s="577">
        <v>0</v>
      </c>
      <c r="AJ227" s="577">
        <v>0</v>
      </c>
      <c r="AK227" s="577">
        <v>0</v>
      </c>
      <c r="AL227" s="513"/>
      <c r="AM227" s="513"/>
      <c r="AN227" s="27"/>
      <c r="AO227" s="17"/>
      <c r="AP227" s="9"/>
      <c r="AQ227" s="9"/>
      <c r="AR227" s="9"/>
    </row>
    <row r="228" spans="1:44" customFormat="1" outlineLevel="1" x14ac:dyDescent="0.35">
      <c r="A228" s="7"/>
      <c r="B228" s="8"/>
      <c r="C228" s="18"/>
      <c r="D228" s="18"/>
      <c r="E228" s="18"/>
      <c r="F228" s="24"/>
      <c r="G228" s="25"/>
      <c r="H228" s="25"/>
      <c r="J228" s="513"/>
      <c r="K228" s="513"/>
      <c r="L228" s="513"/>
      <c r="M228" s="513"/>
      <c r="N228" s="513"/>
      <c r="O228" s="513"/>
      <c r="P228" s="513"/>
      <c r="Q228" s="513"/>
      <c r="R228" s="513"/>
      <c r="S228" s="513"/>
      <c r="T228" s="513"/>
      <c r="U228" s="513"/>
      <c r="V228" s="513"/>
      <c r="W228" s="513"/>
      <c r="X228" s="513"/>
      <c r="Y228" s="513"/>
      <c r="Z228" s="513"/>
      <c r="AA228" s="513"/>
      <c r="AB228" s="513"/>
      <c r="AC228" s="513"/>
      <c r="AD228" s="513"/>
      <c r="AE228" s="513"/>
      <c r="AF228" s="513"/>
      <c r="AG228" s="513"/>
      <c r="AH228" s="513"/>
      <c r="AI228" s="513"/>
      <c r="AJ228" s="513"/>
      <c r="AK228" s="513"/>
      <c r="AL228" s="513"/>
      <c r="AM228" s="513"/>
      <c r="AN228" s="27"/>
      <c r="AO228" s="17"/>
      <c r="AP228" s="9"/>
      <c r="AQ228" s="9"/>
      <c r="AR228" s="9"/>
    </row>
    <row r="229" spans="1:44" customFormat="1" outlineLevel="1" x14ac:dyDescent="0.35">
      <c r="A229" s="7"/>
      <c r="B229" s="8"/>
      <c r="C229" s="18"/>
      <c r="D229" s="18"/>
      <c r="E229" s="18"/>
      <c r="F229" s="24"/>
      <c r="G229" s="25"/>
      <c r="H229" s="25" t="s">
        <v>3200</v>
      </c>
      <c r="I229" s="589" t="s">
        <v>3191</v>
      </c>
      <c r="J229" s="577">
        <v>0</v>
      </c>
      <c r="K229" s="577">
        <v>0</v>
      </c>
      <c r="L229" s="577">
        <v>0</v>
      </c>
      <c r="M229" s="577">
        <v>0</v>
      </c>
      <c r="N229" s="577">
        <v>0</v>
      </c>
      <c r="O229" s="577">
        <v>0</v>
      </c>
      <c r="P229" s="577">
        <v>0</v>
      </c>
      <c r="Q229" s="577">
        <v>0</v>
      </c>
      <c r="R229" s="577">
        <v>0</v>
      </c>
      <c r="S229" s="577">
        <v>0</v>
      </c>
      <c r="T229" s="577">
        <v>0</v>
      </c>
      <c r="U229" s="577">
        <v>0</v>
      </c>
      <c r="V229" s="577">
        <v>0</v>
      </c>
      <c r="W229" s="577">
        <v>0</v>
      </c>
      <c r="X229" s="577">
        <v>0</v>
      </c>
      <c r="Y229" s="577">
        <v>0</v>
      </c>
      <c r="Z229" s="577">
        <v>0</v>
      </c>
      <c r="AA229" s="577">
        <v>0</v>
      </c>
      <c r="AB229" s="577">
        <v>0</v>
      </c>
      <c r="AC229" s="577">
        <v>0</v>
      </c>
      <c r="AD229" s="577">
        <v>0.4</v>
      </c>
      <c r="AE229" s="577">
        <v>0.5</v>
      </c>
      <c r="AF229" s="577">
        <v>0.5</v>
      </c>
      <c r="AG229" s="577">
        <v>0.5</v>
      </c>
      <c r="AH229" s="577">
        <v>0.5</v>
      </c>
      <c r="AI229" s="577">
        <v>0.4</v>
      </c>
      <c r="AJ229" s="577">
        <v>0</v>
      </c>
      <c r="AK229" s="577">
        <v>0.4</v>
      </c>
      <c r="AL229" s="513"/>
      <c r="AM229" s="513"/>
      <c r="AN229" s="27"/>
      <c r="AO229" s="17"/>
      <c r="AP229" s="9"/>
      <c r="AQ229" s="9"/>
      <c r="AR229" s="9"/>
    </row>
    <row r="230" spans="1:44" customFormat="1" outlineLevel="1" x14ac:dyDescent="0.35">
      <c r="A230" s="7"/>
      <c r="B230" s="8"/>
      <c r="C230" s="18"/>
      <c r="D230" s="18"/>
      <c r="E230" s="18"/>
      <c r="F230" s="24"/>
      <c r="G230" s="25"/>
      <c r="H230" s="25"/>
      <c r="I230" s="589" t="s">
        <v>3192</v>
      </c>
      <c r="J230" s="577">
        <v>0</v>
      </c>
      <c r="K230" s="577">
        <v>0</v>
      </c>
      <c r="L230" s="577">
        <v>0</v>
      </c>
      <c r="M230" s="577">
        <v>0</v>
      </c>
      <c r="N230" s="577">
        <v>0</v>
      </c>
      <c r="O230" s="577">
        <v>0</v>
      </c>
      <c r="P230" s="577">
        <v>0</v>
      </c>
      <c r="Q230" s="577">
        <v>0</v>
      </c>
      <c r="R230" s="577">
        <v>0</v>
      </c>
      <c r="S230" s="577">
        <v>0</v>
      </c>
      <c r="T230" s="577">
        <v>0</v>
      </c>
      <c r="U230" s="577">
        <v>0</v>
      </c>
      <c r="V230" s="577">
        <v>0</v>
      </c>
      <c r="W230" s="577">
        <v>0</v>
      </c>
      <c r="X230" s="577">
        <v>0</v>
      </c>
      <c r="Y230" s="577">
        <v>0</v>
      </c>
      <c r="Z230" s="577">
        <v>0</v>
      </c>
      <c r="AA230" s="577">
        <v>0</v>
      </c>
      <c r="AB230" s="577">
        <v>0</v>
      </c>
      <c r="AC230" s="577">
        <v>0</v>
      </c>
      <c r="AD230" s="577">
        <v>0.5</v>
      </c>
      <c r="AE230" s="577">
        <v>0.4</v>
      </c>
      <c r="AF230" s="577">
        <v>0.4</v>
      </c>
      <c r="AG230" s="577">
        <v>0.4</v>
      </c>
      <c r="AH230" s="577">
        <v>0.4</v>
      </c>
      <c r="AI230" s="577">
        <v>0.5</v>
      </c>
      <c r="AJ230" s="577">
        <v>0</v>
      </c>
      <c r="AK230" s="577">
        <v>0.5</v>
      </c>
      <c r="AL230" s="513"/>
      <c r="AM230" s="513"/>
      <c r="AN230" s="27"/>
      <c r="AO230" s="17"/>
      <c r="AP230" s="9"/>
      <c r="AQ230" s="9"/>
      <c r="AR230" s="9"/>
    </row>
    <row r="231" spans="1:44" customFormat="1" outlineLevel="1" x14ac:dyDescent="0.35">
      <c r="A231" s="7"/>
      <c r="B231" s="8"/>
      <c r="C231" s="18"/>
      <c r="D231" s="18"/>
      <c r="E231" s="18"/>
      <c r="F231" s="24"/>
      <c r="G231" s="25"/>
      <c r="H231" s="25"/>
      <c r="I231" s="589" t="s">
        <v>3193</v>
      </c>
      <c r="J231" s="577">
        <v>0</v>
      </c>
      <c r="K231" s="577">
        <v>0</v>
      </c>
      <c r="L231" s="577">
        <v>0</v>
      </c>
      <c r="M231" s="577">
        <v>0</v>
      </c>
      <c r="N231" s="577">
        <v>0</v>
      </c>
      <c r="O231" s="577">
        <v>0</v>
      </c>
      <c r="P231" s="577">
        <v>0</v>
      </c>
      <c r="Q231" s="577">
        <v>0</v>
      </c>
      <c r="R231" s="577">
        <v>0</v>
      </c>
      <c r="S231" s="577">
        <v>0</v>
      </c>
      <c r="T231" s="577">
        <v>0</v>
      </c>
      <c r="U231" s="577">
        <v>0</v>
      </c>
      <c r="V231" s="577">
        <v>0</v>
      </c>
      <c r="W231" s="577">
        <v>0</v>
      </c>
      <c r="X231" s="577">
        <v>0</v>
      </c>
      <c r="Y231" s="577">
        <v>0</v>
      </c>
      <c r="Z231" s="577">
        <v>0</v>
      </c>
      <c r="AA231" s="577">
        <v>0</v>
      </c>
      <c r="AB231" s="577">
        <v>0</v>
      </c>
      <c r="AC231" s="577">
        <v>0</v>
      </c>
      <c r="AD231" s="577">
        <v>0</v>
      </c>
      <c r="AE231" s="577">
        <v>0</v>
      </c>
      <c r="AF231" s="577">
        <v>0</v>
      </c>
      <c r="AG231" s="577">
        <v>0</v>
      </c>
      <c r="AH231" s="577">
        <v>0</v>
      </c>
      <c r="AI231" s="577">
        <v>0</v>
      </c>
      <c r="AJ231" s="577">
        <v>0</v>
      </c>
      <c r="AK231" s="577">
        <v>0</v>
      </c>
      <c r="AL231" s="513"/>
      <c r="AM231" s="513"/>
      <c r="AN231" s="27"/>
      <c r="AO231" s="17"/>
      <c r="AP231" s="9"/>
      <c r="AQ231" s="9"/>
      <c r="AR231" s="9"/>
    </row>
    <row r="232" spans="1:44" customFormat="1" outlineLevel="1" x14ac:dyDescent="0.35">
      <c r="A232" s="7"/>
      <c r="B232" s="8"/>
      <c r="C232" s="18"/>
      <c r="D232" s="18"/>
      <c r="E232" s="18"/>
      <c r="F232" s="24"/>
      <c r="G232" s="25"/>
      <c r="H232" s="25"/>
      <c r="I232" s="589" t="s">
        <v>3194</v>
      </c>
      <c r="J232" s="577">
        <v>0</v>
      </c>
      <c r="K232" s="577">
        <v>0</v>
      </c>
      <c r="L232" s="577">
        <v>0</v>
      </c>
      <c r="M232" s="577">
        <v>0</v>
      </c>
      <c r="N232" s="577">
        <v>0</v>
      </c>
      <c r="O232" s="577">
        <v>0</v>
      </c>
      <c r="P232" s="577">
        <v>0</v>
      </c>
      <c r="Q232" s="577">
        <v>0</v>
      </c>
      <c r="R232" s="577">
        <v>0</v>
      </c>
      <c r="S232" s="577">
        <v>0</v>
      </c>
      <c r="T232" s="577">
        <v>0</v>
      </c>
      <c r="U232" s="577">
        <v>0</v>
      </c>
      <c r="V232" s="577">
        <v>0</v>
      </c>
      <c r="W232" s="577">
        <v>0</v>
      </c>
      <c r="X232" s="577">
        <v>0</v>
      </c>
      <c r="Y232" s="577">
        <v>0</v>
      </c>
      <c r="Z232" s="577">
        <v>0</v>
      </c>
      <c r="AA232" s="577">
        <v>0</v>
      </c>
      <c r="AB232" s="577">
        <v>0</v>
      </c>
      <c r="AC232" s="577">
        <v>0</v>
      </c>
      <c r="AD232" s="577">
        <v>0.1</v>
      </c>
      <c r="AE232" s="577">
        <v>0.1</v>
      </c>
      <c r="AF232" s="577">
        <v>0.1</v>
      </c>
      <c r="AG232" s="577">
        <v>0.1</v>
      </c>
      <c r="AH232" s="577">
        <v>0.1</v>
      </c>
      <c r="AI232" s="577">
        <v>0.1</v>
      </c>
      <c r="AJ232" s="577">
        <v>0</v>
      </c>
      <c r="AK232" s="577">
        <v>0.1</v>
      </c>
      <c r="AL232" s="513"/>
      <c r="AM232" s="513"/>
      <c r="AN232" s="27"/>
      <c r="AO232" s="17"/>
      <c r="AP232" s="9"/>
      <c r="AQ232" s="9"/>
      <c r="AR232" s="9"/>
    </row>
    <row r="233" spans="1:44" customFormat="1" outlineLevel="1" x14ac:dyDescent="0.35">
      <c r="A233" s="7"/>
      <c r="B233" s="8"/>
      <c r="C233" s="18"/>
      <c r="D233" s="18"/>
      <c r="E233" s="18"/>
      <c r="F233" s="24"/>
      <c r="G233" s="25"/>
      <c r="H233" s="25"/>
      <c r="I233" s="589" t="s">
        <v>3195</v>
      </c>
      <c r="J233" s="577">
        <v>0</v>
      </c>
      <c r="K233" s="577">
        <v>0</v>
      </c>
      <c r="L233" s="577">
        <v>0</v>
      </c>
      <c r="M233" s="577">
        <v>0</v>
      </c>
      <c r="N233" s="577">
        <v>0</v>
      </c>
      <c r="O233" s="577">
        <v>0</v>
      </c>
      <c r="P233" s="577">
        <v>0</v>
      </c>
      <c r="Q233" s="577">
        <v>0</v>
      </c>
      <c r="R233" s="577">
        <v>0</v>
      </c>
      <c r="S233" s="577">
        <v>0</v>
      </c>
      <c r="T233" s="577">
        <v>0</v>
      </c>
      <c r="U233" s="577">
        <v>0</v>
      </c>
      <c r="V233" s="577">
        <v>0</v>
      </c>
      <c r="W233" s="577">
        <v>0</v>
      </c>
      <c r="X233" s="577">
        <v>0</v>
      </c>
      <c r="Y233" s="577">
        <v>0</v>
      </c>
      <c r="Z233" s="577">
        <v>0</v>
      </c>
      <c r="AA233" s="577">
        <v>0</v>
      </c>
      <c r="AB233" s="577">
        <v>0</v>
      </c>
      <c r="AC233" s="577">
        <v>0</v>
      </c>
      <c r="AD233" s="577">
        <v>0</v>
      </c>
      <c r="AE233" s="577">
        <v>0</v>
      </c>
      <c r="AF233" s="577">
        <v>0</v>
      </c>
      <c r="AG233" s="577">
        <v>0</v>
      </c>
      <c r="AH233" s="577">
        <v>0</v>
      </c>
      <c r="AI233" s="577">
        <v>0</v>
      </c>
      <c r="AJ233" s="577">
        <v>0</v>
      </c>
      <c r="AK233" s="577">
        <v>0</v>
      </c>
      <c r="AL233" s="513"/>
      <c r="AM233" s="513"/>
      <c r="AN233" s="27"/>
      <c r="AO233" s="17"/>
      <c r="AP233" s="9"/>
      <c r="AQ233" s="9"/>
      <c r="AR233" s="9"/>
    </row>
    <row r="234" spans="1:44" customFormat="1" outlineLevel="1" x14ac:dyDescent="0.35">
      <c r="A234" s="7"/>
      <c r="B234" s="8"/>
      <c r="C234" s="18"/>
      <c r="D234" s="18"/>
      <c r="E234" s="18"/>
      <c r="F234" s="24"/>
      <c r="G234" s="25"/>
      <c r="H234" s="25"/>
      <c r="I234" s="589" t="s">
        <v>3196</v>
      </c>
      <c r="J234" s="577">
        <v>0</v>
      </c>
      <c r="K234" s="577">
        <v>0</v>
      </c>
      <c r="L234" s="577">
        <v>0</v>
      </c>
      <c r="M234" s="577">
        <v>0</v>
      </c>
      <c r="N234" s="577">
        <v>0</v>
      </c>
      <c r="O234" s="577">
        <v>0</v>
      </c>
      <c r="P234" s="577">
        <v>0</v>
      </c>
      <c r="Q234" s="577">
        <v>0</v>
      </c>
      <c r="R234" s="577">
        <v>0</v>
      </c>
      <c r="S234" s="577">
        <v>0</v>
      </c>
      <c r="T234" s="577">
        <v>0</v>
      </c>
      <c r="U234" s="577">
        <v>0</v>
      </c>
      <c r="V234" s="577">
        <v>0</v>
      </c>
      <c r="W234" s="577">
        <v>0</v>
      </c>
      <c r="X234" s="577">
        <v>0</v>
      </c>
      <c r="Y234" s="577">
        <v>0</v>
      </c>
      <c r="Z234" s="577">
        <v>0</v>
      </c>
      <c r="AA234" s="577">
        <v>0</v>
      </c>
      <c r="AB234" s="577">
        <v>0</v>
      </c>
      <c r="AC234" s="577">
        <v>0</v>
      </c>
      <c r="AD234" s="577">
        <v>0</v>
      </c>
      <c r="AE234" s="577">
        <v>0</v>
      </c>
      <c r="AF234" s="577">
        <v>0</v>
      </c>
      <c r="AG234" s="577">
        <v>0</v>
      </c>
      <c r="AH234" s="577">
        <v>0</v>
      </c>
      <c r="AI234" s="577">
        <v>0</v>
      </c>
      <c r="AJ234" s="577">
        <v>0</v>
      </c>
      <c r="AK234" s="577">
        <v>0</v>
      </c>
      <c r="AL234" s="513"/>
      <c r="AM234" s="513"/>
      <c r="AN234" s="27"/>
      <c r="AO234" s="17"/>
      <c r="AP234" s="9"/>
      <c r="AQ234" s="9"/>
      <c r="AR234" s="9"/>
    </row>
    <row r="235" spans="1:44" customFormat="1" outlineLevel="1" x14ac:dyDescent="0.35">
      <c r="A235" s="7"/>
      <c r="B235" s="8"/>
      <c r="C235" s="18"/>
      <c r="D235" s="18"/>
      <c r="E235" s="18"/>
      <c r="F235" s="24"/>
      <c r="G235" s="25"/>
      <c r="H235" s="25"/>
      <c r="I235" s="512"/>
      <c r="J235" s="512"/>
      <c r="K235" s="512"/>
      <c r="L235" s="512"/>
      <c r="M235" s="512"/>
      <c r="N235" s="512"/>
      <c r="O235" s="512"/>
      <c r="P235" s="512"/>
      <c r="Q235" s="512"/>
      <c r="R235" s="512"/>
      <c r="S235" s="512"/>
      <c r="T235" s="512"/>
      <c r="U235" s="512"/>
      <c r="V235" s="512"/>
      <c r="W235" s="512"/>
      <c r="X235" s="512"/>
      <c r="Y235" s="512"/>
      <c r="Z235" s="512"/>
      <c r="AA235" s="512"/>
      <c r="AB235" s="512"/>
      <c r="AC235" s="512"/>
      <c r="AD235" s="512"/>
      <c r="AE235" s="512"/>
      <c r="AF235" s="512"/>
      <c r="AG235" s="512"/>
      <c r="AH235" s="512"/>
      <c r="AI235" s="512"/>
      <c r="AJ235" s="512"/>
      <c r="AK235" s="512"/>
      <c r="AL235" s="513"/>
      <c r="AM235" s="513"/>
      <c r="AN235" s="27"/>
      <c r="AO235" s="17"/>
      <c r="AP235" s="9"/>
      <c r="AQ235" s="9"/>
      <c r="AR235" s="9"/>
    </row>
    <row r="236" spans="1:44" customFormat="1" x14ac:dyDescent="0.35">
      <c r="A236" s="7"/>
      <c r="B236" s="8"/>
      <c r="C236" s="18"/>
      <c r="D236" s="18"/>
      <c r="E236" s="18"/>
      <c r="F236" s="24"/>
      <c r="G236" s="570" t="s">
        <v>3201</v>
      </c>
      <c r="H236" s="25"/>
      <c r="I236" s="512"/>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513"/>
      <c r="AM236" s="513"/>
      <c r="AN236" s="27"/>
      <c r="AO236" s="17"/>
      <c r="AP236" s="9"/>
      <c r="AQ236" s="9"/>
      <c r="AR236" s="9"/>
    </row>
    <row r="237" spans="1:44" customFormat="1" outlineLevel="1" x14ac:dyDescent="0.35">
      <c r="A237" s="7"/>
      <c r="B237" s="8"/>
      <c r="C237" s="18"/>
      <c r="D237" s="18"/>
      <c r="E237" s="18"/>
      <c r="F237" s="24"/>
      <c r="G237" s="25"/>
      <c r="H237" s="25" t="s">
        <v>3202</v>
      </c>
      <c r="I237" s="512"/>
      <c r="J237" s="587">
        <v>0</v>
      </c>
      <c r="K237" s="587">
        <v>0</v>
      </c>
      <c r="L237" s="587">
        <v>0</v>
      </c>
      <c r="M237" s="587">
        <v>0</v>
      </c>
      <c r="N237" s="587">
        <v>0</v>
      </c>
      <c r="O237" s="587">
        <v>0</v>
      </c>
      <c r="P237" s="587">
        <v>0</v>
      </c>
      <c r="Q237" s="587">
        <v>0</v>
      </c>
      <c r="R237" s="587">
        <v>0</v>
      </c>
      <c r="S237" s="587">
        <v>0</v>
      </c>
      <c r="T237" s="587">
        <v>0</v>
      </c>
      <c r="U237" s="587">
        <v>0</v>
      </c>
      <c r="V237" s="587">
        <v>0</v>
      </c>
      <c r="W237" s="587">
        <v>0</v>
      </c>
      <c r="X237" s="587">
        <v>0</v>
      </c>
      <c r="Y237" s="587">
        <v>0</v>
      </c>
      <c r="Z237" s="587">
        <v>0</v>
      </c>
      <c r="AA237" s="587">
        <v>0</v>
      </c>
      <c r="AB237" s="587">
        <v>0</v>
      </c>
      <c r="AC237" s="587">
        <v>0</v>
      </c>
      <c r="AD237" s="587">
        <v>0</v>
      </c>
      <c r="AE237" s="587">
        <v>0</v>
      </c>
      <c r="AF237" s="587">
        <v>0</v>
      </c>
      <c r="AG237" s="587">
        <v>0</v>
      </c>
      <c r="AH237" s="587">
        <v>0</v>
      </c>
      <c r="AI237" s="587">
        <v>0</v>
      </c>
      <c r="AJ237" s="587">
        <v>0</v>
      </c>
      <c r="AK237" s="587">
        <v>0</v>
      </c>
      <c r="AL237" s="513"/>
      <c r="AM237" s="513"/>
      <c r="AN237" s="27"/>
      <c r="AO237" s="17"/>
      <c r="AP237" s="9"/>
      <c r="AQ237" s="9"/>
      <c r="AR237" s="9"/>
    </row>
    <row r="238" spans="1:44" customFormat="1" outlineLevel="1" x14ac:dyDescent="0.35">
      <c r="A238" s="7"/>
      <c r="B238" s="8"/>
      <c r="C238" s="18"/>
      <c r="D238" s="18"/>
      <c r="E238" s="18"/>
      <c r="F238" s="24"/>
      <c r="G238" s="25"/>
      <c r="H238" s="25" t="s">
        <v>3177</v>
      </c>
      <c r="I238" s="512"/>
      <c r="J238" s="587">
        <v>0</v>
      </c>
      <c r="K238" s="587">
        <v>0</v>
      </c>
      <c r="L238" s="587">
        <v>0</v>
      </c>
      <c r="M238" s="587">
        <v>0</v>
      </c>
      <c r="N238" s="587">
        <v>0</v>
      </c>
      <c r="O238" s="587">
        <v>0</v>
      </c>
      <c r="P238" s="587">
        <v>0</v>
      </c>
      <c r="Q238" s="587">
        <v>0</v>
      </c>
      <c r="R238" s="587">
        <v>0</v>
      </c>
      <c r="S238" s="587">
        <v>0</v>
      </c>
      <c r="T238" s="587">
        <v>0</v>
      </c>
      <c r="U238" s="587">
        <v>0</v>
      </c>
      <c r="V238" s="587">
        <v>0</v>
      </c>
      <c r="W238" s="587">
        <v>0</v>
      </c>
      <c r="X238" s="587">
        <v>0</v>
      </c>
      <c r="Y238" s="587">
        <v>0</v>
      </c>
      <c r="Z238" s="587">
        <v>0</v>
      </c>
      <c r="AA238" s="587">
        <v>0</v>
      </c>
      <c r="AB238" s="587">
        <v>0</v>
      </c>
      <c r="AC238" s="587">
        <v>0</v>
      </c>
      <c r="AD238" s="587">
        <v>0</v>
      </c>
      <c r="AE238" s="587">
        <v>0</v>
      </c>
      <c r="AF238" s="587">
        <v>0</v>
      </c>
      <c r="AG238" s="587">
        <v>0</v>
      </c>
      <c r="AH238" s="587">
        <v>0</v>
      </c>
      <c r="AI238" s="587">
        <v>0</v>
      </c>
      <c r="AJ238" s="587">
        <v>0</v>
      </c>
      <c r="AK238" s="587">
        <v>0</v>
      </c>
      <c r="AL238" s="513"/>
      <c r="AM238" s="513"/>
      <c r="AN238" s="27"/>
      <c r="AO238" s="17"/>
      <c r="AP238" s="9"/>
      <c r="AQ238" s="9"/>
      <c r="AR238" s="9"/>
    </row>
    <row r="239" spans="1:44" customFormat="1" outlineLevel="1" x14ac:dyDescent="0.35">
      <c r="A239" s="7"/>
      <c r="B239" s="8"/>
      <c r="C239" s="18"/>
      <c r="D239" s="18"/>
      <c r="E239" s="18"/>
      <c r="F239" s="24"/>
      <c r="G239" s="25"/>
      <c r="H239" s="25" t="s">
        <v>3178</v>
      </c>
      <c r="I239" s="512"/>
      <c r="J239" s="571">
        <v>0</v>
      </c>
      <c r="K239" s="571">
        <v>0</v>
      </c>
      <c r="L239" s="571">
        <v>0</v>
      </c>
      <c r="M239" s="571">
        <v>0</v>
      </c>
      <c r="N239" s="571">
        <v>0</v>
      </c>
      <c r="O239" s="571">
        <v>0</v>
      </c>
      <c r="P239" s="571">
        <v>0</v>
      </c>
      <c r="Q239" s="571">
        <v>0</v>
      </c>
      <c r="R239" s="571">
        <v>0</v>
      </c>
      <c r="S239" s="571">
        <v>0</v>
      </c>
      <c r="T239" s="571">
        <v>0</v>
      </c>
      <c r="U239" s="571">
        <v>0</v>
      </c>
      <c r="V239" s="571">
        <v>0</v>
      </c>
      <c r="W239" s="571">
        <v>0</v>
      </c>
      <c r="X239" s="571">
        <v>0</v>
      </c>
      <c r="Y239" s="571">
        <v>0</v>
      </c>
      <c r="Z239" s="571">
        <v>0</v>
      </c>
      <c r="AA239" s="571">
        <v>0</v>
      </c>
      <c r="AB239" s="571">
        <v>0</v>
      </c>
      <c r="AC239" s="571">
        <v>0</v>
      </c>
      <c r="AD239" s="571">
        <v>0</v>
      </c>
      <c r="AE239" s="571">
        <v>0</v>
      </c>
      <c r="AF239" s="571">
        <v>0</v>
      </c>
      <c r="AG239" s="571">
        <v>0</v>
      </c>
      <c r="AH239" s="571">
        <v>0</v>
      </c>
      <c r="AI239" s="571">
        <v>0</v>
      </c>
      <c r="AJ239" s="571">
        <v>0</v>
      </c>
      <c r="AK239" s="571">
        <v>0</v>
      </c>
      <c r="AL239" s="513"/>
      <c r="AM239" s="513"/>
      <c r="AN239" s="27"/>
      <c r="AO239" s="17"/>
      <c r="AP239" s="9"/>
      <c r="AQ239" s="9"/>
      <c r="AR239" s="9"/>
    </row>
    <row r="240" spans="1:44" customFormat="1" outlineLevel="1" x14ac:dyDescent="0.35">
      <c r="A240" s="7"/>
      <c r="B240" s="8"/>
      <c r="C240" s="18"/>
      <c r="D240" s="18"/>
      <c r="E240" s="18"/>
      <c r="F240" s="24"/>
      <c r="G240" s="25"/>
      <c r="H240" s="25" t="s">
        <v>3203</v>
      </c>
      <c r="I240" s="512"/>
      <c r="J240" s="587">
        <v>0</v>
      </c>
      <c r="K240" s="587">
        <v>0</v>
      </c>
      <c r="L240" s="587">
        <v>0</v>
      </c>
      <c r="M240" s="587">
        <v>0</v>
      </c>
      <c r="N240" s="587">
        <v>0</v>
      </c>
      <c r="O240" s="587">
        <v>0</v>
      </c>
      <c r="P240" s="587">
        <v>0</v>
      </c>
      <c r="Q240" s="587">
        <v>0</v>
      </c>
      <c r="R240" s="587">
        <v>0</v>
      </c>
      <c r="S240" s="587">
        <v>0</v>
      </c>
      <c r="T240" s="587">
        <v>0</v>
      </c>
      <c r="U240" s="587">
        <v>0</v>
      </c>
      <c r="V240" s="587">
        <v>0</v>
      </c>
      <c r="W240" s="587">
        <v>0</v>
      </c>
      <c r="X240" s="587">
        <v>0</v>
      </c>
      <c r="Y240" s="587">
        <v>0</v>
      </c>
      <c r="Z240" s="587">
        <v>0</v>
      </c>
      <c r="AA240" s="587">
        <v>0</v>
      </c>
      <c r="AB240" s="587">
        <v>0</v>
      </c>
      <c r="AC240" s="587">
        <v>0</v>
      </c>
      <c r="AD240" s="587">
        <v>0</v>
      </c>
      <c r="AE240" s="587">
        <v>0</v>
      </c>
      <c r="AF240" s="587">
        <v>0</v>
      </c>
      <c r="AG240" s="587">
        <v>0</v>
      </c>
      <c r="AH240" s="587">
        <v>0</v>
      </c>
      <c r="AI240" s="587">
        <v>0</v>
      </c>
      <c r="AJ240" s="587">
        <v>0</v>
      </c>
      <c r="AK240" s="587">
        <v>0</v>
      </c>
      <c r="AL240" s="513"/>
      <c r="AM240" s="513"/>
      <c r="AN240" s="27"/>
      <c r="AO240" s="17"/>
      <c r="AP240" s="9"/>
      <c r="AQ240" s="9"/>
      <c r="AR240" s="9"/>
    </row>
    <row r="241" spans="1:44" customFormat="1" ht="15" customHeight="1" outlineLevel="1" x14ac:dyDescent="0.35">
      <c r="A241" s="7"/>
      <c r="B241" s="8"/>
      <c r="C241" s="18"/>
      <c r="D241" s="18"/>
      <c r="E241" s="18"/>
      <c r="F241" s="24"/>
      <c r="G241" s="25"/>
      <c r="H241" s="25" t="s">
        <v>3180</v>
      </c>
      <c r="I241" s="612" t="s">
        <v>3181</v>
      </c>
      <c r="J241" s="585">
        <v>0.125</v>
      </c>
      <c r="K241" s="585">
        <v>0.125</v>
      </c>
      <c r="L241" s="585">
        <v>0.125</v>
      </c>
      <c r="M241" s="585">
        <v>0.125</v>
      </c>
      <c r="N241" s="585">
        <v>0.125</v>
      </c>
      <c r="O241" s="585">
        <v>0.125</v>
      </c>
      <c r="P241" s="585">
        <v>0.125</v>
      </c>
      <c r="Q241" s="585">
        <v>0.125</v>
      </c>
      <c r="R241" s="585">
        <v>0.125</v>
      </c>
      <c r="S241" s="585">
        <v>0.125</v>
      </c>
      <c r="T241" s="585">
        <v>0.125</v>
      </c>
      <c r="U241" s="585">
        <v>0.125</v>
      </c>
      <c r="V241" s="585">
        <v>0.125</v>
      </c>
      <c r="W241" s="585">
        <v>0.125</v>
      </c>
      <c r="X241" s="585">
        <v>0.125</v>
      </c>
      <c r="Y241" s="585">
        <v>0.125</v>
      </c>
      <c r="Z241" s="585">
        <v>0.125</v>
      </c>
      <c r="AA241" s="585">
        <v>0.125</v>
      </c>
      <c r="AB241" s="585">
        <v>0.125</v>
      </c>
      <c r="AC241" s="585">
        <v>0.125</v>
      </c>
      <c r="AD241" s="585">
        <v>0.125</v>
      </c>
      <c r="AE241" s="585">
        <v>0.125</v>
      </c>
      <c r="AF241" s="585">
        <v>0.125</v>
      </c>
      <c r="AG241" s="585">
        <v>0.125</v>
      </c>
      <c r="AH241" s="585">
        <v>0.125</v>
      </c>
      <c r="AI241" s="585">
        <v>0.125</v>
      </c>
      <c r="AJ241" s="585">
        <v>0.125</v>
      </c>
      <c r="AK241" s="585">
        <v>0.125</v>
      </c>
      <c r="AL241" s="513"/>
      <c r="AM241" s="513"/>
      <c r="AN241" s="27"/>
      <c r="AO241" s="17"/>
      <c r="AP241" s="9"/>
      <c r="AQ241" s="9"/>
      <c r="AR241" s="9"/>
    </row>
    <row r="242" spans="1:44" customFormat="1" outlineLevel="1" x14ac:dyDescent="0.35">
      <c r="A242" s="7"/>
      <c r="B242" s="8"/>
      <c r="C242" s="18"/>
      <c r="D242" s="18"/>
      <c r="E242" s="18"/>
      <c r="F242" s="24"/>
      <c r="G242" s="25"/>
      <c r="H242" s="25" t="s">
        <v>3182</v>
      </c>
      <c r="I242" s="612"/>
      <c r="J242" s="585">
        <v>0.02</v>
      </c>
      <c r="K242" s="585">
        <v>0.02</v>
      </c>
      <c r="L242" s="585">
        <v>0.02</v>
      </c>
      <c r="M242" s="585">
        <v>0.02</v>
      </c>
      <c r="N242" s="585">
        <v>0.02</v>
      </c>
      <c r="O242" s="585">
        <v>0.02</v>
      </c>
      <c r="P242" s="585">
        <v>0.02</v>
      </c>
      <c r="Q242" s="585">
        <v>0.02</v>
      </c>
      <c r="R242" s="585">
        <v>0.02</v>
      </c>
      <c r="S242" s="585">
        <v>0.02</v>
      </c>
      <c r="T242" s="585">
        <v>0.02</v>
      </c>
      <c r="U242" s="585">
        <v>0.02</v>
      </c>
      <c r="V242" s="585">
        <v>0.02</v>
      </c>
      <c r="W242" s="585">
        <v>0.02</v>
      </c>
      <c r="X242" s="585">
        <v>0.02</v>
      </c>
      <c r="Y242" s="585">
        <v>0.02</v>
      </c>
      <c r="Z242" s="585">
        <v>0.02</v>
      </c>
      <c r="AA242" s="585">
        <v>0.02</v>
      </c>
      <c r="AB242" s="585">
        <v>0.02</v>
      </c>
      <c r="AC242" s="585">
        <v>0.02</v>
      </c>
      <c r="AD242" s="585">
        <v>0.02</v>
      </c>
      <c r="AE242" s="585">
        <v>0.02</v>
      </c>
      <c r="AF242" s="585">
        <v>0.02</v>
      </c>
      <c r="AG242" s="585">
        <v>0.02</v>
      </c>
      <c r="AH242" s="585">
        <v>0.02</v>
      </c>
      <c r="AI242" s="585">
        <v>0.02</v>
      </c>
      <c r="AJ242" s="585">
        <v>0.02</v>
      </c>
      <c r="AK242" s="585">
        <v>0.02</v>
      </c>
      <c r="AL242" s="513"/>
      <c r="AM242" s="513"/>
      <c r="AN242" s="27"/>
      <c r="AO242" s="17"/>
      <c r="AP242" s="9"/>
      <c r="AQ242" s="9"/>
      <c r="AR242" s="9"/>
    </row>
    <row r="243" spans="1:44" customFormat="1" outlineLevel="1" x14ac:dyDescent="0.35">
      <c r="A243" s="7"/>
      <c r="B243" s="8"/>
      <c r="C243" s="18"/>
      <c r="D243" s="18"/>
      <c r="E243" s="18"/>
      <c r="F243" s="24"/>
      <c r="G243" s="25"/>
      <c r="H243" s="25" t="s">
        <v>3183</v>
      </c>
      <c r="I243" s="612"/>
      <c r="J243" s="586">
        <f>1-SUM(J241:J242)</f>
        <v>0.85499999999999998</v>
      </c>
      <c r="K243" s="586">
        <f t="shared" ref="K243:AI243" si="19">1-SUM(K241:K242)</f>
        <v>0.85499999999999998</v>
      </c>
      <c r="L243" s="586">
        <f t="shared" si="19"/>
        <v>0.85499999999999998</v>
      </c>
      <c r="M243" s="586">
        <f t="shared" si="19"/>
        <v>0.85499999999999998</v>
      </c>
      <c r="N243" s="586">
        <f t="shared" si="19"/>
        <v>0.85499999999999998</v>
      </c>
      <c r="O243" s="586">
        <f t="shared" si="19"/>
        <v>0.85499999999999998</v>
      </c>
      <c r="P243" s="586">
        <f t="shared" si="19"/>
        <v>0.85499999999999998</v>
      </c>
      <c r="Q243" s="586">
        <f t="shared" si="19"/>
        <v>0.85499999999999998</v>
      </c>
      <c r="R243" s="586">
        <f t="shared" si="19"/>
        <v>0.85499999999999998</v>
      </c>
      <c r="S243" s="586">
        <f t="shared" si="19"/>
        <v>0.85499999999999998</v>
      </c>
      <c r="T243" s="586">
        <f t="shared" si="19"/>
        <v>0.85499999999999998</v>
      </c>
      <c r="U243" s="586">
        <f t="shared" si="19"/>
        <v>0.85499999999999998</v>
      </c>
      <c r="V243" s="586">
        <f t="shared" si="19"/>
        <v>0.85499999999999998</v>
      </c>
      <c r="W243" s="586">
        <f t="shared" si="19"/>
        <v>0.85499999999999998</v>
      </c>
      <c r="X243" s="586">
        <f t="shared" si="19"/>
        <v>0.85499999999999998</v>
      </c>
      <c r="Y243" s="586">
        <f t="shared" si="19"/>
        <v>0.85499999999999998</v>
      </c>
      <c r="Z243" s="586">
        <f t="shared" si="19"/>
        <v>0.85499999999999998</v>
      </c>
      <c r="AA243" s="586">
        <f t="shared" si="19"/>
        <v>0.85499999999999998</v>
      </c>
      <c r="AB243" s="586">
        <f t="shared" si="19"/>
        <v>0.85499999999999998</v>
      </c>
      <c r="AC243" s="586">
        <f t="shared" si="19"/>
        <v>0.85499999999999998</v>
      </c>
      <c r="AD243" s="586">
        <f t="shared" si="19"/>
        <v>0.85499999999999998</v>
      </c>
      <c r="AE243" s="586">
        <f t="shared" si="19"/>
        <v>0.85499999999999998</v>
      </c>
      <c r="AF243" s="586">
        <f t="shared" si="19"/>
        <v>0.85499999999999998</v>
      </c>
      <c r="AG243" s="586">
        <f t="shared" si="19"/>
        <v>0.85499999999999998</v>
      </c>
      <c r="AH243" s="586">
        <f t="shared" si="19"/>
        <v>0.85499999999999998</v>
      </c>
      <c r="AI243" s="586">
        <f t="shared" si="19"/>
        <v>0.85499999999999998</v>
      </c>
      <c r="AJ243" s="586">
        <f>1-SUM(AJ241:AJ242)</f>
        <v>0.85499999999999998</v>
      </c>
      <c r="AK243" s="586">
        <f t="shared" ref="AK243" si="20">1-SUM(AK241:AK242)</f>
        <v>0.85499999999999998</v>
      </c>
      <c r="AL243" s="513"/>
      <c r="AM243" s="513"/>
      <c r="AN243" s="27"/>
      <c r="AO243" s="17"/>
      <c r="AP243" s="9"/>
      <c r="AQ243" s="9"/>
      <c r="AR243" s="9"/>
    </row>
    <row r="244" spans="1:44" customFormat="1" outlineLevel="1" x14ac:dyDescent="0.35">
      <c r="A244" s="7"/>
      <c r="B244" s="8"/>
      <c r="C244" s="18"/>
      <c r="D244" s="18"/>
      <c r="E244" s="18"/>
      <c r="F244" s="24"/>
      <c r="G244" s="570"/>
      <c r="H244" s="25"/>
      <c r="I244" s="512"/>
      <c r="J244" s="513"/>
      <c r="K244" s="513"/>
      <c r="L244" s="513"/>
      <c r="M244" s="513"/>
      <c r="N244" s="513"/>
      <c r="O244" s="513"/>
      <c r="P244" s="513"/>
      <c r="Q244" s="513"/>
      <c r="R244" s="513"/>
      <c r="S244" s="513"/>
      <c r="T244" s="513"/>
      <c r="U244" s="513"/>
      <c r="V244" s="513"/>
      <c r="W244" s="513"/>
      <c r="X244" s="513"/>
      <c r="Y244" s="513"/>
      <c r="Z244" s="513"/>
      <c r="AA244" s="513"/>
      <c r="AB244" s="513"/>
      <c r="AC244" s="513"/>
      <c r="AD244" s="513"/>
      <c r="AE244" s="513"/>
      <c r="AF244" s="513"/>
      <c r="AG244" s="513"/>
      <c r="AH244" s="513"/>
      <c r="AI244" s="513"/>
      <c r="AJ244" s="513"/>
      <c r="AK244" s="513"/>
      <c r="AL244" s="513"/>
      <c r="AM244" s="513"/>
      <c r="AN244" s="27"/>
      <c r="AO244" s="17"/>
      <c r="AP244" s="9"/>
      <c r="AQ244" s="9"/>
      <c r="AR244" s="9"/>
    </row>
    <row r="245" spans="1:44" customFormat="1" outlineLevel="1" x14ac:dyDescent="0.35">
      <c r="A245" s="7"/>
      <c r="B245" s="8"/>
      <c r="C245" s="18"/>
      <c r="D245" s="18"/>
      <c r="E245" s="18"/>
      <c r="F245" s="24"/>
      <c r="G245" s="570"/>
      <c r="H245" s="25"/>
      <c r="I245" s="512"/>
      <c r="J245" s="513"/>
      <c r="K245" s="513"/>
      <c r="L245" s="513"/>
      <c r="M245" s="513"/>
      <c r="N245" s="513"/>
      <c r="O245" s="513"/>
      <c r="P245" s="513"/>
      <c r="Q245" s="513"/>
      <c r="R245" s="513"/>
      <c r="S245" s="513"/>
      <c r="T245" s="513"/>
      <c r="U245" s="513"/>
      <c r="V245" s="513"/>
      <c r="W245" s="513"/>
      <c r="X245" s="513"/>
      <c r="Y245" s="513"/>
      <c r="Z245" s="513"/>
      <c r="AA245" s="513"/>
      <c r="AB245" s="513"/>
      <c r="AC245" s="513"/>
      <c r="AD245" s="513"/>
      <c r="AE245" s="513"/>
      <c r="AF245" s="513"/>
      <c r="AG245" s="513"/>
      <c r="AH245" s="513"/>
      <c r="AI245" s="513"/>
      <c r="AJ245" s="513"/>
      <c r="AK245" s="513"/>
      <c r="AL245" s="513"/>
      <c r="AM245" s="513"/>
      <c r="AN245" s="27"/>
      <c r="AO245" s="17"/>
      <c r="AP245" s="9"/>
      <c r="AQ245" s="9"/>
      <c r="AR245" s="9"/>
    </row>
    <row r="246" spans="1:44" customFormat="1" x14ac:dyDescent="0.35">
      <c r="A246" s="7"/>
      <c r="B246" s="8"/>
      <c r="C246" s="18"/>
      <c r="D246" s="18"/>
      <c r="E246" s="18"/>
      <c r="F246" s="24"/>
      <c r="G246" s="570" t="s">
        <v>3204</v>
      </c>
      <c r="H246" s="25"/>
      <c r="I246" s="512"/>
      <c r="J246" s="513"/>
      <c r="K246" s="513"/>
      <c r="L246" s="513"/>
      <c r="M246" s="513"/>
      <c r="N246" s="513"/>
      <c r="O246" s="513"/>
      <c r="P246" s="513"/>
      <c r="Q246" s="513"/>
      <c r="R246" s="513"/>
      <c r="S246" s="513"/>
      <c r="T246" s="513"/>
      <c r="U246" s="513"/>
      <c r="V246" s="513"/>
      <c r="W246" s="513"/>
      <c r="X246" s="513"/>
      <c r="Y246" s="513"/>
      <c r="Z246" s="513"/>
      <c r="AA246" s="513"/>
      <c r="AB246" s="513"/>
      <c r="AC246" s="513"/>
      <c r="AD246" s="513"/>
      <c r="AE246" s="513"/>
      <c r="AF246" s="513"/>
      <c r="AG246" s="513"/>
      <c r="AH246" s="513"/>
      <c r="AI246" s="513"/>
      <c r="AJ246" s="513"/>
      <c r="AK246" s="513"/>
      <c r="AL246" s="513"/>
      <c r="AM246" s="513"/>
      <c r="AN246" s="27"/>
      <c r="AO246" s="17"/>
      <c r="AP246" s="9"/>
      <c r="AQ246" s="9"/>
      <c r="AR246" s="9"/>
    </row>
    <row r="247" spans="1:44" customFormat="1" ht="12" customHeight="1" outlineLevel="1" x14ac:dyDescent="0.35">
      <c r="A247" s="7"/>
      <c r="B247" s="8"/>
      <c r="C247" s="18"/>
      <c r="D247" s="18"/>
      <c r="E247" s="18"/>
      <c r="F247" s="24"/>
      <c r="H247" s="526" t="s">
        <v>3205</v>
      </c>
      <c r="I247" s="526"/>
      <c r="J247" s="513"/>
      <c r="K247" s="513"/>
      <c r="L247" s="513"/>
      <c r="M247" s="513"/>
      <c r="N247" s="513"/>
      <c r="O247" s="513"/>
      <c r="P247" s="513"/>
      <c r="Q247" s="513"/>
      <c r="R247" s="513"/>
      <c r="S247" s="513"/>
      <c r="T247" s="513"/>
      <c r="U247" s="513"/>
      <c r="V247" s="513"/>
      <c r="W247" s="513"/>
      <c r="X247" s="513"/>
      <c r="Y247" s="513"/>
      <c r="Z247" s="513"/>
      <c r="AA247" s="513"/>
      <c r="AB247" s="513"/>
      <c r="AC247" s="513"/>
      <c r="AD247" s="513"/>
      <c r="AE247" s="513"/>
      <c r="AF247" s="513"/>
      <c r="AG247" s="513"/>
      <c r="AH247" s="513"/>
      <c r="AI247" s="513"/>
      <c r="AJ247" s="513"/>
      <c r="AK247" s="513"/>
      <c r="AL247" s="514"/>
      <c r="AM247" s="514"/>
      <c r="AN247" s="27"/>
      <c r="AO247" s="17"/>
      <c r="AP247" s="9"/>
      <c r="AQ247" s="9"/>
      <c r="AR247" s="9"/>
    </row>
    <row r="248" spans="1:44" customFormat="1" ht="12" customHeight="1" outlineLevel="1" x14ac:dyDescent="0.35">
      <c r="A248" s="7"/>
      <c r="B248" s="8"/>
      <c r="C248" s="18"/>
      <c r="D248" s="18"/>
      <c r="E248" s="18"/>
      <c r="F248" s="24"/>
      <c r="H248" s="526"/>
      <c r="I248" s="514" t="s">
        <v>3206</v>
      </c>
      <c r="J248" s="590">
        <v>1</v>
      </c>
      <c r="K248" s="590">
        <v>1</v>
      </c>
      <c r="L248" s="590">
        <v>1</v>
      </c>
      <c r="M248" s="590">
        <v>1</v>
      </c>
      <c r="N248" s="590">
        <v>1</v>
      </c>
      <c r="O248" s="590">
        <v>1</v>
      </c>
      <c r="P248" s="590">
        <v>1</v>
      </c>
      <c r="Q248" s="590">
        <v>1</v>
      </c>
      <c r="R248" s="590">
        <v>1</v>
      </c>
      <c r="S248" s="590">
        <v>1</v>
      </c>
      <c r="T248" s="590">
        <v>1</v>
      </c>
      <c r="U248" s="590">
        <v>1</v>
      </c>
      <c r="V248" s="590">
        <v>1</v>
      </c>
      <c r="W248" s="590">
        <v>1</v>
      </c>
      <c r="X248" s="590">
        <v>1</v>
      </c>
      <c r="Y248" s="590">
        <v>1</v>
      </c>
      <c r="Z248" s="590">
        <v>1</v>
      </c>
      <c r="AA248" s="590">
        <v>1</v>
      </c>
      <c r="AB248" s="590">
        <v>1</v>
      </c>
      <c r="AC248" s="590">
        <v>1</v>
      </c>
      <c r="AD248" s="590">
        <v>1</v>
      </c>
      <c r="AE248" s="590">
        <v>1</v>
      </c>
      <c r="AF248" s="590">
        <v>1</v>
      </c>
      <c r="AG248" s="590">
        <v>1</v>
      </c>
      <c r="AH248" s="590">
        <v>1</v>
      </c>
      <c r="AI248" s="590">
        <v>1</v>
      </c>
      <c r="AJ248" s="590">
        <v>1</v>
      </c>
      <c r="AK248" s="590">
        <v>1</v>
      </c>
      <c r="AL248" s="513"/>
      <c r="AM248" s="513"/>
      <c r="AN248" s="27"/>
      <c r="AO248" s="17"/>
      <c r="AP248" s="9"/>
      <c r="AQ248" s="9"/>
      <c r="AR248" s="9"/>
    </row>
    <row r="249" spans="1:44" customFormat="1" ht="12" customHeight="1" outlineLevel="1" x14ac:dyDescent="0.35">
      <c r="A249" s="7"/>
      <c r="B249" s="8"/>
      <c r="C249" s="18"/>
      <c r="D249" s="18"/>
      <c r="E249" s="18"/>
      <c r="F249" s="24"/>
      <c r="H249" s="526"/>
      <c r="I249" s="514" t="s">
        <v>3207</v>
      </c>
      <c r="J249" s="590">
        <v>6</v>
      </c>
      <c r="K249" s="590">
        <v>6</v>
      </c>
      <c r="L249" s="590">
        <v>6</v>
      </c>
      <c r="M249" s="590">
        <v>6</v>
      </c>
      <c r="N249" s="590">
        <v>6</v>
      </c>
      <c r="O249" s="590">
        <v>6</v>
      </c>
      <c r="P249" s="590">
        <v>6</v>
      </c>
      <c r="Q249" s="590">
        <v>6</v>
      </c>
      <c r="R249" s="590">
        <v>6</v>
      </c>
      <c r="S249" s="590">
        <v>6</v>
      </c>
      <c r="T249" s="590">
        <v>6</v>
      </c>
      <c r="U249" s="590">
        <v>6</v>
      </c>
      <c r="V249" s="590">
        <v>6</v>
      </c>
      <c r="W249" s="590">
        <v>6</v>
      </c>
      <c r="X249" s="590">
        <v>6</v>
      </c>
      <c r="Y249" s="590">
        <v>6</v>
      </c>
      <c r="Z249" s="590">
        <v>6</v>
      </c>
      <c r="AA249" s="590">
        <v>6</v>
      </c>
      <c r="AB249" s="590">
        <v>6</v>
      </c>
      <c r="AC249" s="590">
        <v>6</v>
      </c>
      <c r="AD249" s="590">
        <v>6</v>
      </c>
      <c r="AE249" s="590">
        <v>6</v>
      </c>
      <c r="AF249" s="590">
        <v>6</v>
      </c>
      <c r="AG249" s="590">
        <v>6</v>
      </c>
      <c r="AH249" s="590">
        <v>6</v>
      </c>
      <c r="AI249" s="590">
        <v>6</v>
      </c>
      <c r="AJ249" s="590">
        <v>6</v>
      </c>
      <c r="AK249" s="590">
        <v>6</v>
      </c>
      <c r="AL249" s="513"/>
      <c r="AM249" s="513"/>
      <c r="AN249" s="27"/>
      <c r="AO249" s="17"/>
      <c r="AP249" s="9"/>
      <c r="AQ249" s="9"/>
      <c r="AR249" s="9"/>
    </row>
    <row r="250" spans="1:44" customFormat="1" ht="12" customHeight="1" outlineLevel="1" x14ac:dyDescent="0.35">
      <c r="A250" s="7"/>
      <c r="B250" s="8"/>
      <c r="C250" s="18"/>
      <c r="D250" s="18"/>
      <c r="E250" s="18"/>
      <c r="F250" s="24"/>
      <c r="H250" s="526"/>
      <c r="I250" s="514" t="s">
        <v>3208</v>
      </c>
      <c r="J250" s="590">
        <v>7</v>
      </c>
      <c r="K250" s="590">
        <v>7</v>
      </c>
      <c r="L250" s="590">
        <v>7</v>
      </c>
      <c r="M250" s="590">
        <v>7</v>
      </c>
      <c r="N250" s="590">
        <v>7</v>
      </c>
      <c r="O250" s="590">
        <v>7</v>
      </c>
      <c r="P250" s="590">
        <v>7</v>
      </c>
      <c r="Q250" s="590">
        <v>7</v>
      </c>
      <c r="R250" s="590">
        <v>7</v>
      </c>
      <c r="S250" s="590">
        <v>7</v>
      </c>
      <c r="T250" s="590">
        <v>7</v>
      </c>
      <c r="U250" s="590">
        <v>7</v>
      </c>
      <c r="V250" s="590">
        <v>7</v>
      </c>
      <c r="W250" s="590">
        <v>7</v>
      </c>
      <c r="X250" s="590">
        <v>7</v>
      </c>
      <c r="Y250" s="590">
        <v>7</v>
      </c>
      <c r="Z250" s="590">
        <v>7</v>
      </c>
      <c r="AA250" s="590">
        <v>7</v>
      </c>
      <c r="AB250" s="590">
        <v>7</v>
      </c>
      <c r="AC250" s="590">
        <v>7</v>
      </c>
      <c r="AD250" s="590">
        <v>7</v>
      </c>
      <c r="AE250" s="590">
        <v>7</v>
      </c>
      <c r="AF250" s="590">
        <v>7</v>
      </c>
      <c r="AG250" s="590">
        <v>7</v>
      </c>
      <c r="AH250" s="590">
        <v>7</v>
      </c>
      <c r="AI250" s="590">
        <v>7</v>
      </c>
      <c r="AJ250" s="590">
        <v>7</v>
      </c>
      <c r="AK250" s="590">
        <v>7</v>
      </c>
      <c r="AL250" s="513"/>
      <c r="AM250" s="513"/>
      <c r="AN250" s="27"/>
      <c r="AO250" s="17"/>
      <c r="AP250" s="9"/>
      <c r="AQ250" s="9"/>
      <c r="AR250" s="9"/>
    </row>
    <row r="251" spans="1:44" customFormat="1" ht="12" customHeight="1" outlineLevel="1" x14ac:dyDescent="0.35">
      <c r="A251" s="7"/>
      <c r="B251" s="8"/>
      <c r="C251" s="18"/>
      <c r="D251" s="18"/>
      <c r="E251" s="18"/>
      <c r="F251" s="24"/>
      <c r="H251" s="526"/>
      <c r="I251" s="526"/>
      <c r="J251" s="591"/>
      <c r="K251" s="591"/>
      <c r="L251" s="591"/>
      <c r="M251" s="591"/>
      <c r="N251" s="591"/>
      <c r="O251" s="591"/>
      <c r="P251" s="591"/>
      <c r="Q251" s="591"/>
      <c r="R251" s="591"/>
      <c r="S251" s="591"/>
      <c r="T251" s="591"/>
      <c r="U251" s="591"/>
      <c r="V251" s="591"/>
      <c r="W251" s="591"/>
      <c r="X251" s="591"/>
      <c r="Y251" s="591"/>
      <c r="Z251" s="591"/>
      <c r="AA251" s="591"/>
      <c r="AB251" s="591"/>
      <c r="AC251" s="591"/>
      <c r="AD251" s="591"/>
      <c r="AE251" s="591"/>
      <c r="AF251" s="591"/>
      <c r="AG251" s="591"/>
      <c r="AH251" s="591"/>
      <c r="AI251" s="591"/>
      <c r="AJ251" s="591"/>
      <c r="AK251" s="591"/>
      <c r="AL251" s="513"/>
      <c r="AM251" s="513"/>
      <c r="AN251" s="27"/>
      <c r="AO251" s="17"/>
      <c r="AP251" s="9"/>
      <c r="AQ251" s="9"/>
      <c r="AR251" s="9"/>
    </row>
    <row r="252" spans="1:44" customFormat="1" ht="12" customHeight="1" outlineLevel="1" x14ac:dyDescent="0.35">
      <c r="A252" s="7"/>
      <c r="B252" s="8"/>
      <c r="C252" s="18"/>
      <c r="D252" s="18"/>
      <c r="E252" s="18"/>
      <c r="F252" s="24"/>
      <c r="H252" s="526" t="s">
        <v>3209</v>
      </c>
      <c r="I252" s="526"/>
      <c r="J252" s="513"/>
      <c r="K252" s="513"/>
      <c r="L252" s="513"/>
      <c r="M252" s="513"/>
      <c r="N252" s="513"/>
      <c r="O252" s="513"/>
      <c r="P252" s="513"/>
      <c r="Q252" s="513"/>
      <c r="R252" s="513"/>
      <c r="S252" s="513"/>
      <c r="T252" s="513"/>
      <c r="U252" s="513"/>
      <c r="V252" s="513"/>
      <c r="W252" s="513"/>
      <c r="X252" s="513"/>
      <c r="Y252" s="513"/>
      <c r="Z252" s="513"/>
      <c r="AA252" s="513"/>
      <c r="AB252" s="513"/>
      <c r="AC252" s="513"/>
      <c r="AD252" s="513"/>
      <c r="AE252" s="513"/>
      <c r="AF252" s="513"/>
      <c r="AG252" s="513"/>
      <c r="AH252" s="513"/>
      <c r="AI252" s="513"/>
      <c r="AJ252" s="513"/>
      <c r="AK252" s="513"/>
      <c r="AL252" s="513"/>
      <c r="AM252" s="513"/>
      <c r="AN252" s="27"/>
      <c r="AO252" s="17"/>
      <c r="AP252" s="9"/>
      <c r="AQ252" s="9"/>
      <c r="AR252" s="9"/>
    </row>
    <row r="253" spans="1:44" customFormat="1" ht="12" customHeight="1" outlineLevel="1" x14ac:dyDescent="0.35">
      <c r="A253" s="7"/>
      <c r="B253" s="8"/>
      <c r="C253" s="18"/>
      <c r="D253" s="18"/>
      <c r="E253" s="18"/>
      <c r="F253" s="24"/>
      <c r="I253" s="514" t="s">
        <v>2825</v>
      </c>
      <c r="J253" s="592" t="b">
        <v>1</v>
      </c>
      <c r="K253" s="592" t="b">
        <v>1</v>
      </c>
      <c r="L253" s="592" t="b">
        <v>1</v>
      </c>
      <c r="M253" s="592" t="b">
        <v>1</v>
      </c>
      <c r="N253" s="592" t="b">
        <v>1</v>
      </c>
      <c r="O253" s="592" t="b">
        <v>1</v>
      </c>
      <c r="P253" s="592" t="b">
        <v>1</v>
      </c>
      <c r="Q253" s="592" t="b">
        <v>1</v>
      </c>
      <c r="R253" s="592" t="b">
        <v>1</v>
      </c>
      <c r="S253" s="592" t="b">
        <v>1</v>
      </c>
      <c r="T253" s="592" t="b">
        <v>1</v>
      </c>
      <c r="U253" s="592" t="b">
        <v>1</v>
      </c>
      <c r="V253" s="592" t="b">
        <v>1</v>
      </c>
      <c r="W253" s="592" t="b">
        <v>1</v>
      </c>
      <c r="X253" s="592" t="b">
        <v>1</v>
      </c>
      <c r="Y253" s="592" t="b">
        <v>1</v>
      </c>
      <c r="Z253" s="592" t="b">
        <v>1</v>
      </c>
      <c r="AA253" s="592" t="b">
        <v>1</v>
      </c>
      <c r="AB253" s="592" t="b">
        <v>1</v>
      </c>
      <c r="AC253" s="592" t="b">
        <v>1</v>
      </c>
      <c r="AD253" s="592" t="b">
        <v>0</v>
      </c>
      <c r="AE253" s="592" t="b">
        <v>1</v>
      </c>
      <c r="AF253" s="592" t="b">
        <v>1</v>
      </c>
      <c r="AG253" s="592" t="b">
        <v>1</v>
      </c>
      <c r="AH253" s="592" t="b">
        <v>1</v>
      </c>
      <c r="AI253" s="592" t="b">
        <v>0</v>
      </c>
      <c r="AJ253" s="592" t="b">
        <v>1</v>
      </c>
      <c r="AK253" s="592" t="b">
        <v>1</v>
      </c>
      <c r="AL253" s="513"/>
      <c r="AM253" s="513"/>
      <c r="AN253" s="27"/>
      <c r="AO253" s="17"/>
      <c r="AP253" s="9"/>
      <c r="AQ253" s="9"/>
      <c r="AR253" s="9"/>
    </row>
    <row r="254" spans="1:44" customFormat="1" ht="12" customHeight="1" outlineLevel="1" x14ac:dyDescent="0.35">
      <c r="A254" s="7"/>
      <c r="B254" s="8"/>
      <c r="C254" s="18"/>
      <c r="D254" s="18"/>
      <c r="E254" s="18"/>
      <c r="F254" s="24"/>
      <c r="G254" s="526"/>
      <c r="H254" s="526"/>
      <c r="I254" s="514" t="s">
        <v>2826</v>
      </c>
      <c r="J254" s="592" t="b">
        <v>0</v>
      </c>
      <c r="K254" s="592" t="b">
        <v>0</v>
      </c>
      <c r="L254" s="592" t="b">
        <v>0</v>
      </c>
      <c r="M254" s="592" t="b">
        <v>0</v>
      </c>
      <c r="N254" s="592" t="b">
        <v>0</v>
      </c>
      <c r="O254" s="592" t="b">
        <v>0</v>
      </c>
      <c r="P254" s="592" t="b">
        <v>0</v>
      </c>
      <c r="Q254" s="592" t="b">
        <v>0</v>
      </c>
      <c r="R254" s="592" t="b">
        <v>0</v>
      </c>
      <c r="S254" s="592" t="b">
        <v>0</v>
      </c>
      <c r="T254" s="592" t="b">
        <v>0</v>
      </c>
      <c r="U254" s="592" t="b">
        <v>0</v>
      </c>
      <c r="V254" s="592" t="b">
        <v>0</v>
      </c>
      <c r="W254" s="592" t="b">
        <v>0</v>
      </c>
      <c r="X254" s="592" t="b">
        <v>0</v>
      </c>
      <c r="Y254" s="592" t="b">
        <v>0</v>
      </c>
      <c r="Z254" s="592" t="b">
        <v>0</v>
      </c>
      <c r="AA254" s="592" t="b">
        <v>0</v>
      </c>
      <c r="AB254" s="592" t="b">
        <v>0</v>
      </c>
      <c r="AC254" s="592" t="b">
        <v>0</v>
      </c>
      <c r="AD254" s="592" t="b">
        <v>0</v>
      </c>
      <c r="AE254" s="592" t="b">
        <v>0</v>
      </c>
      <c r="AF254" s="592" t="b">
        <v>0</v>
      </c>
      <c r="AG254" s="592" t="b">
        <v>0</v>
      </c>
      <c r="AH254" s="592" t="b">
        <v>0</v>
      </c>
      <c r="AI254" s="592" t="b">
        <v>0</v>
      </c>
      <c r="AJ254" s="592" t="b">
        <v>0</v>
      </c>
      <c r="AK254" s="592" t="b">
        <v>0</v>
      </c>
      <c r="AL254" s="513"/>
      <c r="AM254" s="513"/>
      <c r="AN254" s="27"/>
      <c r="AO254" s="17"/>
      <c r="AP254" s="9"/>
      <c r="AQ254" s="9"/>
      <c r="AR254" s="9"/>
    </row>
    <row r="255" spans="1:44" customFormat="1" ht="12" customHeight="1" outlineLevel="1" x14ac:dyDescent="0.35">
      <c r="A255" s="7"/>
      <c r="B255" s="8"/>
      <c r="C255" s="18"/>
      <c r="D255" s="18"/>
      <c r="E255" s="18"/>
      <c r="F255" s="24"/>
      <c r="H255" s="526"/>
      <c r="I255" s="514" t="s">
        <v>2827</v>
      </c>
      <c r="J255" s="592" t="b">
        <v>0</v>
      </c>
      <c r="K255" s="592" t="b">
        <v>0</v>
      </c>
      <c r="L255" s="592" t="b">
        <v>0</v>
      </c>
      <c r="M255" s="592" t="b">
        <v>0</v>
      </c>
      <c r="N255" s="592" t="b">
        <v>0</v>
      </c>
      <c r="O255" s="592" t="b">
        <v>0</v>
      </c>
      <c r="P255" s="592" t="b">
        <v>0</v>
      </c>
      <c r="Q255" s="592" t="b">
        <v>0</v>
      </c>
      <c r="R255" s="592" t="b">
        <v>0</v>
      </c>
      <c r="S255" s="592" t="b">
        <v>0</v>
      </c>
      <c r="T255" s="592" t="b">
        <v>0</v>
      </c>
      <c r="U255" s="592" t="b">
        <v>0</v>
      </c>
      <c r="V255" s="592" t="b">
        <v>0</v>
      </c>
      <c r="W255" s="592" t="b">
        <v>0</v>
      </c>
      <c r="X255" s="592" t="b">
        <v>0</v>
      </c>
      <c r="Y255" s="592" t="b">
        <v>0</v>
      </c>
      <c r="Z255" s="592" t="b">
        <v>0</v>
      </c>
      <c r="AA255" s="592" t="b">
        <v>0</v>
      </c>
      <c r="AB255" s="592" t="b">
        <v>0</v>
      </c>
      <c r="AC255" s="592" t="b">
        <v>0</v>
      </c>
      <c r="AD255" s="592" t="b">
        <v>1</v>
      </c>
      <c r="AE255" s="592" t="b">
        <v>0</v>
      </c>
      <c r="AF255" s="592" t="b">
        <v>0</v>
      </c>
      <c r="AG255" s="592" t="b">
        <v>0</v>
      </c>
      <c r="AH255" s="592" t="b">
        <v>0</v>
      </c>
      <c r="AI255" s="592" t="b">
        <v>1</v>
      </c>
      <c r="AJ255" s="592" t="b">
        <v>0</v>
      </c>
      <c r="AK255" s="592" t="b">
        <v>0</v>
      </c>
      <c r="AL255" s="513"/>
      <c r="AM255" s="513"/>
      <c r="AN255" s="27"/>
      <c r="AO255" s="17"/>
      <c r="AP255" s="9"/>
      <c r="AQ255" s="9"/>
      <c r="AR255" s="9"/>
    </row>
    <row r="256" spans="1:44" customFormat="1" ht="12" customHeight="1" outlineLevel="1" x14ac:dyDescent="0.35">
      <c r="A256" s="7"/>
      <c r="B256" s="8"/>
      <c r="C256" s="18"/>
      <c r="D256" s="18"/>
      <c r="E256" s="18"/>
      <c r="F256" s="24"/>
      <c r="G256" s="526"/>
      <c r="H256" s="526"/>
      <c r="I256" s="514" t="s">
        <v>2828</v>
      </c>
      <c r="J256" s="592" t="b">
        <v>0</v>
      </c>
      <c r="K256" s="592" t="b">
        <v>0</v>
      </c>
      <c r="L256" s="592" t="b">
        <v>0</v>
      </c>
      <c r="M256" s="592" t="b">
        <v>0</v>
      </c>
      <c r="N256" s="592" t="b">
        <v>0</v>
      </c>
      <c r="O256" s="592" t="b">
        <v>0</v>
      </c>
      <c r="P256" s="592" t="b">
        <v>0</v>
      </c>
      <c r="Q256" s="592" t="b">
        <v>0</v>
      </c>
      <c r="R256" s="592" t="b">
        <v>0</v>
      </c>
      <c r="S256" s="592" t="b">
        <v>0</v>
      </c>
      <c r="T256" s="592" t="b">
        <v>0</v>
      </c>
      <c r="U256" s="592" t="b">
        <v>0</v>
      </c>
      <c r="V256" s="592" t="b">
        <v>0</v>
      </c>
      <c r="W256" s="592" t="b">
        <v>0</v>
      </c>
      <c r="X256" s="592" t="b">
        <v>0</v>
      </c>
      <c r="Y256" s="592" t="b">
        <v>0</v>
      </c>
      <c r="Z256" s="592" t="b">
        <v>0</v>
      </c>
      <c r="AA256" s="592" t="b">
        <v>0</v>
      </c>
      <c r="AB256" s="592" t="b">
        <v>0</v>
      </c>
      <c r="AC256" s="592" t="b">
        <v>0</v>
      </c>
      <c r="AD256" s="592" t="b">
        <v>0</v>
      </c>
      <c r="AE256" s="592" t="b">
        <v>0</v>
      </c>
      <c r="AF256" s="592" t="b">
        <v>0</v>
      </c>
      <c r="AG256" s="592" t="b">
        <v>0</v>
      </c>
      <c r="AH256" s="592" t="b">
        <v>0</v>
      </c>
      <c r="AI256" s="592" t="b">
        <v>0</v>
      </c>
      <c r="AJ256" s="592" t="b">
        <v>0</v>
      </c>
      <c r="AK256" s="592" t="b">
        <v>0</v>
      </c>
      <c r="AL256" s="515"/>
      <c r="AM256" s="515"/>
      <c r="AN256" s="27"/>
      <c r="AO256" s="17"/>
      <c r="AP256" s="9"/>
      <c r="AQ256" s="9"/>
      <c r="AR256" s="9"/>
    </row>
    <row r="257" spans="1:44" customFormat="1" ht="12" customHeight="1" outlineLevel="1" x14ac:dyDescent="0.35">
      <c r="A257" s="7"/>
      <c r="B257" s="8"/>
      <c r="C257" s="18"/>
      <c r="D257" s="18"/>
      <c r="E257" s="18"/>
      <c r="F257" s="24"/>
      <c r="G257" s="526"/>
      <c r="H257" s="526"/>
      <c r="I257" s="526"/>
      <c r="J257" s="515"/>
      <c r="K257" s="515"/>
      <c r="L257" s="515"/>
      <c r="M257" s="515"/>
      <c r="N257" s="515"/>
      <c r="O257" s="515"/>
      <c r="P257" s="515"/>
      <c r="Q257" s="515"/>
      <c r="R257" s="515"/>
      <c r="S257" s="515"/>
      <c r="T257" s="515"/>
      <c r="U257" s="515"/>
      <c r="V257" s="515"/>
      <c r="W257" s="515"/>
      <c r="X257" s="515"/>
      <c r="Y257" s="515"/>
      <c r="Z257" s="515"/>
      <c r="AA257" s="515"/>
      <c r="AB257" s="515"/>
      <c r="AC257" s="515"/>
      <c r="AD257" s="515"/>
      <c r="AE257" s="515"/>
      <c r="AF257" s="515"/>
      <c r="AG257" s="515"/>
      <c r="AH257" s="515"/>
      <c r="AI257" s="515"/>
      <c r="AJ257" s="515"/>
      <c r="AK257" s="515"/>
      <c r="AL257" s="515"/>
      <c r="AM257" s="515"/>
      <c r="AN257" s="27"/>
      <c r="AO257" s="17"/>
      <c r="AP257" s="9"/>
      <c r="AQ257" s="9"/>
      <c r="AR257" s="9"/>
    </row>
    <row r="258" spans="1:44" customFormat="1" ht="12" customHeight="1" x14ac:dyDescent="0.35">
      <c r="A258" s="7"/>
      <c r="B258" s="8"/>
      <c r="C258" s="18"/>
      <c r="D258" s="18"/>
      <c r="E258" s="18"/>
      <c r="F258" s="24"/>
      <c r="G258" s="593" t="s">
        <v>3210</v>
      </c>
      <c r="H258" s="526"/>
      <c r="I258" s="526"/>
      <c r="J258" s="515"/>
      <c r="K258" s="515"/>
      <c r="L258" s="515"/>
      <c r="M258" s="515"/>
      <c r="N258" s="515"/>
      <c r="O258" s="515"/>
      <c r="P258" s="515"/>
      <c r="Q258" s="515"/>
      <c r="R258" s="515"/>
      <c r="S258" s="515"/>
      <c r="T258" s="515"/>
      <c r="U258" s="515"/>
      <c r="V258" s="515"/>
      <c r="W258" s="515"/>
      <c r="X258" s="515"/>
      <c r="Y258" s="515"/>
      <c r="Z258" s="515"/>
      <c r="AA258" s="515"/>
      <c r="AB258" s="515"/>
      <c r="AC258" s="515"/>
      <c r="AD258" s="515"/>
      <c r="AE258" s="515"/>
      <c r="AF258" s="515"/>
      <c r="AG258" s="515"/>
      <c r="AH258" s="515"/>
      <c r="AI258" s="515"/>
      <c r="AJ258" s="515"/>
      <c r="AK258" s="515"/>
      <c r="AL258" s="515"/>
      <c r="AM258" s="515"/>
      <c r="AN258" s="27"/>
      <c r="AO258" s="17"/>
      <c r="AP258" s="9"/>
      <c r="AQ258" s="9"/>
      <c r="AR258" s="9"/>
    </row>
    <row r="259" spans="1:44" customFormat="1" ht="12" customHeight="1" outlineLevel="1" x14ac:dyDescent="0.35">
      <c r="A259" s="7"/>
      <c r="B259" s="8"/>
      <c r="C259" s="18"/>
      <c r="D259" s="18"/>
      <c r="E259" s="18"/>
      <c r="F259" s="24"/>
      <c r="G259" s="526"/>
      <c r="H259" s="526" t="s">
        <v>3211</v>
      </c>
      <c r="I259" s="526"/>
      <c r="J259" s="594">
        <v>43466</v>
      </c>
      <c r="K259" s="594">
        <v>43466</v>
      </c>
      <c r="L259" s="594">
        <v>43466</v>
      </c>
      <c r="M259" s="594">
        <v>43466</v>
      </c>
      <c r="N259" s="594">
        <v>43466</v>
      </c>
      <c r="O259" s="594">
        <v>43466</v>
      </c>
      <c r="P259" s="594">
        <v>43466</v>
      </c>
      <c r="Q259" s="594">
        <v>43466</v>
      </c>
      <c r="R259" s="594">
        <v>43466</v>
      </c>
      <c r="S259" s="594">
        <v>43466</v>
      </c>
      <c r="T259" s="594">
        <v>43466</v>
      </c>
      <c r="U259" s="594">
        <v>43466</v>
      </c>
      <c r="V259" s="594">
        <v>43466</v>
      </c>
      <c r="W259" s="594">
        <v>43466</v>
      </c>
      <c r="X259" s="594">
        <v>43466</v>
      </c>
      <c r="Y259" s="594">
        <v>43466</v>
      </c>
      <c r="Z259" s="594">
        <v>43466</v>
      </c>
      <c r="AA259" s="594">
        <v>43466</v>
      </c>
      <c r="AB259" s="594">
        <v>43466</v>
      </c>
      <c r="AC259" s="594">
        <v>43466</v>
      </c>
      <c r="AD259" s="594">
        <v>43617</v>
      </c>
      <c r="AE259" s="594">
        <v>43617</v>
      </c>
      <c r="AF259" s="594">
        <v>43617</v>
      </c>
      <c r="AG259" s="594">
        <v>43617</v>
      </c>
      <c r="AH259" s="594">
        <v>43617</v>
      </c>
      <c r="AI259" s="594">
        <v>43617</v>
      </c>
      <c r="AJ259" s="594">
        <v>43466</v>
      </c>
      <c r="AK259" s="594">
        <v>43617</v>
      </c>
      <c r="AL259" s="515"/>
      <c r="AM259" s="515"/>
      <c r="AN259" s="27"/>
      <c r="AO259" s="17"/>
      <c r="AP259" s="9"/>
      <c r="AQ259" s="9"/>
      <c r="AR259" s="9"/>
    </row>
    <row r="260" spans="1:44" customFormat="1" ht="12" customHeight="1" outlineLevel="1" x14ac:dyDescent="0.35">
      <c r="A260" s="7"/>
      <c r="B260" s="8"/>
      <c r="C260" s="18"/>
      <c r="D260" s="18"/>
      <c r="E260" s="18"/>
      <c r="F260" s="24"/>
      <c r="G260" s="526"/>
      <c r="H260" s="526"/>
      <c r="I260" s="526"/>
      <c r="J260" s="595">
        <f>MIN(364,INT((J259 - DATE(YEAR(J259),1,1))))+364*(YEAR(J259)-[2]Sheep!i_startyear)</f>
        <v>0</v>
      </c>
      <c r="K260" s="595">
        <f>MIN(364,INT((K259 - DATE(YEAR(K259),1,1))))+364*(YEAR(K259)-[2]Sheep!i_startyear)</f>
        <v>0</v>
      </c>
      <c r="L260" s="595">
        <f>MIN(364,INT((L259 - DATE(YEAR(L259),1,1))))+364*(YEAR(L259)-[2]Sheep!i_startyear)</f>
        <v>0</v>
      </c>
      <c r="M260" s="595">
        <f>MIN(364,INT((M259 - DATE(YEAR(M259),1,1))))+364*(YEAR(M259)-[2]Sheep!i_startyear)</f>
        <v>0</v>
      </c>
      <c r="N260" s="595">
        <f>MIN(364,INT((N259 - DATE(YEAR(N259),1,1))))+364*(YEAR(N259)-[2]Sheep!i_startyear)</f>
        <v>0</v>
      </c>
      <c r="O260" s="595">
        <f>MIN(364,INT((O259 - DATE(YEAR(O259),1,1))))+364*(YEAR(O259)-[2]Sheep!i_startyear)</f>
        <v>0</v>
      </c>
      <c r="P260" s="595">
        <f>MIN(364,INT((P259 - DATE(YEAR(P259),1,1))))+364*(YEAR(P259)-[2]Sheep!i_startyear)</f>
        <v>0</v>
      </c>
      <c r="Q260" s="595">
        <f>MIN(364,INT((Q259 - DATE(YEAR(Q259),1,1))))+364*(YEAR(Q259)-[2]Sheep!i_startyear)</f>
        <v>0</v>
      </c>
      <c r="R260" s="595">
        <f>MIN(364,INT((R259 - DATE(YEAR(R259),1,1))))+364*(YEAR(R259)-[2]Sheep!i_startyear)</f>
        <v>0</v>
      </c>
      <c r="S260" s="595">
        <f>MIN(364,INT((S259 - DATE(YEAR(S259),1,1))))+364*(YEAR(S259)-[2]Sheep!i_startyear)</f>
        <v>0</v>
      </c>
      <c r="T260" s="595">
        <f>MIN(364,INT((T259 - DATE(YEAR(T259),1,1))))+364*(YEAR(T259)-[2]Sheep!i_startyear)</f>
        <v>0</v>
      </c>
      <c r="U260" s="595">
        <f>MIN(364,INT((U259 - DATE(YEAR(U259),1,1))))+364*(YEAR(U259)-[2]Sheep!i_startyear)</f>
        <v>0</v>
      </c>
      <c r="V260" s="595">
        <f>MIN(364,INT((V259 - DATE(YEAR(V259),1,1))))+364*(YEAR(V259)-[2]Sheep!i_startyear)</f>
        <v>0</v>
      </c>
      <c r="W260" s="595">
        <f>MIN(364,INT((W259 - DATE(YEAR(W259),1,1))))+364*(YEAR(W259)-[2]Sheep!i_startyear)</f>
        <v>0</v>
      </c>
      <c r="X260" s="595">
        <f>MIN(364,INT((X259 - DATE(YEAR(X259),1,1))))+364*(YEAR(X259)-[2]Sheep!i_startyear)</f>
        <v>0</v>
      </c>
      <c r="Y260" s="595">
        <f>MIN(364,INT((Y259 - DATE(YEAR(Y259),1,1))))+364*(YEAR(Y259)-[2]Sheep!i_startyear)</f>
        <v>0</v>
      </c>
      <c r="Z260" s="595">
        <f>MIN(364,INT((Z259 - DATE(YEAR(Z259),1,1))))+364*(YEAR(Z259)-[2]Sheep!i_startyear)</f>
        <v>0</v>
      </c>
      <c r="AA260" s="595">
        <f>MIN(364,INT((AA259 - DATE(YEAR(AA259),1,1))))+364*(YEAR(AA259)-[2]Sheep!i_startyear)</f>
        <v>0</v>
      </c>
      <c r="AB260" s="595">
        <f>MIN(364,INT((AB259 - DATE(YEAR(AB259),1,1))))+364*(YEAR(AB259)-[2]Sheep!i_startyear)</f>
        <v>0</v>
      </c>
      <c r="AC260" s="595">
        <f>MIN(364,INT((AC259 - DATE(YEAR(AC259),1,1))))+364*(YEAR(AC259)-[2]Sheep!i_startyear)</f>
        <v>0</v>
      </c>
      <c r="AD260" s="595">
        <f>MIN(364,INT((AD259 - DATE(YEAR(AD259),1,1))))+364*(YEAR(AD259)-[2]Sheep!i_startyear)</f>
        <v>151</v>
      </c>
      <c r="AE260" s="595">
        <f>MIN(364,INT((AE259 - DATE(YEAR(AE259),1,1))))+364*(YEAR(AE259)-[2]Sheep!i_startyear)</f>
        <v>151</v>
      </c>
      <c r="AF260" s="595">
        <f>MIN(364,INT((AF259 - DATE(YEAR(AF259),1,1))))+364*(YEAR(AF259)-[2]Sheep!i_startyear)</f>
        <v>151</v>
      </c>
      <c r="AG260" s="595">
        <f>MIN(364,INT((AG259 - DATE(YEAR(AG259),1,1))))+364*(YEAR(AG259)-[2]Sheep!i_startyear)</f>
        <v>151</v>
      </c>
      <c r="AH260" s="595">
        <f>MIN(364,INT((AH259 - DATE(YEAR(AH259),1,1))))+364*(YEAR(AH259)-[2]Sheep!i_startyear)</f>
        <v>151</v>
      </c>
      <c r="AI260" s="595">
        <f>MIN(364,INT((AI259 - DATE(YEAR(AI259),1,1))))+364*(YEAR(AI259)-[2]Sheep!i_startyear)</f>
        <v>151</v>
      </c>
      <c r="AJ260" s="595">
        <f>MIN(364,INT((AJ259 - DATE(YEAR(AJ259),1,1))))+364*(YEAR(AJ259)-[2]Sheep!i_startyear)</f>
        <v>0</v>
      </c>
      <c r="AK260" s="595">
        <f>MIN(364,INT((AK259 - DATE(YEAR(AK259),1,1))))+364*(YEAR(AK259)-[2]Sheep!i_startyear)</f>
        <v>151</v>
      </c>
      <c r="AL260" s="515"/>
      <c r="AM260" s="515"/>
      <c r="AN260" s="27"/>
      <c r="AO260" s="17"/>
      <c r="AP260" s="9"/>
      <c r="AQ260" s="9"/>
      <c r="AR260" s="9"/>
    </row>
    <row r="261" spans="1:44" customFormat="1" ht="12" customHeight="1" outlineLevel="1" x14ac:dyDescent="0.35">
      <c r="A261" s="7"/>
      <c r="B261" s="8"/>
      <c r="C261" s="18"/>
      <c r="D261" s="18"/>
      <c r="E261" s="18"/>
      <c r="F261" s="24"/>
      <c r="G261" s="526"/>
      <c r="H261" s="526" t="s">
        <v>3212</v>
      </c>
      <c r="I261" s="526"/>
      <c r="J261" s="594">
        <v>43466</v>
      </c>
      <c r="K261" s="594">
        <v>43466</v>
      </c>
      <c r="L261" s="594">
        <v>43466</v>
      </c>
      <c r="M261" s="594">
        <v>43466</v>
      </c>
      <c r="N261" s="594">
        <v>43466</v>
      </c>
      <c r="O261" s="594">
        <v>43466</v>
      </c>
      <c r="P261" s="594">
        <v>43466</v>
      </c>
      <c r="Q261" s="594">
        <v>43466</v>
      </c>
      <c r="R261" s="594">
        <v>43466</v>
      </c>
      <c r="S261" s="594">
        <v>43466</v>
      </c>
      <c r="T261" s="594">
        <v>43466</v>
      </c>
      <c r="U261" s="594">
        <v>43466</v>
      </c>
      <c r="V261" s="594">
        <v>43466</v>
      </c>
      <c r="W261" s="594">
        <v>43466</v>
      </c>
      <c r="X261" s="594">
        <v>43466</v>
      </c>
      <c r="Y261" s="594">
        <v>43466</v>
      </c>
      <c r="Z261" s="594">
        <v>43466</v>
      </c>
      <c r="AA261" s="594">
        <v>43466</v>
      </c>
      <c r="AB261" s="594">
        <v>43466</v>
      </c>
      <c r="AC261" s="594">
        <v>43466</v>
      </c>
      <c r="AD261" s="594">
        <v>43506</v>
      </c>
      <c r="AE261" s="594">
        <v>43506</v>
      </c>
      <c r="AF261" s="594">
        <v>43506</v>
      </c>
      <c r="AG261" s="594">
        <v>43506</v>
      </c>
      <c r="AH261" s="594">
        <v>43506</v>
      </c>
      <c r="AI261" s="594">
        <v>43506</v>
      </c>
      <c r="AJ261" s="594">
        <v>43466</v>
      </c>
      <c r="AK261" s="594">
        <v>43506</v>
      </c>
      <c r="AL261" s="515"/>
      <c r="AM261" s="515"/>
      <c r="AN261" s="27"/>
      <c r="AO261" s="17"/>
      <c r="AP261" s="9"/>
      <c r="AQ261" s="9"/>
      <c r="AR261" s="9"/>
    </row>
    <row r="262" spans="1:44" customFormat="1" ht="12" customHeight="1" outlineLevel="1" x14ac:dyDescent="0.35">
      <c r="A262" s="7"/>
      <c r="B262" s="8"/>
      <c r="C262" s="18"/>
      <c r="D262" s="18"/>
      <c r="E262" s="18"/>
      <c r="F262" s="24"/>
      <c r="G262" s="526"/>
      <c r="H262" s="526"/>
      <c r="I262" s="526"/>
      <c r="J262" s="595">
        <f>MIN(364,INT((J261 - DATE(YEAR(J261),1,1))))+364*(YEAR(J261)-[2]Sheep!i_startyear)</f>
        <v>0</v>
      </c>
      <c r="K262" s="595">
        <f>MIN(364,INT((K261 - DATE(YEAR(K261),1,1))))+364*(YEAR(K261)-[2]Sheep!i_startyear)</f>
        <v>0</v>
      </c>
      <c r="L262" s="595">
        <f>MIN(364,INT((L261 - DATE(YEAR(L261),1,1))))+364*(YEAR(L261)-[2]Sheep!i_startyear)</f>
        <v>0</v>
      </c>
      <c r="M262" s="595">
        <f>MIN(364,INT((M261 - DATE(YEAR(M261),1,1))))+364*(YEAR(M261)-[2]Sheep!i_startyear)</f>
        <v>0</v>
      </c>
      <c r="N262" s="595">
        <f>MIN(364,INT((N261 - DATE(YEAR(N261),1,1))))+364*(YEAR(N261)-[2]Sheep!i_startyear)</f>
        <v>0</v>
      </c>
      <c r="O262" s="595">
        <f>MIN(364,INT((O261 - DATE(YEAR(O261),1,1))))+364*(YEAR(O261)-[2]Sheep!i_startyear)</f>
        <v>0</v>
      </c>
      <c r="P262" s="595">
        <f>MIN(364,INT((P261 - DATE(YEAR(P261),1,1))))+364*(YEAR(P261)-[2]Sheep!i_startyear)</f>
        <v>0</v>
      </c>
      <c r="Q262" s="595">
        <f>MIN(364,INT((Q261 - DATE(YEAR(Q261),1,1))))+364*(YEAR(Q261)-[2]Sheep!i_startyear)</f>
        <v>0</v>
      </c>
      <c r="R262" s="595">
        <f>MIN(364,INT((R261 - DATE(YEAR(R261),1,1))))+364*(YEAR(R261)-[2]Sheep!i_startyear)</f>
        <v>0</v>
      </c>
      <c r="S262" s="595">
        <f>MIN(364,INT((S261 - DATE(YEAR(S261),1,1))))+364*(YEAR(S261)-[2]Sheep!i_startyear)</f>
        <v>0</v>
      </c>
      <c r="T262" s="595">
        <f>MIN(364,INT((T261 - DATE(YEAR(T261),1,1))))+364*(YEAR(T261)-[2]Sheep!i_startyear)</f>
        <v>0</v>
      </c>
      <c r="U262" s="595">
        <f>MIN(364,INT((U261 - DATE(YEAR(U261),1,1))))+364*(YEAR(U261)-[2]Sheep!i_startyear)</f>
        <v>0</v>
      </c>
      <c r="V262" s="595">
        <f>MIN(364,INT((V261 - DATE(YEAR(V261),1,1))))+364*(YEAR(V261)-[2]Sheep!i_startyear)</f>
        <v>0</v>
      </c>
      <c r="W262" s="595">
        <f>MIN(364,INT((W261 - DATE(YEAR(W261),1,1))))+364*(YEAR(W261)-[2]Sheep!i_startyear)</f>
        <v>0</v>
      </c>
      <c r="X262" s="595">
        <f>MIN(364,INT((X261 - DATE(YEAR(X261),1,1))))+364*(YEAR(X261)-[2]Sheep!i_startyear)</f>
        <v>0</v>
      </c>
      <c r="Y262" s="595">
        <f>MIN(364,INT((Y261 - DATE(YEAR(Y261),1,1))))+364*(YEAR(Y261)-[2]Sheep!i_startyear)</f>
        <v>0</v>
      </c>
      <c r="Z262" s="595">
        <f>MIN(364,INT((Z261 - DATE(YEAR(Z261),1,1))))+364*(YEAR(Z261)-[2]Sheep!i_startyear)</f>
        <v>0</v>
      </c>
      <c r="AA262" s="595">
        <f>MIN(364,INT((AA261 - DATE(YEAR(AA261),1,1))))+364*(YEAR(AA261)-[2]Sheep!i_startyear)</f>
        <v>0</v>
      </c>
      <c r="AB262" s="595">
        <f>MIN(364,INT((AB261 - DATE(YEAR(AB261),1,1))))+364*(YEAR(AB261)-[2]Sheep!i_startyear)</f>
        <v>0</v>
      </c>
      <c r="AC262" s="595">
        <f>MIN(364,INT((AC261 - DATE(YEAR(AC261),1,1))))+364*(YEAR(AC261)-[2]Sheep!i_startyear)</f>
        <v>0</v>
      </c>
      <c r="AD262" s="595">
        <f>MIN(364,INT((AD261 - DATE(YEAR(AD261),1,1))))+364*(YEAR(AD261)-[2]Sheep!i_startyear)</f>
        <v>40</v>
      </c>
      <c r="AE262" s="595">
        <f>MIN(364,INT((AE261 - DATE(YEAR(AE261),1,1))))+364*(YEAR(AE261)-[2]Sheep!i_startyear)</f>
        <v>40</v>
      </c>
      <c r="AF262" s="595">
        <f>MIN(364,INT((AF261 - DATE(YEAR(AF261),1,1))))+364*(YEAR(AF261)-[2]Sheep!i_startyear)</f>
        <v>40</v>
      </c>
      <c r="AG262" s="595">
        <f>MIN(364,INT((AG261 - DATE(YEAR(AG261),1,1))))+364*(YEAR(AG261)-[2]Sheep!i_startyear)</f>
        <v>40</v>
      </c>
      <c r="AH262" s="595">
        <f>MIN(364,INT((AH261 - DATE(YEAR(AH261),1,1))))+364*(YEAR(AH261)-[2]Sheep!i_startyear)</f>
        <v>40</v>
      </c>
      <c r="AI262" s="595">
        <f>MIN(364,INT((AI261 - DATE(YEAR(AI261),1,1))))+364*(YEAR(AI261)-[2]Sheep!i_startyear)</f>
        <v>40</v>
      </c>
      <c r="AJ262" s="595">
        <f>MIN(364,INT((AJ261 - DATE(YEAR(AJ261),1,1))))+364*(YEAR(AJ261)-[2]Sheep!i_startyear)</f>
        <v>0</v>
      </c>
      <c r="AK262" s="595">
        <f>MIN(364,INT((AK261 - DATE(YEAR(AK261),1,1))))+364*(YEAR(AK261)-[2]Sheep!i_startyear)</f>
        <v>40</v>
      </c>
      <c r="AL262" s="515"/>
      <c r="AM262" s="515"/>
      <c r="AN262" s="27"/>
      <c r="AO262" s="17"/>
      <c r="AP262" s="9"/>
      <c r="AQ262" s="9"/>
      <c r="AR262" s="9"/>
    </row>
    <row r="263" spans="1:44" customFormat="1" ht="12" customHeight="1" outlineLevel="1" x14ac:dyDescent="0.35">
      <c r="A263" s="7"/>
      <c r="B263" s="8"/>
      <c r="C263" s="18"/>
      <c r="D263" s="18"/>
      <c r="E263" s="18"/>
      <c r="F263" s="24"/>
      <c r="G263" s="526"/>
      <c r="H263" s="526"/>
      <c r="I263" s="526"/>
      <c r="J263" s="515"/>
      <c r="K263" s="515"/>
      <c r="L263" s="515"/>
      <c r="M263" s="515"/>
      <c r="N263" s="515"/>
      <c r="O263" s="515"/>
      <c r="P263" s="515"/>
      <c r="Q263" s="515"/>
      <c r="R263" s="515"/>
      <c r="S263" s="515"/>
      <c r="T263" s="515"/>
      <c r="U263" s="515"/>
      <c r="V263" s="515"/>
      <c r="W263" s="515"/>
      <c r="X263" s="515"/>
      <c r="Y263" s="515"/>
      <c r="Z263" s="515"/>
      <c r="AA263" s="515"/>
      <c r="AB263" s="515"/>
      <c r="AC263" s="515"/>
      <c r="AD263" s="515"/>
      <c r="AE263" s="515"/>
      <c r="AF263" s="515"/>
      <c r="AG263" s="515"/>
      <c r="AH263" s="515"/>
      <c r="AI263" s="515"/>
      <c r="AJ263" s="515"/>
      <c r="AK263" s="515"/>
      <c r="AL263" s="515"/>
      <c r="AM263" s="515"/>
      <c r="AN263" s="27"/>
      <c r="AO263" s="17"/>
      <c r="AP263" s="9"/>
      <c r="AQ263" s="9"/>
      <c r="AR263" s="9"/>
    </row>
    <row r="264" spans="1:44" customFormat="1" ht="12" customHeight="1" outlineLevel="1" x14ac:dyDescent="0.35">
      <c r="A264" s="7"/>
      <c r="B264" s="8"/>
      <c r="C264" s="18"/>
      <c r="D264" s="18"/>
      <c r="E264" s="18"/>
      <c r="F264" s="24"/>
      <c r="G264" s="526"/>
      <c r="H264" s="526"/>
      <c r="I264" s="526"/>
      <c r="J264" s="515"/>
      <c r="K264" s="515"/>
      <c r="L264" s="515"/>
      <c r="M264" s="515"/>
      <c r="N264" s="515"/>
      <c r="O264" s="515"/>
      <c r="P264" s="515"/>
      <c r="Q264" s="515"/>
      <c r="R264" s="515"/>
      <c r="S264" s="515"/>
      <c r="T264" s="515"/>
      <c r="U264" s="515"/>
      <c r="V264" s="515"/>
      <c r="W264" s="515"/>
      <c r="X264" s="515"/>
      <c r="Y264" s="515"/>
      <c r="Z264" s="515"/>
      <c r="AA264" s="515"/>
      <c r="AB264" s="515"/>
      <c r="AC264" s="515"/>
      <c r="AD264" s="515"/>
      <c r="AE264" s="515"/>
      <c r="AF264" s="515"/>
      <c r="AG264" s="515"/>
      <c r="AH264" s="515"/>
      <c r="AI264" s="515"/>
      <c r="AJ264" s="515"/>
      <c r="AK264" s="515"/>
      <c r="AL264" s="515"/>
      <c r="AM264" s="515"/>
      <c r="AN264" s="27"/>
      <c r="AO264" s="17"/>
      <c r="AP264" s="9"/>
      <c r="AQ264" s="9"/>
      <c r="AR264" s="9"/>
    </row>
    <row r="265" spans="1:44" customFormat="1" ht="12" customHeight="1" x14ac:dyDescent="0.35">
      <c r="A265" s="7"/>
      <c r="B265" s="8"/>
      <c r="C265" s="18"/>
      <c r="D265" s="18"/>
      <c r="E265" s="18"/>
      <c r="F265" s="24"/>
      <c r="G265" s="593" t="s">
        <v>3213</v>
      </c>
      <c r="H265" s="526"/>
      <c r="I265" s="526"/>
      <c r="J265" s="515"/>
      <c r="K265" s="515"/>
      <c r="L265" s="515"/>
      <c r="M265" s="515"/>
      <c r="N265" s="515"/>
      <c r="O265" s="515"/>
      <c r="P265" s="515"/>
      <c r="Q265" s="515"/>
      <c r="R265" s="515"/>
      <c r="S265" s="515"/>
      <c r="T265" s="515"/>
      <c r="U265" s="515"/>
      <c r="V265" s="515"/>
      <c r="W265" s="515"/>
      <c r="X265" s="515"/>
      <c r="Y265" s="515"/>
      <c r="Z265" s="515"/>
      <c r="AA265" s="515"/>
      <c r="AB265" s="515"/>
      <c r="AC265" s="515"/>
      <c r="AD265" s="515"/>
      <c r="AE265" s="515"/>
      <c r="AF265" s="515"/>
      <c r="AG265" s="515"/>
      <c r="AH265" s="515"/>
      <c r="AI265" s="515"/>
      <c r="AJ265" s="515"/>
      <c r="AK265" s="515"/>
      <c r="AL265" s="515"/>
      <c r="AM265" s="515"/>
      <c r="AN265" s="27"/>
      <c r="AO265" s="17"/>
      <c r="AP265" s="9"/>
      <c r="AQ265" s="9"/>
      <c r="AR265" s="9"/>
    </row>
    <row r="266" spans="1:44" customFormat="1" ht="12" customHeight="1" outlineLevel="1" x14ac:dyDescent="0.35">
      <c r="A266" s="7"/>
      <c r="B266" s="8"/>
      <c r="C266" s="18"/>
      <c r="D266" s="18"/>
      <c r="E266" s="18"/>
      <c r="F266" s="24"/>
      <c r="G266" s="526"/>
      <c r="H266" s="526" t="s">
        <v>3214</v>
      </c>
      <c r="I266" s="526"/>
      <c r="J266" s="596">
        <v>3.4</v>
      </c>
      <c r="K266" s="596">
        <v>3.4</v>
      </c>
      <c r="L266" s="596">
        <v>3.4</v>
      </c>
      <c r="M266" s="596">
        <v>3.4</v>
      </c>
      <c r="N266" s="596">
        <v>3.4</v>
      </c>
      <c r="O266" s="596">
        <v>3.4</v>
      </c>
      <c r="P266" s="596">
        <v>3.4</v>
      </c>
      <c r="Q266" s="596">
        <v>3.4</v>
      </c>
      <c r="R266" s="596">
        <v>3.4</v>
      </c>
      <c r="S266" s="596">
        <v>3.4</v>
      </c>
      <c r="T266" s="596">
        <v>3.4</v>
      </c>
      <c r="U266" s="596">
        <v>3.4</v>
      </c>
      <c r="V266" s="596">
        <v>3.4</v>
      </c>
      <c r="W266" s="596">
        <v>3.4</v>
      </c>
      <c r="X266" s="596">
        <v>3.4</v>
      </c>
      <c r="Y266" s="596">
        <v>3.4</v>
      </c>
      <c r="Z266" s="596">
        <v>3.4</v>
      </c>
      <c r="AA266" s="596">
        <v>3.4</v>
      </c>
      <c r="AB266" s="596">
        <v>3.4</v>
      </c>
      <c r="AC266" s="596">
        <v>3.4</v>
      </c>
      <c r="AD266" s="596">
        <v>3.4</v>
      </c>
      <c r="AE266" s="596">
        <v>3.4</v>
      </c>
      <c r="AF266" s="596">
        <v>3.4</v>
      </c>
      <c r="AG266" s="596">
        <v>3.4</v>
      </c>
      <c r="AH266" s="596">
        <v>3.4</v>
      </c>
      <c r="AI266" s="596">
        <v>3.4</v>
      </c>
      <c r="AJ266" s="596">
        <v>3.4</v>
      </c>
      <c r="AK266" s="574">
        <f>AVERAGE(AD266:AE266)</f>
        <v>3.4</v>
      </c>
      <c r="AL266" s="515"/>
      <c r="AM266" s="515"/>
      <c r="AN266" s="27"/>
      <c r="AO266" s="17"/>
      <c r="AP266" s="9"/>
      <c r="AQ266" s="9"/>
      <c r="AR266" s="9"/>
    </row>
    <row r="267" spans="1:44" customFormat="1" ht="12" customHeight="1" outlineLevel="1" x14ac:dyDescent="0.35">
      <c r="A267" s="7"/>
      <c r="B267" s="8"/>
      <c r="C267" s="18"/>
      <c r="D267" s="18"/>
      <c r="E267" s="18"/>
      <c r="F267" s="24"/>
      <c r="G267" s="526"/>
      <c r="H267" s="526" t="s">
        <v>3215</v>
      </c>
      <c r="I267" s="526"/>
      <c r="J267" s="596">
        <v>0</v>
      </c>
      <c r="K267" s="596">
        <v>0</v>
      </c>
      <c r="L267" s="596">
        <v>0</v>
      </c>
      <c r="M267" s="596">
        <v>0</v>
      </c>
      <c r="N267" s="596">
        <v>0</v>
      </c>
      <c r="O267" s="596">
        <v>0</v>
      </c>
      <c r="P267" s="596">
        <v>0</v>
      </c>
      <c r="Q267" s="596">
        <v>0</v>
      </c>
      <c r="R267" s="596">
        <v>15.4</v>
      </c>
      <c r="S267" s="596">
        <v>15.4</v>
      </c>
      <c r="T267" s="596">
        <v>15.4</v>
      </c>
      <c r="U267" s="596">
        <v>15.4</v>
      </c>
      <c r="V267" s="596">
        <v>15.4</v>
      </c>
      <c r="W267" s="596">
        <v>15.4</v>
      </c>
      <c r="X267" s="596">
        <v>15.4</v>
      </c>
      <c r="Y267" s="596">
        <v>15.4</v>
      </c>
      <c r="Z267" s="596">
        <v>15.4</v>
      </c>
      <c r="AA267" s="596">
        <v>15.4</v>
      </c>
      <c r="AB267" s="596">
        <v>15.4</v>
      </c>
      <c r="AC267" s="596">
        <v>15.4</v>
      </c>
      <c r="AD267" s="596">
        <v>0</v>
      </c>
      <c r="AE267" s="596">
        <v>0</v>
      </c>
      <c r="AF267" s="596">
        <v>0</v>
      </c>
      <c r="AG267" s="596">
        <v>0</v>
      </c>
      <c r="AH267" s="596">
        <v>0</v>
      </c>
      <c r="AI267" s="596">
        <v>0</v>
      </c>
      <c r="AJ267" s="596">
        <v>15.4</v>
      </c>
      <c r="AK267" s="574">
        <f>AVERAGE(AD267:AE267)</f>
        <v>0</v>
      </c>
      <c r="AL267" s="515"/>
      <c r="AM267" s="515"/>
      <c r="AN267" s="27"/>
      <c r="AO267" s="17"/>
      <c r="AP267" s="9"/>
      <c r="AQ267" s="9"/>
      <c r="AR267" s="9"/>
    </row>
    <row r="268" spans="1:44" customFormat="1" ht="12" customHeight="1" outlineLevel="1" x14ac:dyDescent="0.35">
      <c r="A268" s="7"/>
      <c r="B268" s="8"/>
      <c r="C268" s="18"/>
      <c r="D268" s="18"/>
      <c r="E268" s="18"/>
      <c r="F268" s="24"/>
      <c r="G268" s="526"/>
      <c r="H268" s="526" t="s">
        <v>3216</v>
      </c>
      <c r="I268" s="526"/>
      <c r="J268" s="596">
        <v>29.4</v>
      </c>
      <c r="K268" s="596">
        <v>29.4</v>
      </c>
      <c r="L268" s="596">
        <v>29.4</v>
      </c>
      <c r="M268" s="596">
        <v>29.4</v>
      </c>
      <c r="N268" s="596">
        <v>29.4</v>
      </c>
      <c r="O268" s="596">
        <v>29.4</v>
      </c>
      <c r="P268" s="596">
        <v>29.4</v>
      </c>
      <c r="Q268" s="596">
        <v>29.4</v>
      </c>
      <c r="R268" s="596">
        <v>29.4</v>
      </c>
      <c r="S268" s="596">
        <v>29.4</v>
      </c>
      <c r="T268" s="596">
        <v>29.4</v>
      </c>
      <c r="U268" s="596">
        <v>29.4</v>
      </c>
      <c r="V268" s="596">
        <v>29.4</v>
      </c>
      <c r="W268" s="596">
        <v>29.4</v>
      </c>
      <c r="X268" s="596">
        <v>29.4</v>
      </c>
      <c r="Y268" s="596">
        <v>29.4</v>
      </c>
      <c r="Z268" s="596">
        <v>29.4</v>
      </c>
      <c r="AA268" s="596">
        <v>29.4</v>
      </c>
      <c r="AB268" s="596">
        <v>29.4</v>
      </c>
      <c r="AC268" s="596">
        <v>29.4</v>
      </c>
      <c r="AD268" s="596">
        <v>29.4</v>
      </c>
      <c r="AE268" s="596">
        <v>29.4</v>
      </c>
      <c r="AF268" s="596">
        <v>29.4</v>
      </c>
      <c r="AG268" s="596">
        <v>29.4</v>
      </c>
      <c r="AH268" s="596">
        <v>29.4</v>
      </c>
      <c r="AI268" s="596">
        <v>29.4</v>
      </c>
      <c r="AJ268" s="596">
        <v>29.4</v>
      </c>
      <c r="AK268" s="574">
        <f>AVERAGE(AD268:AE268)</f>
        <v>29.4</v>
      </c>
      <c r="AL268" s="527"/>
      <c r="AM268" s="527"/>
      <c r="AN268" s="27"/>
      <c r="AO268" s="17"/>
      <c r="AP268" s="9"/>
      <c r="AQ268" s="9"/>
      <c r="AR268" s="9"/>
    </row>
    <row r="269" spans="1:44" customFormat="1" ht="12" customHeight="1" outlineLevel="1" x14ac:dyDescent="0.35">
      <c r="A269" s="7"/>
      <c r="B269" s="8"/>
      <c r="C269" s="18"/>
      <c r="D269" s="18"/>
      <c r="E269" s="18"/>
      <c r="F269" s="24"/>
      <c r="G269" s="526"/>
      <c r="H269" s="526" t="s">
        <v>3217</v>
      </c>
      <c r="I269" s="526"/>
      <c r="J269" s="596">
        <v>13.1</v>
      </c>
      <c r="K269" s="596">
        <v>13.1</v>
      </c>
      <c r="L269" s="596">
        <v>13.1</v>
      </c>
      <c r="M269" s="596">
        <v>13.1</v>
      </c>
      <c r="N269" s="596">
        <v>13.1</v>
      </c>
      <c r="O269" s="596">
        <v>13.1</v>
      </c>
      <c r="P269" s="596">
        <v>13.1</v>
      </c>
      <c r="Q269" s="596">
        <v>13.1</v>
      </c>
      <c r="R269" s="596">
        <v>13.1</v>
      </c>
      <c r="S269" s="596">
        <v>13.1</v>
      </c>
      <c r="T269" s="596">
        <v>13.1</v>
      </c>
      <c r="U269" s="596">
        <v>13.1</v>
      </c>
      <c r="V269" s="596">
        <v>13.1</v>
      </c>
      <c r="W269" s="596">
        <v>13.1</v>
      </c>
      <c r="X269" s="596">
        <v>13.1</v>
      </c>
      <c r="Y269" s="596">
        <v>13.1</v>
      </c>
      <c r="Z269" s="596">
        <v>13.1</v>
      </c>
      <c r="AA269" s="596">
        <v>13.1</v>
      </c>
      <c r="AB269" s="596">
        <v>13.1</v>
      </c>
      <c r="AC269" s="596">
        <v>13.1</v>
      </c>
      <c r="AD269" s="596">
        <v>13.1</v>
      </c>
      <c r="AE269" s="596">
        <v>13.1</v>
      </c>
      <c r="AF269" s="596">
        <v>13.1</v>
      </c>
      <c r="AG269" s="596">
        <v>13.1</v>
      </c>
      <c r="AH269" s="596">
        <v>13.1</v>
      </c>
      <c r="AI269" s="596">
        <v>13.1</v>
      </c>
      <c r="AJ269" s="596">
        <v>13.1</v>
      </c>
      <c r="AK269" s="574">
        <f>AVERAGE(AD269:AE269)</f>
        <v>13.1</v>
      </c>
      <c r="AL269" s="514"/>
      <c r="AM269" s="514"/>
      <c r="AN269" s="27"/>
      <c r="AO269" s="17"/>
      <c r="AP269" s="9"/>
      <c r="AQ269" s="9"/>
      <c r="AR269" s="9"/>
    </row>
    <row r="270" spans="1:44" customFormat="1" ht="12" customHeight="1" outlineLevel="1" x14ac:dyDescent="0.35">
      <c r="A270" s="7"/>
      <c r="B270" s="8"/>
      <c r="C270" s="18"/>
      <c r="D270" s="18"/>
      <c r="E270" s="18"/>
      <c r="F270" s="24"/>
      <c r="G270" s="526"/>
      <c r="H270" s="526" t="s">
        <v>3218</v>
      </c>
      <c r="I270" s="526"/>
      <c r="J270" s="596">
        <v>21.25</v>
      </c>
      <c r="K270" s="596">
        <v>21.25</v>
      </c>
      <c r="L270" s="596">
        <v>21.25</v>
      </c>
      <c r="M270" s="596">
        <v>21.25</v>
      </c>
      <c r="N270" s="596">
        <v>21.25</v>
      </c>
      <c r="O270" s="596">
        <v>21.25</v>
      </c>
      <c r="P270" s="596">
        <v>21.25</v>
      </c>
      <c r="Q270" s="596">
        <v>21.25</v>
      </c>
      <c r="R270" s="596">
        <v>21.25</v>
      </c>
      <c r="S270" s="596">
        <v>21.25</v>
      </c>
      <c r="T270" s="596">
        <v>21.25</v>
      </c>
      <c r="U270" s="596">
        <v>21.25</v>
      </c>
      <c r="V270" s="596">
        <v>21.25</v>
      </c>
      <c r="W270" s="596">
        <v>21.25</v>
      </c>
      <c r="X270" s="596">
        <v>21.25</v>
      </c>
      <c r="Y270" s="596">
        <v>21.25</v>
      </c>
      <c r="Z270" s="596">
        <v>21.25</v>
      </c>
      <c r="AA270" s="596">
        <v>21.25</v>
      </c>
      <c r="AB270" s="596">
        <v>21.25</v>
      </c>
      <c r="AC270" s="596">
        <v>21.25</v>
      </c>
      <c r="AD270" s="596">
        <v>21.25</v>
      </c>
      <c r="AE270" s="596">
        <v>21.25</v>
      </c>
      <c r="AF270" s="596">
        <v>21.25</v>
      </c>
      <c r="AG270" s="596">
        <v>21.25</v>
      </c>
      <c r="AH270" s="596">
        <v>21.25</v>
      </c>
      <c r="AI270" s="596">
        <v>21.25</v>
      </c>
      <c r="AJ270" s="596">
        <v>21.25</v>
      </c>
      <c r="AK270" s="574">
        <f>AVERAGE(AD270:AE270)</f>
        <v>21.25</v>
      </c>
      <c r="AL270" s="515"/>
      <c r="AM270" s="515"/>
      <c r="AN270" s="27"/>
      <c r="AO270" s="17"/>
      <c r="AP270" s="9"/>
      <c r="AQ270" s="9"/>
      <c r="AR270" s="9"/>
    </row>
    <row r="271" spans="1:44" customFormat="1" ht="12" customHeight="1" outlineLevel="1" x14ac:dyDescent="0.35">
      <c r="A271" s="7"/>
      <c r="B271" s="8"/>
      <c r="C271" s="18"/>
      <c r="D271" s="18"/>
      <c r="E271" s="18"/>
      <c r="F271" s="24"/>
      <c r="G271" s="526"/>
      <c r="H271" s="526"/>
      <c r="I271" s="526"/>
      <c r="J271" s="515"/>
      <c r="K271" s="515"/>
      <c r="L271" s="515"/>
      <c r="M271" s="515"/>
      <c r="N271" s="515"/>
      <c r="O271" s="515"/>
      <c r="P271" s="515"/>
      <c r="Q271" s="515"/>
      <c r="R271" s="515"/>
      <c r="S271" s="515"/>
      <c r="T271" s="515"/>
      <c r="U271" s="515"/>
      <c r="V271" s="515"/>
      <c r="W271" s="515"/>
      <c r="X271" s="515"/>
      <c r="Y271" s="515"/>
      <c r="Z271" s="515"/>
      <c r="AA271" s="515"/>
      <c r="AB271" s="515"/>
      <c r="AC271" s="515"/>
      <c r="AD271" s="515"/>
      <c r="AE271" s="515"/>
      <c r="AF271" s="515"/>
      <c r="AG271" s="515"/>
      <c r="AH271" s="515"/>
      <c r="AI271" s="515"/>
      <c r="AJ271" s="515"/>
      <c r="AK271" s="515"/>
      <c r="AL271" s="515"/>
      <c r="AM271" s="515"/>
      <c r="AN271" s="27"/>
      <c r="AO271" s="17"/>
      <c r="AP271" s="9"/>
      <c r="AQ271" s="9"/>
      <c r="AR271" s="9"/>
    </row>
    <row r="272" spans="1:44" customFormat="1" ht="12" customHeight="1" outlineLevel="1" x14ac:dyDescent="0.35">
      <c r="A272" s="7"/>
      <c r="B272" s="8"/>
      <c r="C272" s="18"/>
      <c r="D272" s="18"/>
      <c r="E272" s="18"/>
      <c r="F272" s="24"/>
      <c r="G272" s="25"/>
      <c r="H272" s="28"/>
      <c r="I272" s="526"/>
      <c r="J272" s="515"/>
      <c r="K272" s="515"/>
      <c r="L272" s="515"/>
      <c r="M272" s="515"/>
      <c r="N272" s="515"/>
      <c r="O272" s="515"/>
      <c r="P272" s="515"/>
      <c r="Q272" s="515"/>
      <c r="R272" s="515"/>
      <c r="S272" s="515"/>
      <c r="T272" s="515"/>
      <c r="U272" s="515"/>
      <c r="V272" s="515"/>
      <c r="W272" s="515"/>
      <c r="X272" s="515"/>
      <c r="Y272" s="515"/>
      <c r="Z272" s="515"/>
      <c r="AA272" s="515"/>
      <c r="AB272" s="515"/>
      <c r="AC272" s="515"/>
      <c r="AD272" s="515"/>
      <c r="AE272" s="515"/>
      <c r="AF272" s="515"/>
      <c r="AG272" s="515"/>
      <c r="AH272" s="515"/>
      <c r="AI272" s="515"/>
      <c r="AJ272" s="515"/>
      <c r="AK272" s="515"/>
      <c r="AL272" s="515"/>
      <c r="AM272" s="515"/>
      <c r="AN272" s="27"/>
      <c r="AO272" s="17"/>
      <c r="AP272" s="9"/>
      <c r="AQ272" s="9"/>
      <c r="AR272" s="9"/>
    </row>
    <row r="273" spans="1:44" customFormat="1" ht="12" customHeight="1" x14ac:dyDescent="0.35">
      <c r="A273" s="7"/>
      <c r="B273" s="8"/>
      <c r="C273" s="18"/>
      <c r="D273" s="18"/>
      <c r="E273" s="18"/>
      <c r="F273" s="24"/>
      <c r="G273" s="570" t="s">
        <v>3219</v>
      </c>
      <c r="H273" s="28"/>
      <c r="I273" s="597"/>
      <c r="J273" s="519"/>
      <c r="K273" s="519"/>
      <c r="L273" s="519"/>
      <c r="M273" s="519"/>
      <c r="N273" s="519"/>
      <c r="O273" s="519"/>
      <c r="P273" s="519"/>
      <c r="Q273" s="519"/>
      <c r="R273" s="519"/>
      <c r="S273" s="519"/>
      <c r="T273" s="519"/>
      <c r="U273" s="519"/>
      <c r="V273" s="519"/>
      <c r="W273" s="519"/>
      <c r="X273" s="519"/>
      <c r="Y273" s="519"/>
      <c r="Z273" s="519"/>
      <c r="AA273" s="519"/>
      <c r="AB273" s="519"/>
      <c r="AC273" s="519"/>
      <c r="AD273" s="519"/>
      <c r="AE273" s="519"/>
      <c r="AF273" s="519"/>
      <c r="AG273" s="519"/>
      <c r="AH273" s="519"/>
      <c r="AI273" s="519"/>
      <c r="AJ273" s="519"/>
      <c r="AK273" s="519"/>
      <c r="AL273" s="515"/>
      <c r="AM273" s="515"/>
      <c r="AN273" s="27"/>
      <c r="AO273" s="17"/>
      <c r="AP273" s="9"/>
      <c r="AQ273" s="9"/>
      <c r="AR273" s="9"/>
    </row>
    <row r="274" spans="1:44" customFormat="1" ht="12" customHeight="1" outlineLevel="1" x14ac:dyDescent="0.35">
      <c r="A274" s="7"/>
      <c r="B274" s="8"/>
      <c r="C274" s="18"/>
      <c r="D274" s="18"/>
      <c r="E274" s="18"/>
      <c r="F274" s="24"/>
      <c r="G274" s="25"/>
      <c r="H274" s="28" t="s">
        <v>2392</v>
      </c>
      <c r="I274" s="597"/>
      <c r="J274" s="598">
        <v>1500</v>
      </c>
      <c r="K274" s="598">
        <v>1500</v>
      </c>
      <c r="L274" s="598">
        <v>1500</v>
      </c>
      <c r="M274" s="598">
        <v>1500</v>
      </c>
      <c r="N274" s="598">
        <v>1500</v>
      </c>
      <c r="O274" s="598">
        <v>1500</v>
      </c>
      <c r="P274" s="598">
        <v>1500</v>
      </c>
      <c r="Q274" s="598">
        <v>1500</v>
      </c>
      <c r="R274" s="598">
        <v>1500</v>
      </c>
      <c r="S274" s="598">
        <v>1500</v>
      </c>
      <c r="T274" s="598">
        <v>1500</v>
      </c>
      <c r="U274" s="598">
        <v>1500</v>
      </c>
      <c r="V274" s="598">
        <v>1500</v>
      </c>
      <c r="W274" s="598">
        <v>1500</v>
      </c>
      <c r="X274" s="598">
        <v>1500</v>
      </c>
      <c r="Y274" s="598">
        <v>1500</v>
      </c>
      <c r="Z274" s="598">
        <v>1500</v>
      </c>
      <c r="AA274" s="598">
        <v>1500</v>
      </c>
      <c r="AB274" s="598">
        <v>1500</v>
      </c>
      <c r="AC274" s="598">
        <v>1500</v>
      </c>
      <c r="AD274" s="598">
        <v>3000</v>
      </c>
      <c r="AE274" s="598">
        <v>3000</v>
      </c>
      <c r="AF274" s="598">
        <v>3000</v>
      </c>
      <c r="AG274" s="598">
        <v>3000</v>
      </c>
      <c r="AH274" s="598">
        <v>3000</v>
      </c>
      <c r="AI274" s="598">
        <v>3000</v>
      </c>
      <c r="AJ274" s="598">
        <v>1500</v>
      </c>
      <c r="AK274" s="598">
        <v>3000</v>
      </c>
      <c r="AL274" s="515"/>
      <c r="AM274" s="515"/>
      <c r="AN274" s="27"/>
      <c r="AO274" s="17"/>
      <c r="AP274" s="9"/>
      <c r="AQ274" s="515" t="s">
        <v>3220</v>
      </c>
      <c r="AR274" s="9"/>
    </row>
    <row r="275" spans="1:44" customFormat="1" ht="12" customHeight="1" outlineLevel="1" x14ac:dyDescent="0.35">
      <c r="A275" s="7"/>
      <c r="B275" s="8"/>
      <c r="C275" s="18"/>
      <c r="D275" s="18"/>
      <c r="E275" s="18"/>
      <c r="F275" s="24"/>
      <c r="G275" s="25"/>
      <c r="H275" s="41" t="s">
        <v>3221</v>
      </c>
      <c r="I275" s="599" t="s">
        <v>3222</v>
      </c>
      <c r="J275" s="598">
        <v>0</v>
      </c>
      <c r="K275" s="598">
        <v>0</v>
      </c>
      <c r="L275" s="598">
        <v>0</v>
      </c>
      <c r="M275" s="598">
        <v>0</v>
      </c>
      <c r="N275" s="598">
        <v>0</v>
      </c>
      <c r="O275" s="598">
        <v>0</v>
      </c>
      <c r="P275" s="598">
        <v>0</v>
      </c>
      <c r="Q275" s="598">
        <v>0</v>
      </c>
      <c r="R275" s="598">
        <v>0.25</v>
      </c>
      <c r="S275" s="598">
        <v>0.25</v>
      </c>
      <c r="T275" s="598">
        <v>0.25</v>
      </c>
      <c r="U275" s="598">
        <v>0.25</v>
      </c>
      <c r="V275" s="598">
        <v>0.25</v>
      </c>
      <c r="W275" s="598">
        <v>0.25</v>
      </c>
      <c r="X275" s="598">
        <v>0.32</v>
      </c>
      <c r="Y275" s="598">
        <v>0.32</v>
      </c>
      <c r="Z275" s="598">
        <v>0.25</v>
      </c>
      <c r="AA275" s="598">
        <v>0.25</v>
      </c>
      <c r="AB275" s="598">
        <v>0.17</v>
      </c>
      <c r="AC275" s="598">
        <v>0.17</v>
      </c>
      <c r="AD275" s="598">
        <v>0</v>
      </c>
      <c r="AE275" s="598">
        <v>0</v>
      </c>
      <c r="AF275" s="598">
        <v>0</v>
      </c>
      <c r="AG275" s="598">
        <v>0</v>
      </c>
      <c r="AH275" s="598">
        <v>0</v>
      </c>
      <c r="AI275" s="598">
        <v>0</v>
      </c>
      <c r="AJ275" s="598">
        <v>0.25</v>
      </c>
      <c r="AK275" s="598">
        <v>0</v>
      </c>
      <c r="AL275" s="515"/>
      <c r="AM275" s="515"/>
      <c r="AN275" s="27"/>
      <c r="AO275" s="17"/>
      <c r="AP275" s="9"/>
      <c r="AQ275" s="600">
        <f>AI192</f>
        <v>45250</v>
      </c>
      <c r="AR275" s="9"/>
    </row>
    <row r="276" spans="1:44" customFormat="1" ht="12" customHeight="1" outlineLevel="1" x14ac:dyDescent="0.35">
      <c r="A276" s="7"/>
      <c r="B276" s="8"/>
      <c r="C276" s="18"/>
      <c r="D276" s="18"/>
      <c r="E276" s="18"/>
      <c r="F276" s="24"/>
      <c r="G276" s="25"/>
      <c r="H276" s="28"/>
      <c r="I276" s="599" t="s">
        <v>3223</v>
      </c>
      <c r="J276" s="598">
        <v>0</v>
      </c>
      <c r="K276" s="598">
        <v>0</v>
      </c>
      <c r="L276" s="598">
        <v>0</v>
      </c>
      <c r="M276" s="598">
        <v>0</v>
      </c>
      <c r="N276" s="598">
        <v>0</v>
      </c>
      <c r="O276" s="598">
        <v>0</v>
      </c>
      <c r="P276" s="598">
        <v>0</v>
      </c>
      <c r="Q276" s="598">
        <v>0</v>
      </c>
      <c r="R276" s="598">
        <v>0</v>
      </c>
      <c r="S276" s="598">
        <v>0</v>
      </c>
      <c r="T276" s="598">
        <v>0</v>
      </c>
      <c r="U276" s="598">
        <v>0</v>
      </c>
      <c r="V276" s="598">
        <v>0</v>
      </c>
      <c r="W276" s="598">
        <v>0</v>
      </c>
      <c r="X276" s="598">
        <v>0</v>
      </c>
      <c r="Y276" s="598">
        <v>0</v>
      </c>
      <c r="Z276" s="598">
        <v>0</v>
      </c>
      <c r="AA276" s="598">
        <v>0</v>
      </c>
      <c r="AB276" s="598">
        <v>0</v>
      </c>
      <c r="AC276" s="598">
        <v>0</v>
      </c>
      <c r="AD276" s="598">
        <v>0</v>
      </c>
      <c r="AE276" s="598">
        <v>0</v>
      </c>
      <c r="AF276" s="598">
        <v>0</v>
      </c>
      <c r="AG276" s="601">
        <f>300/919/7</f>
        <v>4.6634540649774604E-2</v>
      </c>
      <c r="AH276" s="601">
        <f>300/746/7</f>
        <v>5.7449253159708925E-2</v>
      </c>
      <c r="AI276" s="598">
        <v>0</v>
      </c>
      <c r="AJ276" s="598">
        <v>0</v>
      </c>
      <c r="AK276" s="598">
        <v>0</v>
      </c>
      <c r="AL276" s="515"/>
      <c r="AM276" s="515"/>
      <c r="AN276" s="27"/>
      <c r="AO276" s="17"/>
      <c r="AP276" s="9"/>
      <c r="AQ276" s="600">
        <f>AQ275+7</f>
        <v>45257</v>
      </c>
      <c r="AR276" s="9"/>
    </row>
    <row r="277" spans="1:44" customFormat="1" ht="12" customHeight="1" outlineLevel="1" x14ac:dyDescent="0.35">
      <c r="A277" s="7"/>
      <c r="B277" s="8"/>
      <c r="C277" s="18"/>
      <c r="D277" s="18"/>
      <c r="E277" s="18"/>
      <c r="F277" s="24"/>
      <c r="G277" s="25"/>
      <c r="H277" s="28"/>
      <c r="I277" s="599" t="s">
        <v>3224</v>
      </c>
      <c r="J277" s="598">
        <v>0</v>
      </c>
      <c r="K277" s="598">
        <v>0</v>
      </c>
      <c r="L277" s="598">
        <v>0</v>
      </c>
      <c r="M277" s="598">
        <v>0</v>
      </c>
      <c r="N277" s="598">
        <v>0</v>
      </c>
      <c r="O277" s="598">
        <v>0</v>
      </c>
      <c r="P277" s="598">
        <v>0</v>
      </c>
      <c r="Q277" s="598">
        <v>0</v>
      </c>
      <c r="R277" s="598">
        <v>0</v>
      </c>
      <c r="S277" s="598">
        <v>0</v>
      </c>
      <c r="T277" s="598">
        <v>0</v>
      </c>
      <c r="U277" s="598">
        <v>0</v>
      </c>
      <c r="V277" s="598">
        <v>0</v>
      </c>
      <c r="W277" s="598">
        <v>0</v>
      </c>
      <c r="X277" s="598">
        <v>0</v>
      </c>
      <c r="Y277" s="598">
        <v>0</v>
      </c>
      <c r="Z277" s="598">
        <v>0</v>
      </c>
      <c r="AA277" s="598">
        <v>0</v>
      </c>
      <c r="AB277" s="598">
        <v>0</v>
      </c>
      <c r="AC277" s="598">
        <v>0</v>
      </c>
      <c r="AD277" s="598">
        <v>0</v>
      </c>
      <c r="AE277" s="598">
        <v>0</v>
      </c>
      <c r="AF277" s="598">
        <v>0</v>
      </c>
      <c r="AG277" s="598">
        <v>0</v>
      </c>
      <c r="AH277" s="601">
        <f t="shared" ref="AH277" si="21">300/746/7</f>
        <v>5.7449253159708925E-2</v>
      </c>
      <c r="AI277" s="598">
        <v>0</v>
      </c>
      <c r="AJ277" s="598">
        <v>0</v>
      </c>
      <c r="AK277" s="598">
        <v>0</v>
      </c>
      <c r="AL277" s="515"/>
      <c r="AM277" s="515"/>
      <c r="AN277" s="27"/>
      <c r="AO277" s="17"/>
      <c r="AP277" s="9"/>
      <c r="AQ277" s="600">
        <f t="shared" ref="AQ277:AQ290" si="22">AQ276+7</f>
        <v>45264</v>
      </c>
      <c r="AR277" s="9"/>
    </row>
    <row r="278" spans="1:44" customFormat="1" ht="12" customHeight="1" outlineLevel="1" x14ac:dyDescent="0.35">
      <c r="A278" s="7"/>
      <c r="B278" s="8"/>
      <c r="C278" s="18"/>
      <c r="D278" s="18"/>
      <c r="E278" s="18"/>
      <c r="F278" s="24"/>
      <c r="G278" s="25"/>
      <c r="H278" s="28"/>
      <c r="I278" s="599" t="s">
        <v>3225</v>
      </c>
      <c r="J278" s="598">
        <v>0</v>
      </c>
      <c r="K278" s="598">
        <v>0</v>
      </c>
      <c r="L278" s="598">
        <v>0</v>
      </c>
      <c r="M278" s="598">
        <v>0</v>
      </c>
      <c r="N278" s="598">
        <v>0</v>
      </c>
      <c r="O278" s="598">
        <v>0</v>
      </c>
      <c r="P278" s="598">
        <v>0</v>
      </c>
      <c r="Q278" s="598">
        <v>0</v>
      </c>
      <c r="R278" s="598">
        <v>0</v>
      </c>
      <c r="S278" s="598">
        <v>0</v>
      </c>
      <c r="T278" s="598">
        <v>0</v>
      </c>
      <c r="U278" s="598">
        <v>0</v>
      </c>
      <c r="V278" s="598">
        <v>0</v>
      </c>
      <c r="W278" s="598">
        <v>0</v>
      </c>
      <c r="X278" s="598">
        <v>0</v>
      </c>
      <c r="Y278" s="598">
        <v>0</v>
      </c>
      <c r="Z278" s="598">
        <v>0</v>
      </c>
      <c r="AA278" s="598">
        <v>0</v>
      </c>
      <c r="AB278" s="598">
        <v>0</v>
      </c>
      <c r="AC278" s="598">
        <v>0</v>
      </c>
      <c r="AD278" s="598">
        <v>0</v>
      </c>
      <c r="AE278" s="598">
        <v>0</v>
      </c>
      <c r="AF278" s="598">
        <v>0</v>
      </c>
      <c r="AG278" s="601">
        <f>300/919/7</f>
        <v>4.6634540649774604E-2</v>
      </c>
      <c r="AH278" s="601">
        <f>320/746/7</f>
        <v>6.1279203370356188E-2</v>
      </c>
      <c r="AI278" s="598">
        <v>0</v>
      </c>
      <c r="AJ278" s="598">
        <v>0</v>
      </c>
      <c r="AK278" s="598">
        <v>0</v>
      </c>
      <c r="AL278" s="515"/>
      <c r="AM278" s="515"/>
      <c r="AN278" s="27"/>
      <c r="AO278" s="17"/>
      <c r="AP278" s="9"/>
      <c r="AQ278" s="600">
        <f t="shared" si="22"/>
        <v>45271</v>
      </c>
      <c r="AR278" s="9"/>
    </row>
    <row r="279" spans="1:44" customFormat="1" ht="12" customHeight="1" outlineLevel="1" x14ac:dyDescent="0.35">
      <c r="A279" s="7"/>
      <c r="B279" s="8"/>
      <c r="C279" s="18"/>
      <c r="D279" s="18"/>
      <c r="E279" s="18"/>
      <c r="F279" s="24"/>
      <c r="G279" s="25"/>
      <c r="H279" s="28"/>
      <c r="I279" s="599" t="s">
        <v>3226</v>
      </c>
      <c r="J279" s="598">
        <v>0</v>
      </c>
      <c r="K279" s="598">
        <v>0</v>
      </c>
      <c r="L279" s="598">
        <v>0</v>
      </c>
      <c r="M279" s="598">
        <v>0</v>
      </c>
      <c r="N279" s="598">
        <v>0</v>
      </c>
      <c r="O279" s="598">
        <v>0</v>
      </c>
      <c r="P279" s="598">
        <v>0</v>
      </c>
      <c r="Q279" s="598">
        <v>0</v>
      </c>
      <c r="R279" s="598">
        <v>0</v>
      </c>
      <c r="S279" s="598">
        <v>0</v>
      </c>
      <c r="T279" s="598">
        <v>0</v>
      </c>
      <c r="U279" s="598">
        <v>0</v>
      </c>
      <c r="V279" s="598">
        <v>0</v>
      </c>
      <c r="W279" s="598">
        <v>0</v>
      </c>
      <c r="X279" s="598">
        <v>0</v>
      </c>
      <c r="Y279" s="598">
        <v>0</v>
      </c>
      <c r="Z279" s="598">
        <v>0</v>
      </c>
      <c r="AA279" s="598">
        <v>0</v>
      </c>
      <c r="AB279" s="598">
        <v>0</v>
      </c>
      <c r="AC279" s="598">
        <v>0</v>
      </c>
      <c r="AD279" s="598">
        <v>0</v>
      </c>
      <c r="AE279" s="598">
        <v>0</v>
      </c>
      <c r="AF279" s="598">
        <v>0</v>
      </c>
      <c r="AG279" s="601">
        <f>400/919/7</f>
        <v>6.2179387533032801E-2</v>
      </c>
      <c r="AH279" s="601">
        <f>350/746/7</f>
        <v>6.7024128686327081E-2</v>
      </c>
      <c r="AI279" s="601">
        <f>200/294/7</f>
        <v>9.718172983479105E-2</v>
      </c>
      <c r="AJ279" s="598">
        <v>0</v>
      </c>
      <c r="AK279" s="598">
        <v>0</v>
      </c>
      <c r="AL279" s="515"/>
      <c r="AM279" s="515"/>
      <c r="AN279" s="27"/>
      <c r="AO279" s="17"/>
      <c r="AP279" s="9"/>
      <c r="AQ279" s="600">
        <f t="shared" si="22"/>
        <v>45278</v>
      </c>
      <c r="AR279" s="9"/>
    </row>
    <row r="280" spans="1:44" customFormat="1" ht="12" customHeight="1" outlineLevel="1" x14ac:dyDescent="0.35">
      <c r="A280" s="7"/>
      <c r="B280" s="8"/>
      <c r="C280" s="18"/>
      <c r="D280" s="18"/>
      <c r="E280" s="18"/>
      <c r="F280" s="24"/>
      <c r="G280" s="25"/>
      <c r="H280" s="28"/>
      <c r="I280" s="599" t="s">
        <v>3227</v>
      </c>
      <c r="J280" s="598">
        <v>0</v>
      </c>
      <c r="K280" s="598">
        <v>0</v>
      </c>
      <c r="L280" s="598">
        <v>0</v>
      </c>
      <c r="M280" s="598">
        <v>0</v>
      </c>
      <c r="N280" s="598">
        <v>0</v>
      </c>
      <c r="O280" s="598">
        <v>0</v>
      </c>
      <c r="P280" s="598">
        <v>0</v>
      </c>
      <c r="Q280" s="598">
        <v>0</v>
      </c>
      <c r="R280" s="598">
        <v>0</v>
      </c>
      <c r="S280" s="598">
        <v>0</v>
      </c>
      <c r="T280" s="598">
        <v>0</v>
      </c>
      <c r="U280" s="598">
        <v>0</v>
      </c>
      <c r="V280" s="598">
        <v>0</v>
      </c>
      <c r="W280" s="598">
        <v>0</v>
      </c>
      <c r="X280" s="598">
        <v>0</v>
      </c>
      <c r="Y280" s="598">
        <v>0</v>
      </c>
      <c r="Z280" s="598">
        <v>0</v>
      </c>
      <c r="AA280" s="598">
        <v>0</v>
      </c>
      <c r="AB280" s="598">
        <v>0</v>
      </c>
      <c r="AC280" s="598">
        <v>0</v>
      </c>
      <c r="AD280" s="598">
        <v>0</v>
      </c>
      <c r="AE280" s="598">
        <v>0</v>
      </c>
      <c r="AF280" s="598">
        <v>0</v>
      </c>
      <c r="AG280" s="598">
        <v>0</v>
      </c>
      <c r="AH280" s="601">
        <f t="shared" ref="AH280:AH285" si="23">350/746/7</f>
        <v>6.7024128686327081E-2</v>
      </c>
      <c r="AI280" s="598">
        <v>0</v>
      </c>
      <c r="AJ280" s="598">
        <v>0</v>
      </c>
      <c r="AK280" s="598">
        <v>0</v>
      </c>
      <c r="AL280" s="515"/>
      <c r="AM280" s="515"/>
      <c r="AN280" s="27"/>
      <c r="AO280" s="17"/>
      <c r="AP280" s="9"/>
      <c r="AQ280" s="600">
        <f t="shared" si="22"/>
        <v>45285</v>
      </c>
      <c r="AR280" s="9"/>
    </row>
    <row r="281" spans="1:44" customFormat="1" ht="12" customHeight="1" outlineLevel="1" x14ac:dyDescent="0.35">
      <c r="A281" s="7"/>
      <c r="B281" s="8"/>
      <c r="C281" s="18"/>
      <c r="D281" s="18"/>
      <c r="E281" s="18"/>
      <c r="F281" s="24"/>
      <c r="G281" s="25"/>
      <c r="H281" s="28"/>
      <c r="I281" s="599" t="s">
        <v>3228</v>
      </c>
      <c r="J281" s="598">
        <v>0</v>
      </c>
      <c r="K281" s="598">
        <v>0</v>
      </c>
      <c r="L281" s="598">
        <v>0</v>
      </c>
      <c r="M281" s="598">
        <v>0</v>
      </c>
      <c r="N281" s="598">
        <v>0</v>
      </c>
      <c r="O281" s="598">
        <v>0</v>
      </c>
      <c r="P281" s="598">
        <v>0</v>
      </c>
      <c r="Q281" s="598">
        <v>0</v>
      </c>
      <c r="R281" s="598">
        <v>0</v>
      </c>
      <c r="S281" s="598">
        <v>0</v>
      </c>
      <c r="T281" s="598">
        <v>0</v>
      </c>
      <c r="U281" s="598">
        <v>0</v>
      </c>
      <c r="V281" s="598">
        <v>0</v>
      </c>
      <c r="W281" s="598">
        <v>0</v>
      </c>
      <c r="X281" s="598">
        <v>0</v>
      </c>
      <c r="Y281" s="598">
        <v>0</v>
      </c>
      <c r="Z281" s="598">
        <v>0</v>
      </c>
      <c r="AA281" s="598">
        <v>0</v>
      </c>
      <c r="AB281" s="598">
        <v>0</v>
      </c>
      <c r="AC281" s="598">
        <v>0</v>
      </c>
      <c r="AD281" s="598">
        <v>0</v>
      </c>
      <c r="AE281" s="598">
        <v>0</v>
      </c>
      <c r="AF281" s="598">
        <v>0</v>
      </c>
      <c r="AG281" s="598">
        <v>0</v>
      </c>
      <c r="AH281" s="601">
        <f t="shared" si="23"/>
        <v>6.7024128686327081E-2</v>
      </c>
      <c r="AI281" s="598">
        <v>0</v>
      </c>
      <c r="AJ281" s="598">
        <v>0</v>
      </c>
      <c r="AK281" s="598">
        <v>0</v>
      </c>
      <c r="AL281" s="515"/>
      <c r="AM281" s="515"/>
      <c r="AN281" s="27"/>
      <c r="AO281" s="17"/>
      <c r="AP281" s="9"/>
      <c r="AQ281" s="600">
        <f t="shared" si="22"/>
        <v>45292</v>
      </c>
      <c r="AR281" s="9"/>
    </row>
    <row r="282" spans="1:44" customFormat="1" ht="12" customHeight="1" outlineLevel="1" x14ac:dyDescent="0.35">
      <c r="A282" s="7"/>
      <c r="B282" s="8"/>
      <c r="C282" s="18"/>
      <c r="D282" s="18"/>
      <c r="E282" s="18"/>
      <c r="F282" s="24"/>
      <c r="G282" s="25"/>
      <c r="H282" s="28"/>
      <c r="I282" s="599" t="s">
        <v>3229</v>
      </c>
      <c r="J282" s="598">
        <v>0</v>
      </c>
      <c r="K282" s="598">
        <v>0</v>
      </c>
      <c r="L282" s="598">
        <v>0</v>
      </c>
      <c r="M282" s="598">
        <v>0</v>
      </c>
      <c r="N282" s="598">
        <v>0</v>
      </c>
      <c r="O282" s="598">
        <v>0</v>
      </c>
      <c r="P282" s="598">
        <v>0</v>
      </c>
      <c r="Q282" s="598">
        <v>0</v>
      </c>
      <c r="R282" s="598">
        <v>0</v>
      </c>
      <c r="S282" s="598">
        <v>0</v>
      </c>
      <c r="T282" s="598">
        <v>0</v>
      </c>
      <c r="U282" s="598">
        <v>0</v>
      </c>
      <c r="V282" s="598">
        <v>0</v>
      </c>
      <c r="W282" s="598">
        <v>0</v>
      </c>
      <c r="X282" s="598">
        <v>0</v>
      </c>
      <c r="Y282" s="598">
        <v>0</v>
      </c>
      <c r="Z282" s="598">
        <v>0</v>
      </c>
      <c r="AA282" s="598">
        <v>0</v>
      </c>
      <c r="AB282" s="598">
        <v>0</v>
      </c>
      <c r="AC282" s="598">
        <v>0</v>
      </c>
      <c r="AD282" s="598">
        <v>0</v>
      </c>
      <c r="AE282" s="598">
        <v>0</v>
      </c>
      <c r="AF282" s="598">
        <v>0</v>
      </c>
      <c r="AG282" s="598">
        <v>0</v>
      </c>
      <c r="AH282" s="601">
        <f t="shared" si="23"/>
        <v>6.7024128686327081E-2</v>
      </c>
      <c r="AI282" s="598">
        <v>0</v>
      </c>
      <c r="AJ282" s="598">
        <v>0</v>
      </c>
      <c r="AK282" s="598">
        <v>0</v>
      </c>
      <c r="AL282" s="515"/>
      <c r="AM282" s="515"/>
      <c r="AN282" s="27"/>
      <c r="AO282" s="17"/>
      <c r="AP282" s="9"/>
      <c r="AQ282" s="600">
        <f t="shared" si="22"/>
        <v>45299</v>
      </c>
      <c r="AR282" s="9"/>
    </row>
    <row r="283" spans="1:44" customFormat="1" ht="12" customHeight="1" outlineLevel="1" x14ac:dyDescent="0.35">
      <c r="A283" s="7"/>
      <c r="B283" s="8"/>
      <c r="C283" s="18"/>
      <c r="D283" s="18"/>
      <c r="E283" s="18"/>
      <c r="F283" s="24"/>
      <c r="G283" s="25"/>
      <c r="H283" s="28"/>
      <c r="I283" s="599" t="s">
        <v>3230</v>
      </c>
      <c r="J283" s="598">
        <v>0</v>
      </c>
      <c r="K283" s="598">
        <v>0</v>
      </c>
      <c r="L283" s="598">
        <v>0</v>
      </c>
      <c r="M283" s="598">
        <v>0</v>
      </c>
      <c r="N283" s="598">
        <v>0</v>
      </c>
      <c r="O283" s="598">
        <v>0</v>
      </c>
      <c r="P283" s="598">
        <v>0</v>
      </c>
      <c r="Q283" s="598">
        <v>0</v>
      </c>
      <c r="R283" s="598">
        <v>0</v>
      </c>
      <c r="S283" s="598">
        <v>0</v>
      </c>
      <c r="T283" s="598">
        <v>0</v>
      </c>
      <c r="U283" s="598">
        <v>0</v>
      </c>
      <c r="V283" s="598">
        <v>0</v>
      </c>
      <c r="W283" s="598">
        <v>0</v>
      </c>
      <c r="X283" s="598">
        <v>0</v>
      </c>
      <c r="Y283" s="598">
        <v>0</v>
      </c>
      <c r="Z283" s="598">
        <v>0</v>
      </c>
      <c r="AA283" s="598">
        <v>0</v>
      </c>
      <c r="AB283" s="598">
        <v>0</v>
      </c>
      <c r="AC283" s="598">
        <v>0</v>
      </c>
      <c r="AD283" s="598">
        <v>0</v>
      </c>
      <c r="AE283" s="598">
        <v>0</v>
      </c>
      <c r="AF283" s="598">
        <v>0</v>
      </c>
      <c r="AG283" s="598">
        <v>0</v>
      </c>
      <c r="AH283" s="601">
        <f t="shared" si="23"/>
        <v>6.7024128686327081E-2</v>
      </c>
      <c r="AI283" s="598">
        <v>0</v>
      </c>
      <c r="AJ283" s="598">
        <v>0</v>
      </c>
      <c r="AK283" s="598">
        <v>0</v>
      </c>
      <c r="AL283" s="515"/>
      <c r="AM283" s="515"/>
      <c r="AN283" s="27"/>
      <c r="AO283" s="17"/>
      <c r="AP283" s="9"/>
      <c r="AQ283" s="600">
        <f t="shared" si="22"/>
        <v>45306</v>
      </c>
      <c r="AR283" s="9"/>
    </row>
    <row r="284" spans="1:44" customFormat="1" ht="12" customHeight="1" outlineLevel="1" x14ac:dyDescent="0.35">
      <c r="A284" s="7"/>
      <c r="B284" s="8"/>
      <c r="C284" s="18"/>
      <c r="D284" s="18"/>
      <c r="E284" s="18"/>
      <c r="F284" s="24"/>
      <c r="G284" s="25"/>
      <c r="H284" s="28"/>
      <c r="I284" s="599" t="s">
        <v>3231</v>
      </c>
      <c r="J284" s="598">
        <v>0</v>
      </c>
      <c r="K284" s="598">
        <v>0</v>
      </c>
      <c r="L284" s="598">
        <v>0</v>
      </c>
      <c r="M284" s="598">
        <v>0</v>
      </c>
      <c r="N284" s="598">
        <v>0</v>
      </c>
      <c r="O284" s="598">
        <v>0</v>
      </c>
      <c r="P284" s="598">
        <v>0</v>
      </c>
      <c r="Q284" s="598">
        <v>0</v>
      </c>
      <c r="R284" s="598">
        <v>0</v>
      </c>
      <c r="S284" s="598">
        <v>0</v>
      </c>
      <c r="T284" s="598">
        <v>0</v>
      </c>
      <c r="U284" s="598">
        <v>0</v>
      </c>
      <c r="V284" s="598">
        <v>0</v>
      </c>
      <c r="W284" s="598">
        <v>0</v>
      </c>
      <c r="X284" s="598">
        <v>0</v>
      </c>
      <c r="Y284" s="598">
        <v>0</v>
      </c>
      <c r="Z284" s="598">
        <v>0</v>
      </c>
      <c r="AA284" s="598">
        <v>0</v>
      </c>
      <c r="AB284" s="598">
        <v>0</v>
      </c>
      <c r="AC284" s="598">
        <v>0</v>
      </c>
      <c r="AD284" s="598">
        <v>0</v>
      </c>
      <c r="AE284" s="598">
        <v>0</v>
      </c>
      <c r="AF284" s="598">
        <v>0</v>
      </c>
      <c r="AG284" s="598">
        <v>0</v>
      </c>
      <c r="AH284" s="601">
        <f t="shared" si="23"/>
        <v>6.7024128686327081E-2</v>
      </c>
      <c r="AI284" s="598">
        <v>0</v>
      </c>
      <c r="AJ284" s="598">
        <v>0</v>
      </c>
      <c r="AK284" s="598">
        <v>0</v>
      </c>
      <c r="AL284" s="515"/>
      <c r="AM284" s="515"/>
      <c r="AN284" s="27"/>
      <c r="AO284" s="17"/>
      <c r="AP284" s="9"/>
      <c r="AQ284" s="600">
        <f t="shared" si="22"/>
        <v>45313</v>
      </c>
      <c r="AR284" s="9"/>
    </row>
    <row r="285" spans="1:44" customFormat="1" ht="12" customHeight="1" outlineLevel="1" x14ac:dyDescent="0.35">
      <c r="A285" s="7"/>
      <c r="B285" s="8"/>
      <c r="C285" s="18"/>
      <c r="D285" s="18"/>
      <c r="E285" s="18"/>
      <c r="F285" s="24"/>
      <c r="G285" s="25"/>
      <c r="H285" s="28"/>
      <c r="I285" s="599" t="s">
        <v>3232</v>
      </c>
      <c r="J285" s="598">
        <v>0</v>
      </c>
      <c r="K285" s="598">
        <v>0</v>
      </c>
      <c r="L285" s="598">
        <v>0</v>
      </c>
      <c r="M285" s="598">
        <v>0</v>
      </c>
      <c r="N285" s="598">
        <v>0</v>
      </c>
      <c r="O285" s="598">
        <v>0</v>
      </c>
      <c r="P285" s="598">
        <v>0</v>
      </c>
      <c r="Q285" s="598">
        <v>0</v>
      </c>
      <c r="R285" s="598">
        <v>0</v>
      </c>
      <c r="S285" s="598">
        <v>0</v>
      </c>
      <c r="T285" s="598">
        <v>0</v>
      </c>
      <c r="U285" s="598">
        <v>0</v>
      </c>
      <c r="V285" s="598">
        <v>0</v>
      </c>
      <c r="W285" s="598">
        <v>0</v>
      </c>
      <c r="X285" s="598">
        <v>0</v>
      </c>
      <c r="Y285" s="598">
        <v>0</v>
      </c>
      <c r="Z285" s="598">
        <v>0</v>
      </c>
      <c r="AA285" s="598">
        <v>0</v>
      </c>
      <c r="AB285" s="598">
        <v>0</v>
      </c>
      <c r="AC285" s="598">
        <v>0</v>
      </c>
      <c r="AD285" s="598">
        <v>0</v>
      </c>
      <c r="AE285" s="598">
        <v>0</v>
      </c>
      <c r="AF285" s="598">
        <v>0</v>
      </c>
      <c r="AG285" s="598">
        <v>0</v>
      </c>
      <c r="AH285" s="601">
        <f t="shared" si="23"/>
        <v>6.7024128686327081E-2</v>
      </c>
      <c r="AI285" s="598">
        <v>0</v>
      </c>
      <c r="AJ285" s="598">
        <v>0</v>
      </c>
      <c r="AK285" s="598">
        <v>0</v>
      </c>
      <c r="AL285" s="515"/>
      <c r="AM285" s="515"/>
      <c r="AN285" s="27"/>
      <c r="AO285" s="17"/>
      <c r="AP285" s="9"/>
      <c r="AQ285" s="600">
        <f t="shared" si="22"/>
        <v>45320</v>
      </c>
      <c r="AR285" s="9"/>
    </row>
    <row r="286" spans="1:44" customFormat="1" ht="12" customHeight="1" outlineLevel="1" x14ac:dyDescent="0.35">
      <c r="A286" s="7"/>
      <c r="B286" s="8"/>
      <c r="C286" s="18"/>
      <c r="D286" s="18"/>
      <c r="E286" s="18"/>
      <c r="F286" s="24"/>
      <c r="G286" s="25"/>
      <c r="H286" s="28"/>
      <c r="I286" s="599" t="s">
        <v>3233</v>
      </c>
      <c r="J286" s="598">
        <v>0</v>
      </c>
      <c r="K286" s="598">
        <v>0</v>
      </c>
      <c r="L286" s="598">
        <v>0</v>
      </c>
      <c r="M286" s="598">
        <v>0</v>
      </c>
      <c r="N286" s="598">
        <v>0</v>
      </c>
      <c r="O286" s="598">
        <v>0</v>
      </c>
      <c r="P286" s="598">
        <v>0</v>
      </c>
      <c r="Q286" s="598">
        <v>0</v>
      </c>
      <c r="R286" s="598">
        <v>0</v>
      </c>
      <c r="S286" s="598">
        <v>0</v>
      </c>
      <c r="T286" s="598">
        <v>0</v>
      </c>
      <c r="U286" s="598">
        <v>0</v>
      </c>
      <c r="V286" s="598">
        <v>0</v>
      </c>
      <c r="W286" s="598">
        <v>0</v>
      </c>
      <c r="X286" s="598">
        <v>0</v>
      </c>
      <c r="Y286" s="598">
        <v>0</v>
      </c>
      <c r="Z286" s="598">
        <v>0</v>
      </c>
      <c r="AA286" s="598">
        <v>0</v>
      </c>
      <c r="AB286" s="598">
        <v>0</v>
      </c>
      <c r="AC286" s="598">
        <v>0</v>
      </c>
      <c r="AD286" s="598">
        <v>0</v>
      </c>
      <c r="AE286" s="598">
        <v>0</v>
      </c>
      <c r="AF286" s="598">
        <v>0</v>
      </c>
      <c r="AG286" s="601">
        <f>400/919/7</f>
        <v>6.2179387533032801E-2</v>
      </c>
      <c r="AH286" s="601">
        <f>400/746/7</f>
        <v>7.6599004212945229E-2</v>
      </c>
      <c r="AI286" s="601">
        <f>200/294/7</f>
        <v>9.718172983479105E-2</v>
      </c>
      <c r="AJ286" s="598">
        <v>0</v>
      </c>
      <c r="AK286" s="598">
        <v>0</v>
      </c>
      <c r="AL286" s="515"/>
      <c r="AM286" s="515"/>
      <c r="AN286" s="27"/>
      <c r="AO286" s="17"/>
      <c r="AP286" s="9"/>
      <c r="AQ286" s="600">
        <f t="shared" si="22"/>
        <v>45327</v>
      </c>
      <c r="AR286" s="9"/>
    </row>
    <row r="287" spans="1:44" customFormat="1" ht="12" customHeight="1" outlineLevel="1" x14ac:dyDescent="0.35">
      <c r="A287" s="7"/>
      <c r="B287" s="8"/>
      <c r="C287" s="18"/>
      <c r="D287" s="18"/>
      <c r="E287" s="18"/>
      <c r="F287" s="24"/>
      <c r="G287" s="25"/>
      <c r="H287" s="28"/>
      <c r="I287" s="599" t="s">
        <v>3234</v>
      </c>
      <c r="J287" s="598">
        <v>0</v>
      </c>
      <c r="K287" s="598">
        <v>0</v>
      </c>
      <c r="L287" s="598">
        <v>0</v>
      </c>
      <c r="M287" s="598">
        <v>0</v>
      </c>
      <c r="N287" s="598">
        <v>0</v>
      </c>
      <c r="O287" s="598">
        <v>0</v>
      </c>
      <c r="P287" s="598">
        <v>0</v>
      </c>
      <c r="Q287" s="598">
        <v>0</v>
      </c>
      <c r="R287" s="598">
        <v>0</v>
      </c>
      <c r="S287" s="598">
        <v>0</v>
      </c>
      <c r="T287" s="598">
        <v>0</v>
      </c>
      <c r="U287" s="598">
        <v>0</v>
      </c>
      <c r="V287" s="598">
        <v>0</v>
      </c>
      <c r="W287" s="598">
        <v>0</v>
      </c>
      <c r="X287" s="598">
        <v>0</v>
      </c>
      <c r="Y287" s="598">
        <v>0</v>
      </c>
      <c r="Z287" s="598">
        <v>0</v>
      </c>
      <c r="AA287" s="598">
        <v>0</v>
      </c>
      <c r="AB287" s="598">
        <v>0</v>
      </c>
      <c r="AC287" s="598">
        <v>0</v>
      </c>
      <c r="AD287" s="598">
        <v>0</v>
      </c>
      <c r="AE287" s="598">
        <v>0</v>
      </c>
      <c r="AF287" s="598">
        <v>0</v>
      </c>
      <c r="AG287" s="598">
        <v>0</v>
      </c>
      <c r="AH287" s="601">
        <f t="shared" ref="AH287:AH294" si="24">400/746/7</f>
        <v>7.6599004212945229E-2</v>
      </c>
      <c r="AI287" s="598">
        <v>0</v>
      </c>
      <c r="AJ287" s="598">
        <v>0</v>
      </c>
      <c r="AK287" s="598">
        <v>0</v>
      </c>
      <c r="AL287" s="515"/>
      <c r="AM287" s="515"/>
      <c r="AN287" s="27"/>
      <c r="AO287" s="17"/>
      <c r="AP287" s="9"/>
      <c r="AQ287" s="600">
        <f t="shared" si="22"/>
        <v>45334</v>
      </c>
      <c r="AR287" s="9"/>
    </row>
    <row r="288" spans="1:44" customFormat="1" ht="12" customHeight="1" outlineLevel="1" x14ac:dyDescent="0.35">
      <c r="A288" s="7"/>
      <c r="B288" s="8"/>
      <c r="C288" s="18"/>
      <c r="D288" s="18"/>
      <c r="E288" s="18"/>
      <c r="F288" s="24"/>
      <c r="G288" s="25"/>
      <c r="H288" s="28"/>
      <c r="I288" s="599" t="s">
        <v>3235</v>
      </c>
      <c r="J288" s="598">
        <v>0</v>
      </c>
      <c r="K288" s="598">
        <v>0</v>
      </c>
      <c r="L288" s="598">
        <v>0</v>
      </c>
      <c r="M288" s="598">
        <v>0</v>
      </c>
      <c r="N288" s="598">
        <v>0</v>
      </c>
      <c r="O288" s="598">
        <v>0</v>
      </c>
      <c r="P288" s="598">
        <v>0</v>
      </c>
      <c r="Q288" s="598">
        <v>0</v>
      </c>
      <c r="R288" s="598">
        <v>0</v>
      </c>
      <c r="S288" s="598">
        <v>0</v>
      </c>
      <c r="T288" s="598">
        <v>0</v>
      </c>
      <c r="U288" s="598">
        <v>0</v>
      </c>
      <c r="V288" s="598">
        <v>0</v>
      </c>
      <c r="W288" s="598">
        <v>0</v>
      </c>
      <c r="X288" s="598">
        <v>0</v>
      </c>
      <c r="Y288" s="598">
        <v>0</v>
      </c>
      <c r="Z288" s="598">
        <v>0</v>
      </c>
      <c r="AA288" s="598">
        <v>0</v>
      </c>
      <c r="AB288" s="598">
        <v>0</v>
      </c>
      <c r="AC288" s="598">
        <v>0</v>
      </c>
      <c r="AD288" s="598">
        <v>0</v>
      </c>
      <c r="AE288" s="598">
        <v>0</v>
      </c>
      <c r="AF288" s="598">
        <v>0</v>
      </c>
      <c r="AG288" s="598">
        <v>0</v>
      </c>
      <c r="AH288" s="601">
        <f t="shared" si="24"/>
        <v>7.6599004212945229E-2</v>
      </c>
      <c r="AI288" s="598">
        <v>0</v>
      </c>
      <c r="AJ288" s="598">
        <v>0</v>
      </c>
      <c r="AK288" s="598">
        <v>0</v>
      </c>
      <c r="AL288" s="515"/>
      <c r="AM288" s="515"/>
      <c r="AN288" s="27"/>
      <c r="AO288" s="17"/>
      <c r="AP288" s="9"/>
      <c r="AQ288" s="600">
        <f t="shared" si="22"/>
        <v>45341</v>
      </c>
      <c r="AR288" s="9"/>
    </row>
    <row r="289" spans="1:44" customFormat="1" ht="12" customHeight="1" outlineLevel="1" x14ac:dyDescent="0.35">
      <c r="A289" s="7"/>
      <c r="B289" s="8"/>
      <c r="C289" s="18"/>
      <c r="D289" s="18"/>
      <c r="E289" s="18"/>
      <c r="F289" s="24"/>
      <c r="G289" s="25"/>
      <c r="H289" s="28"/>
      <c r="I289" s="599" t="s">
        <v>3236</v>
      </c>
      <c r="J289" s="598">
        <v>0</v>
      </c>
      <c r="K289" s="598">
        <v>0</v>
      </c>
      <c r="L289" s="598">
        <v>0</v>
      </c>
      <c r="M289" s="598">
        <v>0</v>
      </c>
      <c r="N289" s="598">
        <v>0</v>
      </c>
      <c r="O289" s="598">
        <v>0</v>
      </c>
      <c r="P289" s="598">
        <v>0</v>
      </c>
      <c r="Q289" s="598">
        <v>0</v>
      </c>
      <c r="R289" s="598">
        <v>0</v>
      </c>
      <c r="S289" s="598">
        <v>0</v>
      </c>
      <c r="T289" s="598">
        <v>0</v>
      </c>
      <c r="U289" s="598">
        <v>0</v>
      </c>
      <c r="V289" s="598">
        <v>0</v>
      </c>
      <c r="W289" s="598">
        <v>0</v>
      </c>
      <c r="X289" s="598">
        <v>0</v>
      </c>
      <c r="Y289" s="598">
        <v>0</v>
      </c>
      <c r="Z289" s="598">
        <v>0</v>
      </c>
      <c r="AA289" s="598">
        <v>0</v>
      </c>
      <c r="AB289" s="598">
        <v>0</v>
      </c>
      <c r="AC289" s="598">
        <v>0</v>
      </c>
      <c r="AD289" s="598">
        <v>0</v>
      </c>
      <c r="AE289" s="598">
        <v>0</v>
      </c>
      <c r="AF289" s="598">
        <v>0</v>
      </c>
      <c r="AG289" s="598">
        <v>0</v>
      </c>
      <c r="AH289" s="601">
        <f t="shared" si="24"/>
        <v>7.6599004212945229E-2</v>
      </c>
      <c r="AI289" s="598">
        <v>0</v>
      </c>
      <c r="AJ289" s="598">
        <v>0</v>
      </c>
      <c r="AK289" s="598">
        <v>0</v>
      </c>
      <c r="AL289" s="515"/>
      <c r="AM289" s="515"/>
      <c r="AN289" s="27"/>
      <c r="AO289" s="17"/>
      <c r="AP289" s="9"/>
      <c r="AQ289" s="600">
        <f t="shared" si="22"/>
        <v>45348</v>
      </c>
      <c r="AR289" s="9"/>
    </row>
    <row r="290" spans="1:44" customFormat="1" ht="12" customHeight="1" outlineLevel="1" x14ac:dyDescent="0.35">
      <c r="A290" s="7"/>
      <c r="B290" s="8"/>
      <c r="C290" s="18"/>
      <c r="D290" s="18"/>
      <c r="E290" s="18"/>
      <c r="F290" s="24"/>
      <c r="G290" s="25"/>
      <c r="H290" s="28"/>
      <c r="I290" s="599" t="s">
        <v>3237</v>
      </c>
      <c r="J290" s="598">
        <v>0</v>
      </c>
      <c r="K290" s="598">
        <v>0</v>
      </c>
      <c r="L290" s="598">
        <v>0</v>
      </c>
      <c r="M290" s="598">
        <v>0</v>
      </c>
      <c r="N290" s="598">
        <v>0</v>
      </c>
      <c r="O290" s="598">
        <v>0</v>
      </c>
      <c r="P290" s="598">
        <v>0</v>
      </c>
      <c r="Q290" s="598">
        <v>0</v>
      </c>
      <c r="R290" s="598">
        <v>0</v>
      </c>
      <c r="S290" s="598">
        <v>0</v>
      </c>
      <c r="T290" s="598">
        <v>0</v>
      </c>
      <c r="U290" s="598">
        <v>0</v>
      </c>
      <c r="V290" s="598">
        <v>0</v>
      </c>
      <c r="W290" s="598">
        <v>0</v>
      </c>
      <c r="X290" s="598">
        <v>0</v>
      </c>
      <c r="Y290" s="598">
        <v>0</v>
      </c>
      <c r="Z290" s="598">
        <v>0</v>
      </c>
      <c r="AA290" s="598">
        <v>0</v>
      </c>
      <c r="AB290" s="598">
        <v>0</v>
      </c>
      <c r="AC290" s="598">
        <v>0</v>
      </c>
      <c r="AD290" s="598">
        <v>0</v>
      </c>
      <c r="AE290" s="598">
        <v>0</v>
      </c>
      <c r="AF290" s="598">
        <v>0</v>
      </c>
      <c r="AG290" s="598">
        <v>0</v>
      </c>
      <c r="AH290" s="601">
        <f t="shared" si="24"/>
        <v>7.6599004212945229E-2</v>
      </c>
      <c r="AI290" s="598">
        <v>0</v>
      </c>
      <c r="AJ290" s="598">
        <v>0</v>
      </c>
      <c r="AK290" s="598">
        <v>0</v>
      </c>
      <c r="AL290" s="515"/>
      <c r="AM290" s="515"/>
      <c r="AN290" s="27"/>
      <c r="AO290" s="17"/>
      <c r="AP290" s="9"/>
      <c r="AQ290" s="600">
        <f t="shared" si="22"/>
        <v>45355</v>
      </c>
      <c r="AR290" s="9"/>
    </row>
    <row r="291" spans="1:44" customFormat="1" ht="12" customHeight="1" outlineLevel="1" x14ac:dyDescent="0.35">
      <c r="A291" s="7"/>
      <c r="B291" s="8"/>
      <c r="C291" s="18"/>
      <c r="D291" s="18"/>
      <c r="E291" s="18"/>
      <c r="F291" s="24"/>
      <c r="G291" s="25"/>
      <c r="H291" s="28"/>
      <c r="I291" s="599" t="s">
        <v>3238</v>
      </c>
      <c r="J291" s="598">
        <v>0</v>
      </c>
      <c r="K291" s="598">
        <v>0</v>
      </c>
      <c r="L291" s="598">
        <v>0</v>
      </c>
      <c r="M291" s="598">
        <v>0</v>
      </c>
      <c r="N291" s="598">
        <v>0</v>
      </c>
      <c r="O291" s="598">
        <v>0</v>
      </c>
      <c r="P291" s="598">
        <v>0</v>
      </c>
      <c r="Q291" s="598">
        <v>0</v>
      </c>
      <c r="R291" s="598">
        <v>0</v>
      </c>
      <c r="S291" s="598">
        <v>0</v>
      </c>
      <c r="T291" s="598">
        <v>0</v>
      </c>
      <c r="U291" s="598">
        <v>0</v>
      </c>
      <c r="V291" s="598">
        <v>0</v>
      </c>
      <c r="W291" s="598">
        <v>0</v>
      </c>
      <c r="X291" s="598">
        <v>0</v>
      </c>
      <c r="Y291" s="598">
        <v>0</v>
      </c>
      <c r="Z291" s="598">
        <v>0</v>
      </c>
      <c r="AA291" s="598">
        <v>0</v>
      </c>
      <c r="AB291" s="598">
        <v>0</v>
      </c>
      <c r="AC291" s="598">
        <v>0</v>
      </c>
      <c r="AD291" s="598">
        <v>0</v>
      </c>
      <c r="AE291" s="598">
        <v>0</v>
      </c>
      <c r="AF291" s="598">
        <v>0</v>
      </c>
      <c r="AG291" s="598">
        <v>0</v>
      </c>
      <c r="AH291" s="601">
        <f t="shared" si="24"/>
        <v>7.6599004212945229E-2</v>
      </c>
      <c r="AI291" s="598">
        <v>0</v>
      </c>
      <c r="AJ291" s="598">
        <v>0</v>
      </c>
      <c r="AK291" s="598">
        <v>0</v>
      </c>
      <c r="AL291" s="515"/>
      <c r="AM291" s="515"/>
      <c r="AN291" s="27"/>
      <c r="AO291" s="17"/>
      <c r="AP291" s="9"/>
      <c r="AQ291" s="600">
        <f t="shared" ref="AQ291:AQ293" si="25">AQ287+7</f>
        <v>45341</v>
      </c>
      <c r="AR291" s="9"/>
    </row>
    <row r="292" spans="1:44" customFormat="1" ht="12" customHeight="1" outlineLevel="1" x14ac:dyDescent="0.35">
      <c r="A292" s="7"/>
      <c r="B292" s="8"/>
      <c r="C292" s="18"/>
      <c r="D292" s="18"/>
      <c r="E292" s="18"/>
      <c r="F292" s="24"/>
      <c r="G292" s="25"/>
      <c r="H292" s="28"/>
      <c r="I292" s="599" t="s">
        <v>3239</v>
      </c>
      <c r="J292" s="598">
        <v>0</v>
      </c>
      <c r="K292" s="598">
        <v>0</v>
      </c>
      <c r="L292" s="598">
        <v>0</v>
      </c>
      <c r="M292" s="598">
        <v>0</v>
      </c>
      <c r="N292" s="598">
        <v>0</v>
      </c>
      <c r="O292" s="598">
        <v>0</v>
      </c>
      <c r="P292" s="598">
        <v>0</v>
      </c>
      <c r="Q292" s="598">
        <v>0</v>
      </c>
      <c r="R292" s="598">
        <v>0</v>
      </c>
      <c r="S292" s="598">
        <v>0</v>
      </c>
      <c r="T292" s="598">
        <v>0</v>
      </c>
      <c r="U292" s="598">
        <v>0</v>
      </c>
      <c r="V292" s="598">
        <v>0</v>
      </c>
      <c r="W292" s="598">
        <v>0</v>
      </c>
      <c r="X292" s="598">
        <v>0</v>
      </c>
      <c r="Y292" s="598">
        <v>0</v>
      </c>
      <c r="Z292" s="598">
        <v>0</v>
      </c>
      <c r="AA292" s="598">
        <v>0</v>
      </c>
      <c r="AB292" s="598">
        <v>0</v>
      </c>
      <c r="AC292" s="598">
        <v>0</v>
      </c>
      <c r="AD292" s="598">
        <v>0</v>
      </c>
      <c r="AE292" s="598">
        <v>0</v>
      </c>
      <c r="AF292" s="598">
        <v>0</v>
      </c>
      <c r="AG292" s="598">
        <v>0</v>
      </c>
      <c r="AH292" s="601">
        <f t="shared" si="24"/>
        <v>7.6599004212945229E-2</v>
      </c>
      <c r="AI292" s="598">
        <v>0</v>
      </c>
      <c r="AJ292" s="598">
        <v>0</v>
      </c>
      <c r="AK292" s="598">
        <v>0</v>
      </c>
      <c r="AL292" s="515"/>
      <c r="AM292" s="515"/>
      <c r="AN292" s="27"/>
      <c r="AO292" s="17"/>
      <c r="AP292" s="9"/>
      <c r="AQ292" s="600">
        <f t="shared" si="25"/>
        <v>45348</v>
      </c>
      <c r="AR292" s="9"/>
    </row>
    <row r="293" spans="1:44" customFormat="1" ht="12" customHeight="1" outlineLevel="1" x14ac:dyDescent="0.35">
      <c r="A293" s="7"/>
      <c r="B293" s="8"/>
      <c r="C293" s="18"/>
      <c r="D293" s="18"/>
      <c r="E293" s="18"/>
      <c r="F293" s="24"/>
      <c r="G293" s="25"/>
      <c r="H293" s="28"/>
      <c r="I293" s="599" t="s">
        <v>3240</v>
      </c>
      <c r="J293" s="598">
        <v>0</v>
      </c>
      <c r="K293" s="598">
        <v>0</v>
      </c>
      <c r="L293" s="598">
        <v>0</v>
      </c>
      <c r="M293" s="598">
        <v>0</v>
      </c>
      <c r="N293" s="598">
        <v>0</v>
      </c>
      <c r="O293" s="598">
        <v>0</v>
      </c>
      <c r="P293" s="598">
        <v>0</v>
      </c>
      <c r="Q293" s="598">
        <v>0</v>
      </c>
      <c r="R293" s="598">
        <v>0</v>
      </c>
      <c r="S293" s="598">
        <v>0</v>
      </c>
      <c r="T293" s="598">
        <v>0</v>
      </c>
      <c r="U293" s="598">
        <v>0</v>
      </c>
      <c r="V293" s="598">
        <v>0</v>
      </c>
      <c r="W293" s="598">
        <v>0</v>
      </c>
      <c r="X293" s="598">
        <v>0</v>
      </c>
      <c r="Y293" s="598">
        <v>0</v>
      </c>
      <c r="Z293" s="598">
        <v>0</v>
      </c>
      <c r="AA293" s="598">
        <v>0</v>
      </c>
      <c r="AB293" s="598">
        <v>0</v>
      </c>
      <c r="AC293" s="598">
        <v>0</v>
      </c>
      <c r="AD293" s="598">
        <v>0</v>
      </c>
      <c r="AE293" s="598">
        <v>0</v>
      </c>
      <c r="AF293" s="598">
        <v>0</v>
      </c>
      <c r="AG293" s="598">
        <v>0</v>
      </c>
      <c r="AH293" s="601">
        <f t="shared" si="24"/>
        <v>7.6599004212945229E-2</v>
      </c>
      <c r="AI293" s="598">
        <v>0</v>
      </c>
      <c r="AJ293" s="598">
        <v>0</v>
      </c>
      <c r="AK293" s="598">
        <v>0</v>
      </c>
      <c r="AL293" s="515"/>
      <c r="AM293" s="515"/>
      <c r="AN293" s="27"/>
      <c r="AO293" s="17"/>
      <c r="AP293" s="9"/>
      <c r="AQ293" s="600">
        <f t="shared" si="25"/>
        <v>45355</v>
      </c>
      <c r="AR293" s="9"/>
    </row>
    <row r="294" spans="1:44" customFormat="1" ht="12" customHeight="1" outlineLevel="1" x14ac:dyDescent="0.35">
      <c r="A294" s="7"/>
      <c r="B294" s="8"/>
      <c r="C294" s="18"/>
      <c r="D294" s="18"/>
      <c r="E294" s="18"/>
      <c r="F294" s="24"/>
      <c r="G294" s="25"/>
      <c r="H294" s="28"/>
      <c r="I294" s="599" t="s">
        <v>3241</v>
      </c>
      <c r="J294" s="598">
        <v>0</v>
      </c>
      <c r="K294" s="598">
        <v>0</v>
      </c>
      <c r="L294" s="598">
        <v>0</v>
      </c>
      <c r="M294" s="598">
        <v>0</v>
      </c>
      <c r="N294" s="598">
        <v>0</v>
      </c>
      <c r="O294" s="598">
        <v>0</v>
      </c>
      <c r="P294" s="598">
        <v>0</v>
      </c>
      <c r="Q294" s="598">
        <v>0</v>
      </c>
      <c r="R294" s="598">
        <v>0</v>
      </c>
      <c r="S294" s="598">
        <v>0</v>
      </c>
      <c r="T294" s="598">
        <v>0</v>
      </c>
      <c r="U294" s="598">
        <v>0</v>
      </c>
      <c r="V294" s="598">
        <v>0</v>
      </c>
      <c r="W294" s="598">
        <v>0</v>
      </c>
      <c r="X294" s="598">
        <v>0</v>
      </c>
      <c r="Y294" s="598">
        <v>0</v>
      </c>
      <c r="Z294" s="598">
        <v>0</v>
      </c>
      <c r="AA294" s="598">
        <v>0</v>
      </c>
      <c r="AB294" s="598">
        <v>0</v>
      </c>
      <c r="AC294" s="598">
        <v>0</v>
      </c>
      <c r="AD294" s="598">
        <v>0</v>
      </c>
      <c r="AE294" s="598">
        <v>0</v>
      </c>
      <c r="AF294" s="598">
        <v>0</v>
      </c>
      <c r="AG294" s="598">
        <v>0</v>
      </c>
      <c r="AH294" s="601">
        <f t="shared" si="24"/>
        <v>7.6599004212945229E-2</v>
      </c>
      <c r="AI294" s="598">
        <v>0</v>
      </c>
      <c r="AJ294" s="598">
        <v>0</v>
      </c>
      <c r="AK294" s="598">
        <v>0</v>
      </c>
      <c r="AL294" s="515"/>
      <c r="AM294" s="515"/>
      <c r="AN294" s="27"/>
      <c r="AO294" s="17"/>
      <c r="AP294" s="9"/>
      <c r="AQ294" s="600">
        <f>AQ290+7</f>
        <v>45362</v>
      </c>
      <c r="AR294" s="9"/>
    </row>
    <row r="295" spans="1:44" customFormat="1" ht="12" customHeight="1" outlineLevel="1" x14ac:dyDescent="0.35">
      <c r="A295" s="7"/>
      <c r="B295" s="8"/>
      <c r="C295" s="18"/>
      <c r="D295" s="18"/>
      <c r="E295" s="18"/>
      <c r="F295" s="24"/>
      <c r="G295" s="25"/>
      <c r="H295" s="28"/>
      <c r="I295" s="597"/>
      <c r="J295" s="519"/>
      <c r="K295" s="515"/>
      <c r="L295" s="515"/>
      <c r="M295" s="515"/>
      <c r="N295" s="515"/>
      <c r="O295" s="515"/>
      <c r="P295" s="515"/>
      <c r="Q295" s="515"/>
      <c r="R295" s="515"/>
      <c r="S295" s="515"/>
      <c r="T295" s="515"/>
      <c r="U295" s="515"/>
      <c r="V295" s="515"/>
      <c r="W295" s="515"/>
      <c r="X295" s="515"/>
      <c r="Y295" s="515"/>
      <c r="Z295" s="515"/>
      <c r="AA295" s="515"/>
      <c r="AB295" s="515"/>
      <c r="AC295" s="515"/>
      <c r="AD295" s="515"/>
      <c r="AE295" s="515"/>
      <c r="AF295" s="515"/>
      <c r="AG295" s="515"/>
      <c r="AH295" s="515"/>
      <c r="AI295" s="515"/>
      <c r="AJ295" s="515"/>
      <c r="AK295" s="515"/>
      <c r="AL295" s="515"/>
      <c r="AM295" s="515"/>
      <c r="AN295" s="27"/>
      <c r="AO295" s="17"/>
      <c r="AP295" s="9"/>
      <c r="AQ295" s="9"/>
      <c r="AR295" s="9"/>
    </row>
    <row r="296" spans="1:44" customFormat="1" ht="12" customHeight="1" outlineLevel="1" x14ac:dyDescent="0.35">
      <c r="A296" s="7"/>
      <c r="B296" s="8"/>
      <c r="C296" s="18"/>
      <c r="D296" s="18"/>
      <c r="E296" s="18"/>
      <c r="F296" s="24"/>
      <c r="G296" s="25"/>
      <c r="H296" s="28"/>
      <c r="I296" s="597"/>
      <c r="J296" s="519"/>
      <c r="K296" s="515"/>
      <c r="L296" s="515"/>
      <c r="M296" s="515"/>
      <c r="N296" s="515"/>
      <c r="O296" s="515"/>
      <c r="P296" s="515"/>
      <c r="Q296" s="515"/>
      <c r="R296" s="515"/>
      <c r="S296" s="515"/>
      <c r="T296" s="515"/>
      <c r="U296" s="515"/>
      <c r="V296" s="515"/>
      <c r="W296" s="515"/>
      <c r="X296" s="515"/>
      <c r="Y296" s="515"/>
      <c r="Z296" s="515"/>
      <c r="AA296" s="515"/>
      <c r="AB296" s="515"/>
      <c r="AC296" s="515"/>
      <c r="AD296" s="515"/>
      <c r="AE296" s="515"/>
      <c r="AF296" s="515"/>
      <c r="AG296" s="515"/>
      <c r="AH296" s="515"/>
      <c r="AI296" s="515"/>
      <c r="AJ296" s="515"/>
      <c r="AK296" s="515"/>
      <c r="AL296" s="515"/>
      <c r="AM296" s="515"/>
      <c r="AN296" s="27"/>
      <c r="AO296" s="17"/>
      <c r="AP296" s="9"/>
      <c r="AQ296" s="9"/>
      <c r="AR296" s="9"/>
    </row>
    <row r="297" spans="1:44" customFormat="1" ht="12" customHeight="1" outlineLevel="1" x14ac:dyDescent="0.35">
      <c r="A297" s="7"/>
      <c r="B297" s="8"/>
      <c r="C297" s="18"/>
      <c r="D297" s="18"/>
      <c r="E297" s="18"/>
      <c r="F297" s="24"/>
      <c r="G297" s="25"/>
      <c r="H297" s="28"/>
      <c r="I297" s="597"/>
      <c r="J297" s="519"/>
      <c r="K297" s="515"/>
      <c r="L297" s="515"/>
      <c r="M297" s="515"/>
      <c r="N297" s="515"/>
      <c r="O297" s="515"/>
      <c r="P297" s="515"/>
      <c r="Q297" s="515"/>
      <c r="R297" s="515"/>
      <c r="S297" s="515"/>
      <c r="T297" s="515"/>
      <c r="U297" s="515"/>
      <c r="V297" s="515"/>
      <c r="W297" s="515"/>
      <c r="X297" s="515"/>
      <c r="Y297" s="515"/>
      <c r="Z297" s="515"/>
      <c r="AA297" s="515"/>
      <c r="AB297" s="515"/>
      <c r="AC297" s="515"/>
      <c r="AD297" s="515"/>
      <c r="AE297" s="515"/>
      <c r="AF297" s="515"/>
      <c r="AG297" s="515"/>
      <c r="AH297" s="515"/>
      <c r="AI297" s="515"/>
      <c r="AJ297" s="515"/>
      <c r="AK297" s="515"/>
      <c r="AL297" s="515"/>
      <c r="AM297" s="515"/>
      <c r="AN297" s="27"/>
      <c r="AO297" s="17"/>
      <c r="AP297" s="9"/>
      <c r="AQ297" s="9"/>
      <c r="AR297" s="9"/>
    </row>
    <row r="298" spans="1:44" customFormat="1" ht="12" customHeight="1" x14ac:dyDescent="0.35">
      <c r="A298" s="7"/>
      <c r="B298" s="8"/>
      <c r="C298" s="18"/>
      <c r="D298" s="18"/>
      <c r="E298" s="18"/>
      <c r="F298" s="24"/>
      <c r="G298" s="570" t="s">
        <v>3242</v>
      </c>
      <c r="H298" s="28"/>
      <c r="I298" s="602" t="s">
        <v>3243</v>
      </c>
      <c r="J298" s="603"/>
      <c r="K298" s="603"/>
      <c r="L298" s="603"/>
      <c r="M298" s="603"/>
      <c r="N298" s="603"/>
      <c r="O298" s="603"/>
      <c r="P298" s="603"/>
      <c r="Q298" s="603"/>
      <c r="R298" s="603"/>
      <c r="S298" s="603"/>
      <c r="T298" s="603"/>
      <c r="U298" s="603"/>
      <c r="V298" s="603"/>
      <c r="W298" s="603"/>
      <c r="X298" s="603"/>
      <c r="Y298" s="603"/>
      <c r="Z298" s="603"/>
      <c r="AA298" s="603"/>
      <c r="AB298" s="603"/>
      <c r="AC298" s="603"/>
      <c r="AD298" s="603"/>
      <c r="AE298" s="603"/>
      <c r="AF298" s="603"/>
      <c r="AG298" s="603"/>
      <c r="AH298" s="603"/>
      <c r="AI298" s="603"/>
      <c r="AJ298" s="603"/>
      <c r="AK298" s="603"/>
      <c r="AL298" s="515"/>
      <c r="AM298" s="515"/>
      <c r="AN298" s="30"/>
      <c r="AO298" s="17"/>
      <c r="AP298" s="9"/>
      <c r="AQ298" s="9"/>
      <c r="AR298" s="9"/>
    </row>
    <row r="299" spans="1:44" customFormat="1" ht="12" customHeight="1" x14ac:dyDescent="0.35">
      <c r="A299" s="7"/>
      <c r="B299" s="8"/>
      <c r="C299" s="18"/>
      <c r="D299" s="18"/>
      <c r="E299" s="18"/>
      <c r="F299" s="24"/>
      <c r="G299" s="570"/>
      <c r="H299" s="28"/>
      <c r="I299" s="604" t="s">
        <v>2336</v>
      </c>
      <c r="J299" s="605">
        <v>-6.9627386801849749</v>
      </c>
      <c r="K299" s="605">
        <v>-6.0156524915318768</v>
      </c>
      <c r="L299" s="605">
        <v>-89.616670193855597</v>
      </c>
      <c r="M299" s="605">
        <v>-13.414407529017323</v>
      </c>
      <c r="N299" s="605">
        <v>-15.956210866407352</v>
      </c>
      <c r="O299" s="605">
        <v>-27.453592075390173</v>
      </c>
      <c r="P299" s="605">
        <v>-11.943157237213565</v>
      </c>
      <c r="Q299" s="605">
        <v>-29.071825012886912</v>
      </c>
      <c r="R299" s="605">
        <v>-0.59944361589410566</v>
      </c>
      <c r="S299" s="605">
        <v>-0.61199740889712317</v>
      </c>
      <c r="T299" s="605">
        <v>-0.65906310885294273</v>
      </c>
      <c r="U299" s="605">
        <v>-0.87644073372921349</v>
      </c>
      <c r="V299" s="605">
        <v>-1.3770690462419783</v>
      </c>
      <c r="W299" s="605">
        <v>-1.3560129446174805</v>
      </c>
      <c r="X299" s="605">
        <v>-0.92867167621956725</v>
      </c>
      <c r="Y299" s="605">
        <v>-1.3602142818907355</v>
      </c>
      <c r="Z299" s="605">
        <v>-0.62160661264888861</v>
      </c>
      <c r="AA299" s="605">
        <v>-0.8383353549900725</v>
      </c>
      <c r="AB299" s="605">
        <v>-1.7548717127396745</v>
      </c>
      <c r="AC299" s="605">
        <v>-2.1273556936201503</v>
      </c>
      <c r="AD299" s="605">
        <v>-2.1242128702581558E-2</v>
      </c>
      <c r="AE299" s="605">
        <v>-8.4945043615853727E-3</v>
      </c>
      <c r="AF299" s="605">
        <v>-8.5106530236712993E-3</v>
      </c>
      <c r="AG299" s="605">
        <v>-1.3786513769950051E-3</v>
      </c>
      <c r="AH299" s="605">
        <v>-7.02529466445438E-3</v>
      </c>
      <c r="AI299" s="605">
        <v>-4.1707721917420511E-2</v>
      </c>
      <c r="AJ299" s="605">
        <v>-0.91743119266055029</v>
      </c>
      <c r="AK299" s="605">
        <v>-5.6250000000000007E-3</v>
      </c>
      <c r="AL299" s="515"/>
      <c r="AM299" s="515"/>
      <c r="AN299" s="30"/>
      <c r="AO299" s="17"/>
      <c r="AP299" s="9"/>
      <c r="AQ299" s="9"/>
      <c r="AR299" s="9"/>
    </row>
    <row r="300" spans="1:44" customFormat="1" ht="12" customHeight="1" x14ac:dyDescent="0.35">
      <c r="A300" s="7"/>
      <c r="B300" s="8"/>
      <c r="C300" s="18"/>
      <c r="D300" s="18"/>
      <c r="E300" s="18"/>
      <c r="F300" s="24"/>
      <c r="G300" s="570"/>
      <c r="H300" s="28"/>
      <c r="I300" s="604" t="s">
        <v>4</v>
      </c>
      <c r="J300" s="606">
        <v>9.5708365331199214</v>
      </c>
      <c r="K300" s="606">
        <v>1.7972582134700135</v>
      </c>
      <c r="L300" s="606">
        <v>41.273111969280436</v>
      </c>
      <c r="M300" s="606">
        <v>19.371106796902691</v>
      </c>
      <c r="N300" s="606">
        <v>17.911600395338283</v>
      </c>
      <c r="O300" s="606">
        <v>16.877102334118977</v>
      </c>
      <c r="P300" s="606">
        <v>11.253433513211366</v>
      </c>
      <c r="Q300" s="606">
        <v>22.10808785732327</v>
      </c>
      <c r="R300" s="606">
        <v>2.6419333894920047</v>
      </c>
      <c r="S300" s="606">
        <v>2.4899601010193639</v>
      </c>
      <c r="T300" s="606">
        <v>3.870826729788083</v>
      </c>
      <c r="U300" s="606">
        <v>4.0603762059598081</v>
      </c>
      <c r="V300" s="606">
        <v>4.7746394921672541</v>
      </c>
      <c r="W300" s="606">
        <v>3.9801927778750463</v>
      </c>
      <c r="X300" s="606">
        <v>3.2883889884288755</v>
      </c>
      <c r="Y300" s="606">
        <v>2.6959793962187328</v>
      </c>
      <c r="Z300" s="606">
        <v>2.3382915404356464</v>
      </c>
      <c r="AA300" s="606">
        <v>2.8219967504577319</v>
      </c>
      <c r="AB300" s="606">
        <v>3.9816543979886445</v>
      </c>
      <c r="AC300" s="606">
        <v>4.0854043022969995</v>
      </c>
      <c r="AD300" s="606">
        <v>0.801804515337185</v>
      </c>
      <c r="AE300" s="606">
        <v>0.63059509399466851</v>
      </c>
      <c r="AF300" s="606">
        <v>0.54513927385769101</v>
      </c>
      <c r="AG300" s="606">
        <v>0.65046740143494564</v>
      </c>
      <c r="AH300" s="606">
        <v>0.70144286673170986</v>
      </c>
      <c r="AI300" s="606">
        <v>1.0801013946492328</v>
      </c>
      <c r="AJ300" s="606">
        <v>3.6697247706422016</v>
      </c>
      <c r="AK300" s="606">
        <v>0.45000000000000007</v>
      </c>
      <c r="AL300" s="515"/>
      <c r="AM300" s="515"/>
      <c r="AN300" s="30"/>
      <c r="AO300" s="17"/>
      <c r="AP300" s="9"/>
      <c r="AQ300" s="9"/>
      <c r="AR300" s="9"/>
    </row>
    <row r="301" spans="1:44" customFormat="1" ht="12" customHeight="1" x14ac:dyDescent="0.35">
      <c r="A301" s="7"/>
      <c r="B301" s="8"/>
      <c r="C301" s="18"/>
      <c r="D301" s="18"/>
      <c r="E301" s="18"/>
      <c r="F301" s="24"/>
      <c r="G301" s="570"/>
      <c r="H301" s="28"/>
      <c r="I301" s="604" t="s">
        <v>3096</v>
      </c>
      <c r="J301" s="548">
        <v>56.100917431192656</v>
      </c>
      <c r="K301" s="548">
        <v>69.159021406727831</v>
      </c>
      <c r="L301" s="548">
        <v>53.85860766324879</v>
      </c>
      <c r="M301" s="548">
        <v>53.432271991365354</v>
      </c>
      <c r="N301" s="548">
        <v>49.943542695836271</v>
      </c>
      <c r="O301" s="548">
        <v>51.220183486238533</v>
      </c>
      <c r="P301" s="548">
        <v>51.275229357798167</v>
      </c>
      <c r="Q301" s="548">
        <v>55.107033639143737</v>
      </c>
      <c r="R301" s="548">
        <v>67.448488494510443</v>
      </c>
      <c r="S301" s="548">
        <v>67.182017640865936</v>
      </c>
      <c r="T301" s="548">
        <v>45.458958226107704</v>
      </c>
      <c r="U301" s="548">
        <v>44.749882809884156</v>
      </c>
      <c r="V301" s="548">
        <v>41.743119266055054</v>
      </c>
      <c r="W301" s="548">
        <v>41.743119266055054</v>
      </c>
      <c r="X301" s="548">
        <v>59.834862385321088</v>
      </c>
      <c r="Y301" s="548">
        <v>62.440366972477065</v>
      </c>
      <c r="Z301" s="548">
        <v>53.522935779816514</v>
      </c>
      <c r="AA301" s="548">
        <v>54.669724770642205</v>
      </c>
      <c r="AB301" s="548">
        <v>55.522935779816514</v>
      </c>
      <c r="AC301" s="548">
        <v>55.247706422018339</v>
      </c>
      <c r="AD301" s="548">
        <v>29.494055320716754</v>
      </c>
      <c r="AE301" s="548">
        <v>19.465154120592853</v>
      </c>
      <c r="AF301" s="548">
        <v>21.245396267638498</v>
      </c>
      <c r="AG301" s="548">
        <v>25.883536587765462</v>
      </c>
      <c r="AH301" s="548">
        <v>23.974921210037252</v>
      </c>
      <c r="AI301" s="548">
        <v>34.220183486238533</v>
      </c>
      <c r="AJ301" s="548">
        <v>53.876685566849588</v>
      </c>
      <c r="AK301" s="548">
        <v>21.2</v>
      </c>
      <c r="AL301" s="515"/>
      <c r="AM301" s="515"/>
      <c r="AN301" s="30"/>
      <c r="AO301" s="17"/>
      <c r="AP301" s="9"/>
      <c r="AQ301" s="9"/>
      <c r="AR301" s="9"/>
    </row>
    <row r="302" spans="1:44" customFormat="1" ht="12" customHeight="1" x14ac:dyDescent="0.35">
      <c r="A302" s="7"/>
      <c r="B302" s="8"/>
      <c r="C302" s="18"/>
      <c r="D302" s="18"/>
      <c r="E302" s="18"/>
      <c r="F302" s="24"/>
      <c r="G302" s="570"/>
      <c r="H302" s="28"/>
      <c r="I302" s="599"/>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515"/>
      <c r="AM302" s="515"/>
      <c r="AN302" s="30"/>
      <c r="AO302" s="17"/>
      <c r="AP302" s="9"/>
      <c r="AQ302" s="9"/>
      <c r="AR302" s="9"/>
    </row>
    <row r="303" spans="1:44" customFormat="1" ht="12" customHeight="1" x14ac:dyDescent="0.35">
      <c r="A303" s="7"/>
      <c r="B303" s="8"/>
      <c r="C303" s="18"/>
      <c r="D303" s="18"/>
      <c r="E303" s="18"/>
      <c r="F303" s="24"/>
      <c r="G303" s="607" t="s">
        <v>3244</v>
      </c>
      <c r="H303" s="28"/>
      <c r="I303" s="28"/>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515"/>
      <c r="AM303" s="515"/>
      <c r="AN303" s="30"/>
      <c r="AO303" s="17"/>
      <c r="AP303" s="9"/>
      <c r="AQ303" s="9"/>
      <c r="AR303" s="9"/>
    </row>
    <row r="304" spans="1:44" customFormat="1" ht="12" customHeight="1" outlineLevel="1" x14ac:dyDescent="0.35">
      <c r="A304" s="7"/>
      <c r="B304" s="8"/>
      <c r="C304" s="18">
        <v>0</v>
      </c>
      <c r="D304" s="18"/>
      <c r="E304" s="18"/>
      <c r="F304" s="24"/>
      <c r="G304" s="570"/>
      <c r="H304" s="25" t="s">
        <v>2343</v>
      </c>
      <c r="I304" s="533" t="str">
        <f>General!G37</f>
        <v>b</v>
      </c>
      <c r="J304" s="605"/>
      <c r="K304" s="605"/>
      <c r="L304" s="605"/>
      <c r="M304" s="605"/>
      <c r="N304" s="605"/>
      <c r="O304" s="605"/>
      <c r="P304" s="605"/>
      <c r="Q304" s="605"/>
      <c r="R304" s="605"/>
      <c r="S304" s="605" t="b">
        <v>1</v>
      </c>
      <c r="T304" s="605"/>
      <c r="U304" s="605"/>
      <c r="V304" s="605"/>
      <c r="W304" s="605"/>
      <c r="X304" s="605"/>
      <c r="Y304" s="605"/>
      <c r="Z304" s="605"/>
      <c r="AA304" s="605"/>
      <c r="AB304" s="605"/>
      <c r="AC304" s="605"/>
      <c r="AD304" s="605"/>
      <c r="AE304" s="605"/>
      <c r="AF304" s="605"/>
      <c r="AG304" s="605"/>
      <c r="AH304" s="605"/>
      <c r="AI304" s="605"/>
      <c r="AJ304" s="605"/>
      <c r="AK304" s="605"/>
      <c r="AL304" s="515"/>
      <c r="AM304" s="515"/>
      <c r="AN304" s="30" t="b">
        <f>OR(J304:AK304)</f>
        <v>1</v>
      </c>
      <c r="AO304" s="17"/>
      <c r="AP304" s="9"/>
      <c r="AQ304" s="9"/>
      <c r="AR304" s="9"/>
    </row>
    <row r="305" spans="1:44" customFormat="1" ht="12" customHeight="1" outlineLevel="1" x14ac:dyDescent="0.35">
      <c r="A305" s="7"/>
      <c r="B305" s="8"/>
      <c r="C305" s="18"/>
      <c r="D305" s="18"/>
      <c r="E305" s="18"/>
      <c r="F305" s="24"/>
      <c r="G305" s="570"/>
      <c r="H305" s="25"/>
      <c r="I305" s="533" t="str">
        <f>General!G38</f>
        <v>bd</v>
      </c>
      <c r="J305" s="605"/>
      <c r="K305" s="605"/>
      <c r="L305" s="605"/>
      <c r="M305" s="605"/>
      <c r="N305" s="605"/>
      <c r="O305" s="605"/>
      <c r="P305" s="605"/>
      <c r="Q305" s="605"/>
      <c r="R305" s="605"/>
      <c r="S305" s="605" t="b">
        <v>1</v>
      </c>
      <c r="T305" s="605"/>
      <c r="U305" s="605"/>
      <c r="V305" s="605"/>
      <c r="W305" s="605"/>
      <c r="X305" s="605"/>
      <c r="Y305" s="605"/>
      <c r="Z305" s="605"/>
      <c r="AA305" s="605"/>
      <c r="AB305" s="605"/>
      <c r="AC305" s="605"/>
      <c r="AD305" s="605"/>
      <c r="AE305" s="605"/>
      <c r="AF305" s="605"/>
      <c r="AG305" s="605"/>
      <c r="AH305" s="605"/>
      <c r="AI305" s="605"/>
      <c r="AJ305" s="605"/>
      <c r="AK305" s="605"/>
      <c r="AL305" s="515"/>
      <c r="AM305" s="515"/>
      <c r="AN305" s="30" t="b">
        <f t="shared" ref="AN305:AN357" si="26">OR(J305:AK305)</f>
        <v>1</v>
      </c>
      <c r="AO305" s="17"/>
      <c r="AP305" s="9"/>
      <c r="AQ305" s="9"/>
      <c r="AR305" s="9"/>
    </row>
    <row r="306" spans="1:44" customFormat="1" ht="12" customHeight="1" outlineLevel="1" x14ac:dyDescent="0.35">
      <c r="A306" s="7"/>
      <c r="B306" s="8"/>
      <c r="C306" s="18"/>
      <c r="D306" s="18"/>
      <c r="E306" s="18"/>
      <c r="F306" s="24"/>
      <c r="G306" s="570"/>
      <c r="H306" s="25"/>
      <c r="I306" s="533" t="str">
        <f>General!G39</f>
        <v>f</v>
      </c>
      <c r="J306" s="605"/>
      <c r="K306" s="605"/>
      <c r="L306" s="605"/>
      <c r="M306" s="605"/>
      <c r="N306" s="605"/>
      <c r="O306" s="605"/>
      <c r="P306" s="605"/>
      <c r="Q306" s="605"/>
      <c r="R306" s="605"/>
      <c r="S306" s="605"/>
      <c r="T306" s="605"/>
      <c r="U306" s="605"/>
      <c r="V306" s="605"/>
      <c r="W306" s="605"/>
      <c r="X306" s="605"/>
      <c r="Y306" s="605"/>
      <c r="Z306" s="605"/>
      <c r="AA306" s="605"/>
      <c r="AB306" s="605"/>
      <c r="AC306" s="605"/>
      <c r="AD306" s="605"/>
      <c r="AE306" s="605"/>
      <c r="AF306" s="605"/>
      <c r="AG306" s="605"/>
      <c r="AH306" s="605"/>
      <c r="AI306" s="605"/>
      <c r="AJ306" s="605" t="b">
        <v>1</v>
      </c>
      <c r="AK306" s="605"/>
      <c r="AL306" s="515"/>
      <c r="AM306" s="515"/>
      <c r="AN306" s="30" t="b">
        <f t="shared" si="26"/>
        <v>1</v>
      </c>
      <c r="AO306" s="17"/>
      <c r="AP306" s="9"/>
      <c r="AQ306" s="9"/>
      <c r="AR306" s="9"/>
    </row>
    <row r="307" spans="1:44" customFormat="1" ht="12" customHeight="1" outlineLevel="1" x14ac:dyDescent="0.35">
      <c r="A307" s="7"/>
      <c r="B307" s="8"/>
      <c r="C307" s="18"/>
      <c r="D307" s="18"/>
      <c r="E307" s="18"/>
      <c r="F307" s="24"/>
      <c r="G307" s="570"/>
      <c r="H307" s="25"/>
      <c r="I307" s="533" t="str">
        <f>General!G40</f>
        <v>h</v>
      </c>
      <c r="J307" s="605"/>
      <c r="K307" s="605"/>
      <c r="L307" s="605"/>
      <c r="M307" s="605"/>
      <c r="N307" s="605"/>
      <c r="O307" s="605"/>
      <c r="P307" s="605"/>
      <c r="Q307" s="605"/>
      <c r="R307" s="605"/>
      <c r="S307" s="605" t="b">
        <v>1</v>
      </c>
      <c r="T307" s="605"/>
      <c r="U307" s="605"/>
      <c r="V307" s="605"/>
      <c r="W307" s="605" t="b">
        <v>1</v>
      </c>
      <c r="X307" s="605"/>
      <c r="Y307" s="605"/>
      <c r="Z307" s="605"/>
      <c r="AA307" s="605" t="b">
        <v>1</v>
      </c>
      <c r="AB307" s="605"/>
      <c r="AC307" s="605" t="b">
        <v>1</v>
      </c>
      <c r="AD307" s="605"/>
      <c r="AE307" s="605"/>
      <c r="AF307" s="605"/>
      <c r="AG307" s="605"/>
      <c r="AH307" s="605"/>
      <c r="AI307" s="605"/>
      <c r="AJ307" s="605"/>
      <c r="AK307" s="605"/>
      <c r="AL307" s="515"/>
      <c r="AM307" s="515"/>
      <c r="AN307" s="30" t="b">
        <f t="shared" si="26"/>
        <v>1</v>
      </c>
      <c r="AO307" s="17"/>
      <c r="AP307" s="9"/>
      <c r="AQ307" s="9"/>
      <c r="AR307" s="9"/>
    </row>
    <row r="308" spans="1:44" customFormat="1" ht="12" customHeight="1" outlineLevel="1" x14ac:dyDescent="0.35">
      <c r="A308" s="7"/>
      <c r="B308" s="8"/>
      <c r="C308" s="18"/>
      <c r="D308" s="18"/>
      <c r="E308" s="18"/>
      <c r="F308" s="24"/>
      <c r="G308" s="570"/>
      <c r="H308" s="25"/>
      <c r="I308" s="533" t="str">
        <f>General!G41</f>
        <v>i</v>
      </c>
      <c r="J308" s="605"/>
      <c r="K308" s="605"/>
      <c r="L308" s="605"/>
      <c r="M308" s="605"/>
      <c r="N308" s="605"/>
      <c r="O308" s="605"/>
      <c r="P308" s="605"/>
      <c r="Q308" s="605"/>
      <c r="R308" s="605"/>
      <c r="S308" s="605"/>
      <c r="T308" s="605"/>
      <c r="U308" s="605"/>
      <c r="V308" s="605"/>
      <c r="W308" s="605"/>
      <c r="X308" s="605"/>
      <c r="Y308" s="605"/>
      <c r="Z308" s="605"/>
      <c r="AA308" s="605"/>
      <c r="AB308" s="605"/>
      <c r="AC308" s="605"/>
      <c r="AD308" s="605"/>
      <c r="AE308" s="605"/>
      <c r="AF308" s="605"/>
      <c r="AG308" s="605"/>
      <c r="AH308" s="605"/>
      <c r="AI308" s="605"/>
      <c r="AJ308" s="605" t="b">
        <v>1</v>
      </c>
      <c r="AK308" s="605"/>
      <c r="AL308" s="515"/>
      <c r="AM308" s="515"/>
      <c r="AN308" s="30" t="b">
        <f t="shared" si="26"/>
        <v>1</v>
      </c>
      <c r="AO308" s="17"/>
      <c r="AP308" s="9"/>
      <c r="AQ308" s="9"/>
      <c r="AR308" s="9"/>
    </row>
    <row r="309" spans="1:44" customFormat="1" ht="12" customHeight="1" outlineLevel="1" x14ac:dyDescent="0.35">
      <c r="A309" s="7"/>
      <c r="B309" s="8"/>
      <c r="C309" s="18"/>
      <c r="D309" s="18"/>
      <c r="E309" s="18"/>
      <c r="F309" s="24"/>
      <c r="G309" s="570"/>
      <c r="H309" s="25"/>
      <c r="I309" s="533" t="str">
        <f>General!G42</f>
        <v>k</v>
      </c>
      <c r="J309" s="605"/>
      <c r="K309" s="605"/>
      <c r="L309" s="605"/>
      <c r="M309" s="605"/>
      <c r="N309" s="605"/>
      <c r="O309" s="605"/>
      <c r="P309" s="605"/>
      <c r="Q309" s="605"/>
      <c r="R309" s="605"/>
      <c r="S309" s="605"/>
      <c r="T309" s="605"/>
      <c r="U309" s="605"/>
      <c r="V309" s="605"/>
      <c r="W309" s="605"/>
      <c r="X309" s="605"/>
      <c r="Y309" s="605"/>
      <c r="Z309" s="605"/>
      <c r="AA309" s="605"/>
      <c r="AB309" s="605"/>
      <c r="AC309" s="605"/>
      <c r="AD309" s="605"/>
      <c r="AE309" s="605"/>
      <c r="AF309" s="605"/>
      <c r="AG309" s="605"/>
      <c r="AH309" s="605"/>
      <c r="AI309" s="605"/>
      <c r="AJ309" s="605" t="b">
        <v>1</v>
      </c>
      <c r="AK309" s="605"/>
      <c r="AL309" s="515"/>
      <c r="AM309" s="515"/>
      <c r="AN309" s="30" t="b">
        <f t="shared" si="26"/>
        <v>1</v>
      </c>
      <c r="AO309" s="17"/>
      <c r="AP309" s="9"/>
      <c r="AQ309" s="9"/>
      <c r="AR309" s="9"/>
    </row>
    <row r="310" spans="1:44" customFormat="1" ht="12" customHeight="1" outlineLevel="1" x14ac:dyDescent="0.35">
      <c r="A310" s="7"/>
      <c r="B310" s="8"/>
      <c r="C310" s="18"/>
      <c r="D310" s="18"/>
      <c r="E310" s="18"/>
      <c r="F310" s="24"/>
      <c r="G310" s="570"/>
      <c r="H310" s="25"/>
      <c r="I310" s="533" t="str">
        <f>General!G43</f>
        <v>l</v>
      </c>
      <c r="J310" s="605"/>
      <c r="K310" s="605"/>
      <c r="L310" s="605"/>
      <c r="M310" s="605"/>
      <c r="N310" s="605"/>
      <c r="O310" s="605"/>
      <c r="P310" s="605"/>
      <c r="Q310" s="605"/>
      <c r="R310" s="605"/>
      <c r="S310" s="605"/>
      <c r="T310" s="605"/>
      <c r="U310" s="605"/>
      <c r="V310" s="605"/>
      <c r="W310" s="605"/>
      <c r="X310" s="605"/>
      <c r="Y310" s="605"/>
      <c r="Z310" s="605"/>
      <c r="AA310" s="605"/>
      <c r="AB310" s="605"/>
      <c r="AC310" s="605"/>
      <c r="AD310" s="605"/>
      <c r="AE310" s="605"/>
      <c r="AF310" s="605"/>
      <c r="AG310" s="605"/>
      <c r="AH310" s="605"/>
      <c r="AI310" s="605"/>
      <c r="AJ310" s="605" t="b">
        <v>1</v>
      </c>
      <c r="AK310" s="605"/>
      <c r="AL310" s="515"/>
      <c r="AM310" s="515"/>
      <c r="AN310" s="30" t="b">
        <f t="shared" si="26"/>
        <v>1</v>
      </c>
      <c r="AO310" s="17"/>
      <c r="AP310" s="9"/>
      <c r="AQ310" s="9"/>
      <c r="AR310" s="9"/>
    </row>
    <row r="311" spans="1:44" customFormat="1" ht="12" customHeight="1" outlineLevel="1" x14ac:dyDescent="0.35">
      <c r="A311" s="7"/>
      <c r="B311" s="8"/>
      <c r="C311" s="18"/>
      <c r="D311" s="18"/>
      <c r="E311" s="18"/>
      <c r="F311" s="24"/>
      <c r="G311" s="570"/>
      <c r="H311" s="25"/>
      <c r="I311" s="533" t="str">
        <f>General!G44</f>
        <v>ms</v>
      </c>
      <c r="J311" s="605"/>
      <c r="K311" s="605"/>
      <c r="L311" s="605"/>
      <c r="M311" s="605"/>
      <c r="N311" s="605"/>
      <c r="O311" s="605"/>
      <c r="P311" s="605"/>
      <c r="Q311" s="605"/>
      <c r="R311" s="605"/>
      <c r="S311" s="605" t="b">
        <v>1</v>
      </c>
      <c r="T311" s="605"/>
      <c r="U311" s="605" t="b">
        <v>1</v>
      </c>
      <c r="V311" s="605"/>
      <c r="W311" s="605" t="b">
        <v>1</v>
      </c>
      <c r="X311" s="605"/>
      <c r="Y311" s="605" t="b">
        <v>1</v>
      </c>
      <c r="Z311" s="605"/>
      <c r="AA311" s="605" t="b">
        <v>1</v>
      </c>
      <c r="AB311" s="605"/>
      <c r="AC311" s="605" t="b">
        <v>1</v>
      </c>
      <c r="AD311" s="605"/>
      <c r="AE311" s="605"/>
      <c r="AF311" s="605"/>
      <c r="AG311" s="605"/>
      <c r="AH311" s="605"/>
      <c r="AI311" s="605"/>
      <c r="AJ311" s="605" t="b">
        <v>1</v>
      </c>
      <c r="AK311" s="605"/>
      <c r="AL311" s="515"/>
      <c r="AM311" s="515"/>
      <c r="AN311" s="30"/>
      <c r="AO311" s="17"/>
      <c r="AP311" s="9"/>
      <c r="AQ311" s="9"/>
      <c r="AR311" s="9"/>
    </row>
    <row r="312" spans="1:44" customFormat="1" ht="12" customHeight="1" outlineLevel="1" x14ac:dyDescent="0.35">
      <c r="A312" s="7"/>
      <c r="B312" s="8"/>
      <c r="C312" s="18"/>
      <c r="D312" s="18"/>
      <c r="E312" s="18"/>
      <c r="F312" s="24"/>
      <c r="G312" s="570"/>
      <c r="H312" s="25"/>
      <c r="I312" s="533" t="str">
        <f>General!G45</f>
        <v>o</v>
      </c>
      <c r="J312" s="605"/>
      <c r="K312" s="605"/>
      <c r="L312" s="605"/>
      <c r="M312" s="605"/>
      <c r="N312" s="605"/>
      <c r="O312" s="605"/>
      <c r="P312" s="605"/>
      <c r="Q312" s="605"/>
      <c r="R312" s="605"/>
      <c r="S312" s="605" t="b">
        <v>1</v>
      </c>
      <c r="T312" s="605"/>
      <c r="U312" s="605"/>
      <c r="V312" s="605"/>
      <c r="W312" s="605" t="b">
        <v>1</v>
      </c>
      <c r="X312" s="605"/>
      <c r="Y312" s="605"/>
      <c r="Z312" s="605"/>
      <c r="AA312" s="605" t="b">
        <v>1</v>
      </c>
      <c r="AB312" s="605"/>
      <c r="AC312" s="605" t="b">
        <v>1</v>
      </c>
      <c r="AD312" s="605"/>
      <c r="AE312" s="605"/>
      <c r="AF312" s="605"/>
      <c r="AG312" s="605"/>
      <c r="AH312" s="605"/>
      <c r="AI312" s="605"/>
      <c r="AJ312" s="605"/>
      <c r="AK312" s="605"/>
      <c r="AL312" s="515"/>
      <c r="AM312" s="515"/>
      <c r="AN312" s="30" t="b">
        <f t="shared" si="26"/>
        <v>1</v>
      </c>
      <c r="AO312" s="17"/>
      <c r="AP312" s="9"/>
      <c r="AQ312" s="9"/>
      <c r="AR312" s="9"/>
    </row>
    <row r="313" spans="1:44" customFormat="1" ht="12" customHeight="1" outlineLevel="1" x14ac:dyDescent="0.35">
      <c r="A313" s="7"/>
      <c r="B313" s="8"/>
      <c r="C313" s="18"/>
      <c r="D313" s="18"/>
      <c r="E313" s="18"/>
      <c r="F313" s="24"/>
      <c r="G313" s="570"/>
      <c r="H313" s="25"/>
      <c r="I313" s="533" t="str">
        <f>General!G46</f>
        <v>od</v>
      </c>
      <c r="J313" s="605"/>
      <c r="K313" s="605"/>
      <c r="L313" s="605"/>
      <c r="M313" s="605"/>
      <c r="N313" s="605"/>
      <c r="O313" s="605"/>
      <c r="P313" s="605"/>
      <c r="Q313" s="605"/>
      <c r="R313" s="605"/>
      <c r="S313" s="605" t="b">
        <v>1</v>
      </c>
      <c r="T313" s="605"/>
      <c r="U313" s="605"/>
      <c r="V313" s="605"/>
      <c r="W313" s="605" t="b">
        <v>1</v>
      </c>
      <c r="X313" s="605"/>
      <c r="Y313" s="605"/>
      <c r="Z313" s="605"/>
      <c r="AA313" s="605" t="b">
        <v>1</v>
      </c>
      <c r="AB313" s="605"/>
      <c r="AC313" s="605" t="b">
        <v>1</v>
      </c>
      <c r="AD313" s="605"/>
      <c r="AE313" s="605"/>
      <c r="AF313" s="605"/>
      <c r="AG313" s="605"/>
      <c r="AH313" s="605"/>
      <c r="AI313" s="605"/>
      <c r="AJ313" s="605"/>
      <c r="AK313" s="605"/>
      <c r="AL313" s="515"/>
      <c r="AM313" s="515"/>
      <c r="AN313" s="30" t="b">
        <f t="shared" si="26"/>
        <v>1</v>
      </c>
      <c r="AO313" s="17"/>
      <c r="AP313" s="9"/>
      <c r="AQ313" s="9"/>
      <c r="AR313" s="9"/>
    </row>
    <row r="314" spans="1:44" customFormat="1" ht="12" customHeight="1" outlineLevel="1" x14ac:dyDescent="0.35">
      <c r="A314" s="7"/>
      <c r="B314" s="8"/>
      <c r="C314" s="18"/>
      <c r="D314" s="18"/>
      <c r="E314" s="18"/>
      <c r="F314" s="24"/>
      <c r="G314" s="570"/>
      <c r="H314" s="25"/>
      <c r="I314" s="533" t="str">
        <f>General!G47</f>
        <v>of</v>
      </c>
      <c r="J314" s="605"/>
      <c r="K314" s="605"/>
      <c r="L314" s="605"/>
      <c r="M314" s="605"/>
      <c r="N314" s="605"/>
      <c r="O314" s="605"/>
      <c r="P314" s="605"/>
      <c r="Q314" s="605"/>
      <c r="R314" s="605"/>
      <c r="S314" s="605" t="b">
        <v>1</v>
      </c>
      <c r="T314" s="605"/>
      <c r="U314" s="605"/>
      <c r="V314" s="605"/>
      <c r="W314" s="605" t="b">
        <v>1</v>
      </c>
      <c r="X314" s="605"/>
      <c r="Y314" s="605"/>
      <c r="Z314" s="605"/>
      <c r="AA314" s="605" t="b">
        <v>1</v>
      </c>
      <c r="AB314" s="605"/>
      <c r="AC314" s="605" t="b">
        <v>1</v>
      </c>
      <c r="AD314" s="605"/>
      <c r="AE314" s="605"/>
      <c r="AF314" s="605"/>
      <c r="AG314" s="605"/>
      <c r="AH314" s="605"/>
      <c r="AI314" s="605"/>
      <c r="AJ314" s="605"/>
      <c r="AK314" s="605"/>
      <c r="AL314" s="515"/>
      <c r="AM314" s="515"/>
      <c r="AN314" s="30" t="b">
        <f t="shared" si="26"/>
        <v>1</v>
      </c>
      <c r="AO314" s="17"/>
      <c r="AP314" s="9"/>
      <c r="AQ314" s="9"/>
      <c r="AR314" s="9"/>
    </row>
    <row r="315" spans="1:44" customFormat="1" ht="12" customHeight="1" outlineLevel="1" x14ac:dyDescent="0.35">
      <c r="A315" s="7"/>
      <c r="B315" s="8"/>
      <c r="C315" s="18"/>
      <c r="D315" s="18"/>
      <c r="E315" s="18"/>
      <c r="F315" s="24"/>
      <c r="G315" s="570"/>
      <c r="H315" s="25"/>
      <c r="I315" s="533" t="str">
        <f>General!G48</f>
        <v>r</v>
      </c>
      <c r="J315" s="605"/>
      <c r="K315" s="605"/>
      <c r="L315" s="605"/>
      <c r="M315" s="605"/>
      <c r="N315" s="605"/>
      <c r="O315" s="605"/>
      <c r="P315" s="605"/>
      <c r="Q315" s="605"/>
      <c r="R315" s="605"/>
      <c r="S315" s="605"/>
      <c r="T315" s="605"/>
      <c r="U315" s="605" t="b">
        <v>1</v>
      </c>
      <c r="V315" s="605"/>
      <c r="W315" s="605"/>
      <c r="X315" s="605"/>
      <c r="Y315" s="605" t="b">
        <v>1</v>
      </c>
      <c r="Z315" s="605"/>
      <c r="AA315" s="605"/>
      <c r="AB315" s="605"/>
      <c r="AC315" s="605"/>
      <c r="AD315" s="605"/>
      <c r="AE315" s="605"/>
      <c r="AF315" s="605"/>
      <c r="AG315" s="605"/>
      <c r="AH315" s="605"/>
      <c r="AI315" s="605"/>
      <c r="AJ315" s="605"/>
      <c r="AK315" s="605"/>
      <c r="AL315" s="515"/>
      <c r="AM315" s="515"/>
      <c r="AN315" s="30" t="b">
        <f t="shared" si="26"/>
        <v>1</v>
      </c>
      <c r="AO315" s="17"/>
      <c r="AP315" s="9"/>
      <c r="AQ315" s="9"/>
      <c r="AR315" s="9"/>
    </row>
    <row r="316" spans="1:44" customFormat="1" ht="12" customHeight="1" outlineLevel="1" x14ac:dyDescent="0.35">
      <c r="A316" s="7"/>
      <c r="B316" s="8"/>
      <c r="C316" s="18"/>
      <c r="D316" s="18"/>
      <c r="E316" s="18"/>
      <c r="F316" s="24"/>
      <c r="G316" s="570"/>
      <c r="H316" s="25"/>
      <c r="I316" s="533" t="str">
        <f>General!G49</f>
        <v>rd</v>
      </c>
      <c r="J316" s="605"/>
      <c r="K316" s="605"/>
      <c r="L316" s="605"/>
      <c r="M316" s="605"/>
      <c r="N316" s="605"/>
      <c r="O316" s="605"/>
      <c r="P316" s="605"/>
      <c r="Q316" s="605"/>
      <c r="R316" s="605"/>
      <c r="S316" s="605"/>
      <c r="T316" s="605"/>
      <c r="U316" s="605" t="b">
        <v>1</v>
      </c>
      <c r="V316" s="605"/>
      <c r="W316" s="605"/>
      <c r="X316" s="605"/>
      <c r="Y316" s="605" t="b">
        <v>1</v>
      </c>
      <c r="Z316" s="605"/>
      <c r="AA316" s="605"/>
      <c r="AB316" s="605"/>
      <c r="AC316" s="605"/>
      <c r="AD316" s="605"/>
      <c r="AE316" s="605"/>
      <c r="AF316" s="605"/>
      <c r="AG316" s="605"/>
      <c r="AH316" s="605"/>
      <c r="AI316" s="605"/>
      <c r="AJ316" s="605"/>
      <c r="AK316" s="605"/>
      <c r="AL316" s="515"/>
      <c r="AM316" s="515"/>
      <c r="AN316" s="30" t="b">
        <f t="shared" si="26"/>
        <v>1</v>
      </c>
      <c r="AO316" s="17"/>
      <c r="AP316" s="9"/>
      <c r="AQ316" s="9"/>
      <c r="AR316" s="9"/>
    </row>
    <row r="317" spans="1:44" customFormat="1" ht="12" customHeight="1" outlineLevel="1" x14ac:dyDescent="0.35">
      <c r="A317" s="7"/>
      <c r="B317" s="8"/>
      <c r="C317" s="18"/>
      <c r="D317" s="18"/>
      <c r="E317" s="18"/>
      <c r="F317" s="24"/>
      <c r="G317" s="570"/>
      <c r="H317" s="25"/>
      <c r="I317" s="533" t="str">
        <f>General!G50</f>
        <v>v</v>
      </c>
      <c r="J317" s="605"/>
      <c r="K317" s="605"/>
      <c r="L317" s="605"/>
      <c r="M317" s="605"/>
      <c r="N317" s="605"/>
      <c r="O317" s="605"/>
      <c r="P317" s="605"/>
      <c r="Q317" s="605"/>
      <c r="R317" s="605"/>
      <c r="S317" s="605"/>
      <c r="T317" s="605"/>
      <c r="U317" s="605"/>
      <c r="V317" s="605"/>
      <c r="W317" s="605"/>
      <c r="X317" s="605"/>
      <c r="Y317" s="605"/>
      <c r="Z317" s="605"/>
      <c r="AA317" s="605"/>
      <c r="AB317" s="605"/>
      <c r="AC317" s="605"/>
      <c r="AD317" s="605"/>
      <c r="AE317" s="605"/>
      <c r="AF317" s="605"/>
      <c r="AG317" s="605"/>
      <c r="AH317" s="605"/>
      <c r="AI317" s="605"/>
      <c r="AJ317" s="605" t="b">
        <v>1</v>
      </c>
      <c r="AK317" s="605"/>
      <c r="AL317" s="515"/>
      <c r="AM317" s="515"/>
      <c r="AN317" s="30" t="b">
        <f t="shared" si="26"/>
        <v>1</v>
      </c>
      <c r="AO317" s="17"/>
      <c r="AP317" s="9"/>
      <c r="AQ317" s="9"/>
      <c r="AR317" s="9"/>
    </row>
    <row r="318" spans="1:44" customFormat="1" ht="12" customHeight="1" outlineLevel="1" x14ac:dyDescent="0.35">
      <c r="A318" s="7"/>
      <c r="B318" s="8"/>
      <c r="C318" s="18"/>
      <c r="D318" s="18"/>
      <c r="E318" s="18"/>
      <c r="F318" s="24"/>
      <c r="G318" s="570"/>
      <c r="H318" s="25"/>
      <c r="I318" s="533" t="str">
        <f>General!G51</f>
        <v>w</v>
      </c>
      <c r="J318" s="605"/>
      <c r="K318" s="605"/>
      <c r="L318" s="605"/>
      <c r="M318" s="605"/>
      <c r="N318" s="605"/>
      <c r="O318" s="605"/>
      <c r="P318" s="605"/>
      <c r="Q318" s="605"/>
      <c r="R318" s="605"/>
      <c r="S318" s="605"/>
      <c r="T318" s="605"/>
      <c r="U318" s="605"/>
      <c r="V318" s="605"/>
      <c r="W318" s="605" t="b">
        <v>1</v>
      </c>
      <c r="X318" s="605"/>
      <c r="Y318" s="605"/>
      <c r="Z318" s="605"/>
      <c r="AA318" s="605" t="b">
        <v>1</v>
      </c>
      <c r="AB318" s="605"/>
      <c r="AC318" s="605" t="b">
        <v>1</v>
      </c>
      <c r="AD318" s="605"/>
      <c r="AE318" s="605"/>
      <c r="AF318" s="605"/>
      <c r="AG318" s="605"/>
      <c r="AH318" s="605"/>
      <c r="AI318" s="605"/>
      <c r="AJ318" s="605"/>
      <c r="AK318" s="605"/>
      <c r="AL318" s="515"/>
      <c r="AM318" s="515"/>
      <c r="AN318" s="30" t="b">
        <f t="shared" si="26"/>
        <v>1</v>
      </c>
      <c r="AO318" s="17"/>
      <c r="AP318" s="9"/>
      <c r="AQ318" s="9"/>
      <c r="AR318" s="9"/>
    </row>
    <row r="319" spans="1:44" customFormat="1" outlineLevel="1" x14ac:dyDescent="0.35">
      <c r="A319" s="7"/>
      <c r="B319" s="8"/>
      <c r="C319" s="18"/>
      <c r="D319" s="18"/>
      <c r="E319" s="18"/>
      <c r="F319" s="24"/>
      <c r="G319" s="570"/>
      <c r="H319" s="25"/>
      <c r="I319" s="533" t="str">
        <f>General!G52</f>
        <v>wd</v>
      </c>
      <c r="J319" s="605"/>
      <c r="K319" s="605"/>
      <c r="L319" s="605"/>
      <c r="M319" s="605"/>
      <c r="N319" s="605"/>
      <c r="O319" s="605"/>
      <c r="P319" s="605"/>
      <c r="Q319" s="605"/>
      <c r="R319" s="605"/>
      <c r="S319" s="605"/>
      <c r="T319" s="605"/>
      <c r="U319" s="605"/>
      <c r="V319" s="605"/>
      <c r="W319" s="605" t="b">
        <v>1</v>
      </c>
      <c r="X319" s="605"/>
      <c r="Y319" s="605"/>
      <c r="Z319" s="605"/>
      <c r="AA319" s="605" t="b">
        <v>1</v>
      </c>
      <c r="AB319" s="605"/>
      <c r="AC319" s="605" t="b">
        <v>1</v>
      </c>
      <c r="AD319" s="605"/>
      <c r="AE319" s="605"/>
      <c r="AF319" s="605"/>
      <c r="AG319" s="605"/>
      <c r="AH319" s="605"/>
      <c r="AI319" s="605"/>
      <c r="AJ319" s="605"/>
      <c r="AK319" s="605"/>
      <c r="AL319" s="515"/>
      <c r="AM319" s="515"/>
      <c r="AN319" s="30" t="b">
        <f t="shared" si="26"/>
        <v>1</v>
      </c>
      <c r="AO319" s="17"/>
      <c r="AP319" s="9"/>
      <c r="AQ319" s="9"/>
      <c r="AR319" s="9"/>
    </row>
    <row r="320" spans="1:44" customFormat="1" outlineLevel="1" x14ac:dyDescent="0.35">
      <c r="A320" s="7"/>
      <c r="B320" s="8"/>
      <c r="C320" s="18"/>
      <c r="D320" s="18"/>
      <c r="E320" s="18"/>
      <c r="F320" s="24"/>
      <c r="G320" s="570"/>
      <c r="H320" s="24"/>
      <c r="I320" s="533" t="str">
        <f>General!G53</f>
        <v>z</v>
      </c>
      <c r="J320" s="605"/>
      <c r="K320" s="605"/>
      <c r="L320" s="605"/>
      <c r="M320" s="605"/>
      <c r="N320" s="605"/>
      <c r="O320" s="605"/>
      <c r="P320" s="605"/>
      <c r="Q320" s="605"/>
      <c r="R320" s="605"/>
      <c r="S320" s="605"/>
      <c r="T320" s="605"/>
      <c r="U320" s="605" t="b">
        <v>1</v>
      </c>
      <c r="V320" s="605"/>
      <c r="W320" s="605"/>
      <c r="X320" s="605"/>
      <c r="Y320" s="605" t="b">
        <v>1</v>
      </c>
      <c r="Z320" s="605"/>
      <c r="AA320" s="605"/>
      <c r="AB320" s="605"/>
      <c r="AC320" s="605"/>
      <c r="AD320" s="605"/>
      <c r="AE320" s="605"/>
      <c r="AF320" s="605"/>
      <c r="AG320" s="605"/>
      <c r="AH320" s="605"/>
      <c r="AI320" s="605"/>
      <c r="AJ320" s="605"/>
      <c r="AK320" s="605"/>
      <c r="AL320" s="515"/>
      <c r="AM320" s="515"/>
      <c r="AN320" s="30" t="b">
        <f t="shared" si="26"/>
        <v>1</v>
      </c>
      <c r="AO320" s="17"/>
      <c r="AP320" s="9"/>
      <c r="AQ320" s="9"/>
      <c r="AR320" s="9"/>
    </row>
    <row r="321" spans="1:44" customFormat="1" outlineLevel="1" x14ac:dyDescent="0.35">
      <c r="A321" s="7"/>
      <c r="B321" s="8"/>
      <c r="C321" s="18"/>
      <c r="D321" s="18"/>
      <c r="E321" s="18"/>
      <c r="F321" s="24"/>
      <c r="G321" s="570"/>
      <c r="H321" s="24"/>
      <c r="I321" s="533" t="str">
        <f>General!G54</f>
        <v>zd</v>
      </c>
      <c r="J321" s="605"/>
      <c r="K321" s="605"/>
      <c r="L321" s="605"/>
      <c r="M321" s="605"/>
      <c r="N321" s="605"/>
      <c r="O321" s="605"/>
      <c r="P321" s="605"/>
      <c r="Q321" s="605"/>
      <c r="R321" s="605"/>
      <c r="S321" s="605"/>
      <c r="T321" s="605"/>
      <c r="U321" s="605" t="b">
        <v>1</v>
      </c>
      <c r="V321" s="605"/>
      <c r="W321" s="605"/>
      <c r="X321" s="605"/>
      <c r="Y321" s="605" t="b">
        <v>1</v>
      </c>
      <c r="Z321" s="605"/>
      <c r="AA321" s="605"/>
      <c r="AB321" s="605"/>
      <c r="AC321" s="605"/>
      <c r="AD321" s="605"/>
      <c r="AE321" s="605"/>
      <c r="AF321" s="605"/>
      <c r="AG321" s="605"/>
      <c r="AH321" s="605"/>
      <c r="AI321" s="605"/>
      <c r="AJ321" s="605"/>
      <c r="AK321" s="605"/>
      <c r="AL321" s="515"/>
      <c r="AM321" s="515"/>
      <c r="AN321" s="30" t="b">
        <f t="shared" si="26"/>
        <v>1</v>
      </c>
      <c r="AO321" s="17"/>
      <c r="AP321" s="9"/>
      <c r="AQ321" s="9"/>
      <c r="AR321" s="9"/>
    </row>
    <row r="322" spans="1:44" customFormat="1" ht="12" customHeight="1" outlineLevel="1" x14ac:dyDescent="0.35">
      <c r="A322" s="7"/>
      <c r="B322" s="8"/>
      <c r="C322" s="18">
        <v>1</v>
      </c>
      <c r="D322" s="18"/>
      <c r="E322" s="18"/>
      <c r="F322" s="24"/>
      <c r="G322" s="570"/>
      <c r="H322" s="25" t="s">
        <v>2345</v>
      </c>
      <c r="I322" s="533" t="str">
        <f>General!G37</f>
        <v>b</v>
      </c>
      <c r="J322" s="605"/>
      <c r="K322" s="605"/>
      <c r="L322" s="605"/>
      <c r="M322" s="605"/>
      <c r="N322" s="605"/>
      <c r="O322" s="605"/>
      <c r="P322" s="605"/>
      <c r="Q322" s="605"/>
      <c r="R322" s="605"/>
      <c r="S322" s="605"/>
      <c r="T322" s="605"/>
      <c r="U322" s="605"/>
      <c r="V322" s="605"/>
      <c r="W322" s="605"/>
      <c r="X322" s="605"/>
      <c r="Y322" s="605"/>
      <c r="Z322" s="605"/>
      <c r="AA322" s="605"/>
      <c r="AB322" s="605"/>
      <c r="AC322" s="605"/>
      <c r="AD322" s="605"/>
      <c r="AE322" s="605"/>
      <c r="AF322" s="605"/>
      <c r="AG322" s="605"/>
      <c r="AH322" s="605"/>
      <c r="AI322" s="605"/>
      <c r="AJ322" s="605"/>
      <c r="AK322" s="605" t="b">
        <v>1</v>
      </c>
      <c r="AL322" s="515"/>
      <c r="AM322" s="515"/>
      <c r="AN322" s="30" t="b">
        <f t="shared" si="26"/>
        <v>1</v>
      </c>
      <c r="AO322" s="17"/>
      <c r="AP322" s="9"/>
      <c r="AQ322" s="9"/>
      <c r="AR322" s="9"/>
    </row>
    <row r="323" spans="1:44" customFormat="1" ht="12" customHeight="1" outlineLevel="2" x14ac:dyDescent="0.35">
      <c r="A323" s="7"/>
      <c r="B323" s="8"/>
      <c r="C323" s="18"/>
      <c r="D323" s="18"/>
      <c r="E323" s="18"/>
      <c r="F323" s="24"/>
      <c r="G323" s="570"/>
      <c r="H323" s="25"/>
      <c r="I323" s="533" t="str">
        <f>General!G38</f>
        <v>bd</v>
      </c>
      <c r="J323" s="605"/>
      <c r="K323" s="605"/>
      <c r="L323" s="605"/>
      <c r="M323" s="605"/>
      <c r="N323" s="605"/>
      <c r="O323" s="605"/>
      <c r="P323" s="605"/>
      <c r="Q323" s="605"/>
      <c r="R323" s="605"/>
      <c r="S323" s="605"/>
      <c r="T323" s="605"/>
      <c r="U323" s="605"/>
      <c r="V323" s="605"/>
      <c r="W323" s="605"/>
      <c r="X323" s="605"/>
      <c r="Y323" s="605"/>
      <c r="Z323" s="605"/>
      <c r="AA323" s="605"/>
      <c r="AB323" s="605"/>
      <c r="AC323" s="605"/>
      <c r="AD323" s="605"/>
      <c r="AE323" s="605"/>
      <c r="AF323" s="605"/>
      <c r="AG323" s="605"/>
      <c r="AH323" s="605"/>
      <c r="AI323" s="605"/>
      <c r="AJ323" s="605"/>
      <c r="AK323" s="605" t="b">
        <v>1</v>
      </c>
      <c r="AL323" s="515"/>
      <c r="AM323" s="515"/>
      <c r="AN323" s="30" t="b">
        <f t="shared" si="26"/>
        <v>1</v>
      </c>
      <c r="AO323" s="17"/>
      <c r="AP323" s="9"/>
      <c r="AQ323" s="9"/>
      <c r="AR323" s="9"/>
    </row>
    <row r="324" spans="1:44" customFormat="1" ht="12" customHeight="1" outlineLevel="2" x14ac:dyDescent="0.35">
      <c r="A324" s="7"/>
      <c r="B324" s="8"/>
      <c r="C324" s="18"/>
      <c r="D324" s="18"/>
      <c r="E324" s="18"/>
      <c r="F324" s="24"/>
      <c r="G324" s="570"/>
      <c r="H324" s="25"/>
      <c r="I324" s="533" t="str">
        <f>General!G39</f>
        <v>f</v>
      </c>
      <c r="J324" s="605"/>
      <c r="K324" s="605"/>
      <c r="L324" s="605"/>
      <c r="M324" s="605"/>
      <c r="N324" s="605"/>
      <c r="O324" s="605"/>
      <c r="P324" s="605"/>
      <c r="Q324" s="605"/>
      <c r="R324" s="605"/>
      <c r="S324" s="605"/>
      <c r="T324" s="605"/>
      <c r="U324" s="605"/>
      <c r="V324" s="605"/>
      <c r="W324" s="605"/>
      <c r="X324" s="605"/>
      <c r="Y324" s="605"/>
      <c r="Z324" s="605"/>
      <c r="AA324" s="605"/>
      <c r="AB324" s="605"/>
      <c r="AC324" s="605"/>
      <c r="AD324" s="605"/>
      <c r="AE324" s="605" t="b">
        <v>1</v>
      </c>
      <c r="AF324" s="605" t="b">
        <v>1</v>
      </c>
      <c r="AG324" s="605"/>
      <c r="AH324" s="605"/>
      <c r="AI324" s="605"/>
      <c r="AJ324" s="605"/>
      <c r="AK324" s="605"/>
      <c r="AL324" s="515"/>
      <c r="AM324" s="515"/>
      <c r="AN324" s="30" t="b">
        <f t="shared" si="26"/>
        <v>1</v>
      </c>
      <c r="AO324" s="17"/>
      <c r="AP324" s="9"/>
      <c r="AQ324" s="9"/>
      <c r="AR324" s="9"/>
    </row>
    <row r="325" spans="1:44" customFormat="1" ht="12" customHeight="1" outlineLevel="2" x14ac:dyDescent="0.35">
      <c r="A325" s="7"/>
      <c r="B325" s="8"/>
      <c r="C325" s="18"/>
      <c r="D325" s="18"/>
      <c r="E325" s="18"/>
      <c r="F325" s="24"/>
      <c r="G325" s="570"/>
      <c r="H325" s="25"/>
      <c r="I325" s="533" t="str">
        <f>General!G40</f>
        <v>h</v>
      </c>
      <c r="J325" s="605"/>
      <c r="K325" s="605"/>
      <c r="L325" s="605"/>
      <c r="M325" s="605"/>
      <c r="N325" s="605"/>
      <c r="O325" s="605"/>
      <c r="P325" s="605"/>
      <c r="Q325" s="605"/>
      <c r="R325" s="605"/>
      <c r="S325" s="605"/>
      <c r="T325" s="605"/>
      <c r="U325" s="605"/>
      <c r="V325" s="605"/>
      <c r="W325" s="605"/>
      <c r="X325" s="605"/>
      <c r="Y325" s="605"/>
      <c r="Z325" s="605"/>
      <c r="AA325" s="605"/>
      <c r="AB325" s="605"/>
      <c r="AC325" s="605"/>
      <c r="AD325" s="605"/>
      <c r="AE325" s="605"/>
      <c r="AF325" s="605"/>
      <c r="AG325" s="605"/>
      <c r="AH325" s="605"/>
      <c r="AI325" s="605"/>
      <c r="AJ325" s="605"/>
      <c r="AK325" s="605" t="b">
        <v>1</v>
      </c>
      <c r="AL325" s="515"/>
      <c r="AM325" s="515"/>
      <c r="AN325" s="30" t="b">
        <f t="shared" si="26"/>
        <v>1</v>
      </c>
      <c r="AO325" s="17"/>
      <c r="AP325" s="9"/>
      <c r="AQ325" s="9"/>
      <c r="AR325" s="9"/>
    </row>
    <row r="326" spans="1:44" customFormat="1" ht="12" customHeight="1" outlineLevel="2" x14ac:dyDescent="0.35">
      <c r="A326" s="7"/>
      <c r="B326" s="8"/>
      <c r="C326" s="18"/>
      <c r="D326" s="18"/>
      <c r="E326" s="18"/>
      <c r="F326" s="24"/>
      <c r="G326" s="570"/>
      <c r="H326" s="25"/>
      <c r="I326" s="533" t="str">
        <f>General!G41</f>
        <v>i</v>
      </c>
      <c r="J326" s="605"/>
      <c r="K326" s="605"/>
      <c r="L326" s="605"/>
      <c r="M326" s="605"/>
      <c r="N326" s="605"/>
      <c r="O326" s="605"/>
      <c r="P326" s="605"/>
      <c r="Q326" s="605"/>
      <c r="R326" s="605"/>
      <c r="S326" s="605"/>
      <c r="T326" s="605"/>
      <c r="U326" s="605"/>
      <c r="V326" s="605"/>
      <c r="W326" s="605"/>
      <c r="X326" s="605"/>
      <c r="Y326" s="605"/>
      <c r="Z326" s="605"/>
      <c r="AA326" s="605"/>
      <c r="AB326" s="605"/>
      <c r="AC326" s="605"/>
      <c r="AD326" s="605"/>
      <c r="AE326" s="605" t="b">
        <v>1</v>
      </c>
      <c r="AF326" s="605" t="b">
        <v>1</v>
      </c>
      <c r="AG326" s="605"/>
      <c r="AH326" s="605"/>
      <c r="AI326" s="605"/>
      <c r="AJ326" s="605"/>
      <c r="AK326" s="605"/>
      <c r="AL326" s="515"/>
      <c r="AM326" s="515"/>
      <c r="AN326" s="30" t="b">
        <f t="shared" si="26"/>
        <v>1</v>
      </c>
      <c r="AO326" s="17"/>
      <c r="AP326" s="9"/>
      <c r="AQ326" s="9"/>
      <c r="AR326" s="9"/>
    </row>
    <row r="327" spans="1:44" customFormat="1" ht="12" customHeight="1" outlineLevel="2" x14ac:dyDescent="0.35">
      <c r="A327" s="7"/>
      <c r="B327" s="8"/>
      <c r="C327" s="18"/>
      <c r="D327" s="18"/>
      <c r="E327" s="18"/>
      <c r="F327" s="24"/>
      <c r="G327" s="570"/>
      <c r="H327" s="25"/>
      <c r="I327" s="533" t="str">
        <f>General!G42</f>
        <v>k</v>
      </c>
      <c r="J327" s="605"/>
      <c r="K327" s="605"/>
      <c r="L327" s="605"/>
      <c r="M327" s="605"/>
      <c r="N327" s="605"/>
      <c r="O327" s="605"/>
      <c r="P327" s="605"/>
      <c r="Q327" s="605"/>
      <c r="R327" s="605"/>
      <c r="S327" s="605"/>
      <c r="T327" s="605"/>
      <c r="U327" s="605"/>
      <c r="V327" s="605"/>
      <c r="W327" s="605"/>
      <c r="X327" s="605"/>
      <c r="Y327" s="605"/>
      <c r="Z327" s="605"/>
      <c r="AA327" s="605"/>
      <c r="AB327" s="605"/>
      <c r="AC327" s="605"/>
      <c r="AD327" s="605"/>
      <c r="AE327" s="605" t="b">
        <v>1</v>
      </c>
      <c r="AF327" s="605" t="b">
        <v>1</v>
      </c>
      <c r="AG327" s="605"/>
      <c r="AH327" s="605"/>
      <c r="AI327" s="605"/>
      <c r="AJ327" s="605"/>
      <c r="AK327" s="605"/>
      <c r="AL327" s="515"/>
      <c r="AM327" s="515"/>
      <c r="AN327" s="30" t="b">
        <f t="shared" si="26"/>
        <v>1</v>
      </c>
      <c r="AO327" s="17"/>
      <c r="AP327" s="9"/>
      <c r="AQ327" s="9"/>
      <c r="AR327" s="9"/>
    </row>
    <row r="328" spans="1:44" customFormat="1" ht="12" customHeight="1" outlineLevel="2" x14ac:dyDescent="0.35">
      <c r="A328" s="7"/>
      <c r="B328" s="8"/>
      <c r="C328" s="18"/>
      <c r="D328" s="18"/>
      <c r="E328" s="18"/>
      <c r="F328" s="24"/>
      <c r="G328" s="570"/>
      <c r="H328" s="25"/>
      <c r="I328" s="533" t="str">
        <f>General!G43</f>
        <v>l</v>
      </c>
      <c r="J328" s="605"/>
      <c r="K328" s="605"/>
      <c r="L328" s="605"/>
      <c r="M328" s="605"/>
      <c r="N328" s="605"/>
      <c r="O328" s="605"/>
      <c r="P328" s="605"/>
      <c r="Q328" s="605"/>
      <c r="R328" s="605"/>
      <c r="S328" s="605"/>
      <c r="T328" s="605"/>
      <c r="U328" s="605"/>
      <c r="V328" s="605"/>
      <c r="W328" s="605"/>
      <c r="X328" s="605"/>
      <c r="Y328" s="605"/>
      <c r="Z328" s="605"/>
      <c r="AA328" s="605"/>
      <c r="AB328" s="605"/>
      <c r="AC328" s="605"/>
      <c r="AD328" s="605"/>
      <c r="AE328" s="605" t="b">
        <v>1</v>
      </c>
      <c r="AF328" s="605" t="b">
        <v>1</v>
      </c>
      <c r="AG328" s="605"/>
      <c r="AH328" s="605"/>
      <c r="AI328" s="605"/>
      <c r="AJ328" s="605"/>
      <c r="AK328" s="605"/>
      <c r="AL328" s="515"/>
      <c r="AM328" s="515"/>
      <c r="AN328" s="30" t="b">
        <f t="shared" si="26"/>
        <v>1</v>
      </c>
      <c r="AO328" s="17"/>
      <c r="AP328" s="9"/>
      <c r="AQ328" s="9"/>
      <c r="AR328" s="9"/>
    </row>
    <row r="329" spans="1:44" customFormat="1" ht="12" customHeight="1" outlineLevel="2" x14ac:dyDescent="0.35">
      <c r="A329" s="7"/>
      <c r="B329" s="8"/>
      <c r="C329" s="18"/>
      <c r="D329" s="18"/>
      <c r="E329" s="18"/>
      <c r="F329" s="24"/>
      <c r="G329" s="570"/>
      <c r="H329" s="25"/>
      <c r="I329" s="533" t="str">
        <f>General!G44</f>
        <v>ms</v>
      </c>
      <c r="J329" s="605"/>
      <c r="K329" s="605"/>
      <c r="L329" s="605"/>
      <c r="M329" s="605"/>
      <c r="N329" s="605"/>
      <c r="O329" s="605"/>
      <c r="P329" s="605"/>
      <c r="Q329" s="605"/>
      <c r="R329" s="605"/>
      <c r="S329" s="605"/>
      <c r="T329" s="605"/>
      <c r="U329" s="605"/>
      <c r="V329" s="605"/>
      <c r="W329" s="605"/>
      <c r="X329" s="605"/>
      <c r="Y329" s="605"/>
      <c r="Z329" s="605"/>
      <c r="AA329" s="605"/>
      <c r="AB329" s="605"/>
      <c r="AC329" s="605"/>
      <c r="AD329" s="605"/>
      <c r="AE329" s="605" t="b">
        <v>1</v>
      </c>
      <c r="AF329" s="605" t="b">
        <v>1</v>
      </c>
      <c r="AG329" s="605"/>
      <c r="AH329" s="605"/>
      <c r="AI329" s="605"/>
      <c r="AJ329" s="605"/>
      <c r="AK329" s="605" t="b">
        <v>1</v>
      </c>
      <c r="AL329" s="515"/>
      <c r="AM329" s="515"/>
      <c r="AN329" s="30"/>
      <c r="AO329" s="17"/>
      <c r="AP329" s="9"/>
      <c r="AQ329" s="9"/>
      <c r="AR329" s="9"/>
    </row>
    <row r="330" spans="1:44" customFormat="1" ht="12" customHeight="1" outlineLevel="2" x14ac:dyDescent="0.35">
      <c r="A330" s="7"/>
      <c r="B330" s="8"/>
      <c r="C330" s="18"/>
      <c r="D330" s="18"/>
      <c r="E330" s="18"/>
      <c r="F330" s="24"/>
      <c r="G330" s="570"/>
      <c r="H330" s="608"/>
      <c r="I330" s="533" t="str">
        <f>General!G45</f>
        <v>o</v>
      </c>
      <c r="J330" s="605"/>
      <c r="K330" s="605"/>
      <c r="L330" s="605"/>
      <c r="M330" s="605"/>
      <c r="N330" s="605"/>
      <c r="O330" s="605"/>
      <c r="P330" s="605"/>
      <c r="Q330" s="605"/>
      <c r="R330" s="605"/>
      <c r="S330" s="605"/>
      <c r="T330" s="605"/>
      <c r="U330" s="605"/>
      <c r="V330" s="605"/>
      <c r="W330" s="605"/>
      <c r="X330" s="605"/>
      <c r="Y330" s="605"/>
      <c r="Z330" s="605"/>
      <c r="AA330" s="605"/>
      <c r="AB330" s="605"/>
      <c r="AC330" s="605"/>
      <c r="AD330" s="605"/>
      <c r="AE330" s="605"/>
      <c r="AF330" s="605"/>
      <c r="AG330" s="605"/>
      <c r="AH330" s="605"/>
      <c r="AI330" s="605"/>
      <c r="AJ330" s="605"/>
      <c r="AK330" s="605" t="b">
        <v>1</v>
      </c>
      <c r="AL330" s="515"/>
      <c r="AM330" s="515"/>
      <c r="AN330" s="30" t="b">
        <f t="shared" si="26"/>
        <v>1</v>
      </c>
      <c r="AO330" s="17"/>
      <c r="AP330" s="9"/>
      <c r="AQ330" s="9"/>
      <c r="AR330" s="9"/>
    </row>
    <row r="331" spans="1:44" customFormat="1" ht="12" customHeight="1" outlineLevel="2" x14ac:dyDescent="0.35">
      <c r="A331" s="7"/>
      <c r="B331" s="8"/>
      <c r="C331" s="18"/>
      <c r="D331" s="18"/>
      <c r="E331" s="18"/>
      <c r="F331" s="24"/>
      <c r="G331" s="570"/>
      <c r="H331" s="25"/>
      <c r="I331" s="533" t="str">
        <f>General!G46</f>
        <v>od</v>
      </c>
      <c r="J331" s="605"/>
      <c r="K331" s="605"/>
      <c r="L331" s="605"/>
      <c r="M331" s="605"/>
      <c r="N331" s="605"/>
      <c r="O331" s="605"/>
      <c r="P331" s="605"/>
      <c r="Q331" s="605"/>
      <c r="R331" s="605"/>
      <c r="S331" s="605"/>
      <c r="T331" s="605"/>
      <c r="U331" s="605"/>
      <c r="V331" s="605"/>
      <c r="W331" s="605"/>
      <c r="X331" s="605"/>
      <c r="Y331" s="605"/>
      <c r="Z331" s="605"/>
      <c r="AA331" s="605"/>
      <c r="AB331" s="605"/>
      <c r="AC331" s="605"/>
      <c r="AD331" s="605"/>
      <c r="AE331" s="605"/>
      <c r="AF331" s="605"/>
      <c r="AG331" s="605"/>
      <c r="AH331" s="605"/>
      <c r="AI331" s="605"/>
      <c r="AJ331" s="605"/>
      <c r="AK331" s="605" t="b">
        <v>1</v>
      </c>
      <c r="AL331" s="515"/>
      <c r="AM331" s="515"/>
      <c r="AN331" s="30" t="b">
        <f t="shared" si="26"/>
        <v>1</v>
      </c>
      <c r="AO331" s="17"/>
      <c r="AP331" s="9"/>
      <c r="AQ331" s="9"/>
      <c r="AR331" s="9"/>
    </row>
    <row r="332" spans="1:44" customFormat="1" ht="12" customHeight="1" outlineLevel="2" x14ac:dyDescent="0.35">
      <c r="A332" s="7"/>
      <c r="B332" s="8"/>
      <c r="C332" s="18"/>
      <c r="D332" s="18"/>
      <c r="E332" s="18"/>
      <c r="F332" s="24"/>
      <c r="G332" s="570"/>
      <c r="H332" s="25"/>
      <c r="I332" s="533" t="str">
        <f>General!G47</f>
        <v>of</v>
      </c>
      <c r="J332" s="605"/>
      <c r="K332" s="605"/>
      <c r="L332" s="605"/>
      <c r="M332" s="605"/>
      <c r="N332" s="605"/>
      <c r="O332" s="605"/>
      <c r="P332" s="605"/>
      <c r="Q332" s="605"/>
      <c r="R332" s="605"/>
      <c r="S332" s="605"/>
      <c r="T332" s="605"/>
      <c r="U332" s="605"/>
      <c r="V332" s="605"/>
      <c r="W332" s="605"/>
      <c r="X332" s="605"/>
      <c r="Y332" s="605"/>
      <c r="Z332" s="605"/>
      <c r="AA332" s="605"/>
      <c r="AB332" s="605"/>
      <c r="AC332" s="605"/>
      <c r="AD332" s="605"/>
      <c r="AE332" s="605"/>
      <c r="AF332" s="605"/>
      <c r="AG332" s="605"/>
      <c r="AH332" s="605"/>
      <c r="AI332" s="605"/>
      <c r="AJ332" s="605"/>
      <c r="AK332" s="605" t="b">
        <v>1</v>
      </c>
      <c r="AL332" s="515"/>
      <c r="AM332" s="515"/>
      <c r="AN332" s="30" t="b">
        <f t="shared" si="26"/>
        <v>1</v>
      </c>
      <c r="AO332" s="17"/>
      <c r="AP332" s="9"/>
      <c r="AQ332" s="9"/>
      <c r="AR332" s="9"/>
    </row>
    <row r="333" spans="1:44" customFormat="1" ht="12" customHeight="1" outlineLevel="2" x14ac:dyDescent="0.35">
      <c r="A333" s="7"/>
      <c r="B333" s="8"/>
      <c r="C333" s="18"/>
      <c r="D333" s="18"/>
      <c r="E333" s="18"/>
      <c r="F333" s="24"/>
      <c r="G333" s="570"/>
      <c r="H333" s="25"/>
      <c r="I333" s="533" t="str">
        <f>General!G48</f>
        <v>r</v>
      </c>
      <c r="J333" s="605"/>
      <c r="K333" s="605"/>
      <c r="L333" s="605"/>
      <c r="M333" s="605"/>
      <c r="N333" s="605"/>
      <c r="O333" s="605"/>
      <c r="P333" s="605"/>
      <c r="Q333" s="605"/>
      <c r="R333" s="605"/>
      <c r="S333" s="605"/>
      <c r="T333" s="605"/>
      <c r="U333" s="605"/>
      <c r="V333" s="605"/>
      <c r="W333" s="605"/>
      <c r="X333" s="605"/>
      <c r="Y333" s="605"/>
      <c r="Z333" s="605"/>
      <c r="AA333" s="605"/>
      <c r="AB333" s="605"/>
      <c r="AC333" s="605"/>
      <c r="AD333" s="605"/>
      <c r="AE333" s="605"/>
      <c r="AF333" s="605"/>
      <c r="AG333" s="605"/>
      <c r="AH333" s="605"/>
      <c r="AI333" s="605"/>
      <c r="AJ333" s="605"/>
      <c r="AK333" s="605" t="b">
        <v>1</v>
      </c>
      <c r="AL333" s="515"/>
      <c r="AM333" s="515"/>
      <c r="AN333" s="30" t="b">
        <f t="shared" si="26"/>
        <v>1</v>
      </c>
      <c r="AO333" s="17"/>
      <c r="AP333" s="9"/>
      <c r="AQ333" s="9"/>
      <c r="AR333" s="9"/>
    </row>
    <row r="334" spans="1:44" customFormat="1" ht="12" customHeight="1" outlineLevel="2" x14ac:dyDescent="0.35">
      <c r="A334" s="7"/>
      <c r="B334" s="8"/>
      <c r="C334" s="18"/>
      <c r="D334" s="18"/>
      <c r="E334" s="18"/>
      <c r="F334" s="24"/>
      <c r="G334" s="570"/>
      <c r="H334" s="25"/>
      <c r="I334" s="533" t="str">
        <f>General!G49</f>
        <v>rd</v>
      </c>
      <c r="J334" s="605"/>
      <c r="K334" s="605"/>
      <c r="L334" s="605"/>
      <c r="M334" s="605"/>
      <c r="N334" s="605"/>
      <c r="O334" s="605"/>
      <c r="P334" s="605"/>
      <c r="Q334" s="605"/>
      <c r="R334" s="605"/>
      <c r="S334" s="605"/>
      <c r="T334" s="605"/>
      <c r="U334" s="605"/>
      <c r="V334" s="605"/>
      <c r="W334" s="605"/>
      <c r="X334" s="605"/>
      <c r="Y334" s="605"/>
      <c r="Z334" s="605"/>
      <c r="AA334" s="605"/>
      <c r="AB334" s="605"/>
      <c r="AC334" s="605"/>
      <c r="AD334" s="605"/>
      <c r="AE334" s="605"/>
      <c r="AF334" s="605"/>
      <c r="AG334" s="605"/>
      <c r="AH334" s="605"/>
      <c r="AI334" s="605"/>
      <c r="AJ334" s="605"/>
      <c r="AK334" s="605" t="b">
        <v>1</v>
      </c>
      <c r="AL334" s="515"/>
      <c r="AM334" s="515"/>
      <c r="AN334" s="30" t="b">
        <f t="shared" si="26"/>
        <v>1</v>
      </c>
      <c r="AO334" s="17"/>
      <c r="AP334" s="9"/>
      <c r="AQ334" s="9"/>
      <c r="AR334" s="9"/>
    </row>
    <row r="335" spans="1:44" customFormat="1" ht="12" customHeight="1" outlineLevel="2" x14ac:dyDescent="0.35">
      <c r="A335" s="7"/>
      <c r="B335" s="8"/>
      <c r="C335" s="18"/>
      <c r="D335" s="18"/>
      <c r="E335" s="18"/>
      <c r="F335" s="24"/>
      <c r="G335" s="570"/>
      <c r="H335" s="25"/>
      <c r="I335" s="533" t="str">
        <f>General!G50</f>
        <v>v</v>
      </c>
      <c r="J335" s="605"/>
      <c r="K335" s="605"/>
      <c r="L335" s="605"/>
      <c r="M335" s="605"/>
      <c r="N335" s="605"/>
      <c r="O335" s="605"/>
      <c r="P335" s="605"/>
      <c r="Q335" s="605"/>
      <c r="R335" s="605"/>
      <c r="S335" s="605"/>
      <c r="T335" s="605"/>
      <c r="U335" s="605"/>
      <c r="V335" s="605"/>
      <c r="W335" s="605"/>
      <c r="X335" s="605"/>
      <c r="Y335" s="605"/>
      <c r="Z335" s="605"/>
      <c r="AA335" s="605"/>
      <c r="AB335" s="605"/>
      <c r="AC335" s="605"/>
      <c r="AD335" s="605"/>
      <c r="AE335" s="605" t="b">
        <v>1</v>
      </c>
      <c r="AF335" s="605" t="b">
        <v>1</v>
      </c>
      <c r="AG335" s="605"/>
      <c r="AH335" s="605"/>
      <c r="AI335" s="605"/>
      <c r="AJ335" s="605"/>
      <c r="AK335" s="605"/>
      <c r="AL335" s="515"/>
      <c r="AM335" s="515"/>
      <c r="AN335" s="30" t="b">
        <f t="shared" si="26"/>
        <v>1</v>
      </c>
      <c r="AO335" s="17"/>
      <c r="AP335" s="9"/>
      <c r="AQ335" s="9"/>
      <c r="AR335" s="9"/>
    </row>
    <row r="336" spans="1:44" customFormat="1" ht="12" customHeight="1" outlineLevel="2" x14ac:dyDescent="0.35">
      <c r="A336" s="7"/>
      <c r="B336" s="8"/>
      <c r="C336" s="18"/>
      <c r="D336" s="18"/>
      <c r="E336" s="18"/>
      <c r="F336" s="24"/>
      <c r="G336" s="570"/>
      <c r="H336" s="25"/>
      <c r="I336" s="533" t="str">
        <f>General!G51</f>
        <v>w</v>
      </c>
      <c r="J336" s="605"/>
      <c r="K336" s="605"/>
      <c r="L336" s="605"/>
      <c r="M336" s="605"/>
      <c r="N336" s="605"/>
      <c r="O336" s="605"/>
      <c r="P336" s="605"/>
      <c r="Q336" s="605"/>
      <c r="R336" s="605"/>
      <c r="S336" s="605"/>
      <c r="T336" s="605"/>
      <c r="U336" s="605"/>
      <c r="V336" s="605"/>
      <c r="W336" s="605"/>
      <c r="X336" s="605"/>
      <c r="Y336" s="605"/>
      <c r="Z336" s="605"/>
      <c r="AA336" s="605"/>
      <c r="AB336" s="605"/>
      <c r="AC336" s="605"/>
      <c r="AD336" s="605"/>
      <c r="AE336" s="605"/>
      <c r="AF336" s="605"/>
      <c r="AG336" s="605"/>
      <c r="AH336" s="605"/>
      <c r="AI336" s="605"/>
      <c r="AJ336" s="605"/>
      <c r="AK336" s="605" t="b">
        <v>1</v>
      </c>
      <c r="AL336" s="515"/>
      <c r="AM336" s="515"/>
      <c r="AN336" s="30" t="b">
        <f t="shared" si="26"/>
        <v>1</v>
      </c>
      <c r="AO336" s="17"/>
      <c r="AP336" s="9"/>
      <c r="AQ336" s="9"/>
      <c r="AR336" s="9"/>
    </row>
    <row r="337" spans="1:44" customFormat="1" outlineLevel="2" x14ac:dyDescent="0.35">
      <c r="A337" s="7"/>
      <c r="B337" s="8"/>
      <c r="C337" s="18"/>
      <c r="D337" s="18"/>
      <c r="E337" s="18"/>
      <c r="F337" s="24"/>
      <c r="G337" s="570"/>
      <c r="H337" s="25"/>
      <c r="I337" s="533" t="str">
        <f>General!G52</f>
        <v>wd</v>
      </c>
      <c r="J337" s="605"/>
      <c r="K337" s="605"/>
      <c r="L337" s="605"/>
      <c r="M337" s="605"/>
      <c r="N337" s="605"/>
      <c r="O337" s="605"/>
      <c r="P337" s="605"/>
      <c r="Q337" s="605"/>
      <c r="R337" s="605"/>
      <c r="S337" s="605"/>
      <c r="T337" s="605"/>
      <c r="U337" s="605"/>
      <c r="V337" s="605"/>
      <c r="W337" s="605"/>
      <c r="X337" s="605"/>
      <c r="Y337" s="605"/>
      <c r="Z337" s="605"/>
      <c r="AA337" s="605"/>
      <c r="AB337" s="605"/>
      <c r="AC337" s="605"/>
      <c r="AD337" s="605"/>
      <c r="AE337" s="605"/>
      <c r="AF337" s="605"/>
      <c r="AG337" s="605"/>
      <c r="AH337" s="605"/>
      <c r="AI337" s="605"/>
      <c r="AJ337" s="605"/>
      <c r="AK337" s="605" t="b">
        <v>1</v>
      </c>
      <c r="AL337" s="515"/>
      <c r="AM337" s="515"/>
      <c r="AN337" s="30" t="b">
        <f t="shared" si="26"/>
        <v>1</v>
      </c>
      <c r="AO337" s="17"/>
      <c r="AP337" s="9"/>
      <c r="AQ337" s="9"/>
      <c r="AR337" s="9"/>
    </row>
    <row r="338" spans="1:44" customFormat="1" outlineLevel="2" x14ac:dyDescent="0.35">
      <c r="A338" s="7"/>
      <c r="B338" s="8"/>
      <c r="C338" s="18"/>
      <c r="D338" s="18"/>
      <c r="E338" s="18"/>
      <c r="F338" s="24"/>
      <c r="G338" s="570"/>
      <c r="H338" s="24"/>
      <c r="I338" s="533" t="str">
        <f>General!G53</f>
        <v>z</v>
      </c>
      <c r="J338" s="605"/>
      <c r="K338" s="605"/>
      <c r="L338" s="605"/>
      <c r="M338" s="605"/>
      <c r="N338" s="605"/>
      <c r="O338" s="605"/>
      <c r="P338" s="605"/>
      <c r="Q338" s="605"/>
      <c r="R338" s="605"/>
      <c r="S338" s="605"/>
      <c r="T338" s="605"/>
      <c r="U338" s="605"/>
      <c r="V338" s="605"/>
      <c r="W338" s="605"/>
      <c r="X338" s="605"/>
      <c r="Y338" s="605"/>
      <c r="Z338" s="605"/>
      <c r="AA338" s="605"/>
      <c r="AB338" s="605"/>
      <c r="AC338" s="605"/>
      <c r="AD338" s="605"/>
      <c r="AE338" s="605"/>
      <c r="AF338" s="605"/>
      <c r="AG338" s="605"/>
      <c r="AH338" s="605"/>
      <c r="AI338" s="605"/>
      <c r="AJ338" s="605"/>
      <c r="AK338" s="605" t="b">
        <v>1</v>
      </c>
      <c r="AL338" s="515"/>
      <c r="AM338" s="515"/>
      <c r="AN338" s="30" t="b">
        <f t="shared" si="26"/>
        <v>1</v>
      </c>
      <c r="AO338" s="17"/>
      <c r="AP338" s="9"/>
      <c r="AQ338" s="9"/>
      <c r="AR338" s="9"/>
    </row>
    <row r="339" spans="1:44" customFormat="1" outlineLevel="2" x14ac:dyDescent="0.35">
      <c r="A339" s="7"/>
      <c r="B339" s="8"/>
      <c r="C339" s="18"/>
      <c r="D339" s="18"/>
      <c r="E339" s="18"/>
      <c r="F339" s="24"/>
      <c r="G339" s="570"/>
      <c r="H339" s="24"/>
      <c r="I339" s="533" t="str">
        <f>General!G54</f>
        <v>zd</v>
      </c>
      <c r="J339" s="605"/>
      <c r="K339" s="605"/>
      <c r="L339" s="605"/>
      <c r="M339" s="605"/>
      <c r="N339" s="605"/>
      <c r="O339" s="605"/>
      <c r="P339" s="605"/>
      <c r="Q339" s="605"/>
      <c r="R339" s="605"/>
      <c r="S339" s="605"/>
      <c r="T339" s="605"/>
      <c r="U339" s="605"/>
      <c r="V339" s="605"/>
      <c r="W339" s="605"/>
      <c r="X339" s="605"/>
      <c r="Y339" s="605"/>
      <c r="Z339" s="605"/>
      <c r="AA339" s="605"/>
      <c r="AB339" s="605"/>
      <c r="AC339" s="605"/>
      <c r="AD339" s="605"/>
      <c r="AE339" s="605"/>
      <c r="AF339" s="605"/>
      <c r="AG339" s="605"/>
      <c r="AH339" s="605"/>
      <c r="AI339" s="605"/>
      <c r="AJ339" s="605"/>
      <c r="AK339" s="605" t="b">
        <v>1</v>
      </c>
      <c r="AL339" s="515"/>
      <c r="AM339" s="515"/>
      <c r="AN339" s="30" t="b">
        <f t="shared" si="26"/>
        <v>1</v>
      </c>
      <c r="AO339" s="17"/>
      <c r="AP339" s="9"/>
      <c r="AQ339" s="9"/>
      <c r="AR339" s="9"/>
    </row>
    <row r="340" spans="1:44" customFormat="1" ht="12" customHeight="1" outlineLevel="1" x14ac:dyDescent="0.35">
      <c r="A340" s="7"/>
      <c r="B340" s="8"/>
      <c r="C340" s="18">
        <v>2</v>
      </c>
      <c r="D340" s="18"/>
      <c r="E340" s="18"/>
      <c r="F340" s="24"/>
      <c r="G340" s="570"/>
      <c r="H340" s="25" t="s">
        <v>2344</v>
      </c>
      <c r="I340" s="533" t="str">
        <f>General!G37</f>
        <v>b</v>
      </c>
      <c r="J340" s="609" t="str">
        <f t="shared" ref="J340:J347" si="27">IF(ISBLANK(J304),"",J304)</f>
        <v/>
      </c>
      <c r="K340" s="609" t="str">
        <f t="shared" ref="K340:AK340" si="28">IF(ISBLANK(K304),"",K304)</f>
        <v/>
      </c>
      <c r="L340" s="609" t="str">
        <f t="shared" si="28"/>
        <v/>
      </c>
      <c r="M340" s="609" t="str">
        <f t="shared" si="28"/>
        <v/>
      </c>
      <c r="N340" s="609" t="str">
        <f t="shared" si="28"/>
        <v/>
      </c>
      <c r="O340" s="609" t="str">
        <f t="shared" si="28"/>
        <v/>
      </c>
      <c r="P340" s="609" t="str">
        <f t="shared" si="28"/>
        <v/>
      </c>
      <c r="Q340" s="609" t="str">
        <f t="shared" si="28"/>
        <v/>
      </c>
      <c r="R340" s="609" t="str">
        <f t="shared" si="28"/>
        <v/>
      </c>
      <c r="S340" s="609" t="b">
        <f t="shared" si="28"/>
        <v>1</v>
      </c>
      <c r="T340" s="609" t="str">
        <f t="shared" si="28"/>
        <v/>
      </c>
      <c r="U340" s="609" t="str">
        <f t="shared" si="28"/>
        <v/>
      </c>
      <c r="V340" s="609" t="str">
        <f t="shared" si="28"/>
        <v/>
      </c>
      <c r="W340" s="609" t="str">
        <f t="shared" si="28"/>
        <v/>
      </c>
      <c r="X340" s="609" t="str">
        <f t="shared" si="28"/>
        <v/>
      </c>
      <c r="Y340" s="609" t="str">
        <f t="shared" si="28"/>
        <v/>
      </c>
      <c r="Z340" s="609" t="str">
        <f t="shared" si="28"/>
        <v/>
      </c>
      <c r="AA340" s="609" t="str">
        <f t="shared" si="28"/>
        <v/>
      </c>
      <c r="AB340" s="609" t="str">
        <f t="shared" si="28"/>
        <v/>
      </c>
      <c r="AC340" s="609" t="str">
        <f t="shared" si="28"/>
        <v/>
      </c>
      <c r="AD340" s="609" t="str">
        <f t="shared" si="28"/>
        <v/>
      </c>
      <c r="AE340" s="609" t="str">
        <f t="shared" si="28"/>
        <v/>
      </c>
      <c r="AF340" s="609" t="str">
        <f t="shared" si="28"/>
        <v/>
      </c>
      <c r="AG340" s="609" t="str">
        <f t="shared" si="28"/>
        <v/>
      </c>
      <c r="AH340" s="609" t="str">
        <f t="shared" si="28"/>
        <v/>
      </c>
      <c r="AI340" s="609" t="str">
        <f t="shared" si="28"/>
        <v/>
      </c>
      <c r="AJ340" s="609" t="str">
        <f t="shared" si="28"/>
        <v/>
      </c>
      <c r="AK340" s="609" t="str">
        <f t="shared" si="28"/>
        <v/>
      </c>
      <c r="AL340" s="515"/>
      <c r="AM340" s="515"/>
      <c r="AN340" s="30" t="b">
        <f t="shared" si="26"/>
        <v>1</v>
      </c>
      <c r="AO340" s="17"/>
      <c r="AP340" s="9"/>
      <c r="AQ340" s="9"/>
      <c r="AR340" s="9"/>
    </row>
    <row r="341" spans="1:44" customFormat="1" ht="12" customHeight="1" outlineLevel="2" x14ac:dyDescent="0.35">
      <c r="A341" s="7"/>
      <c r="B341" s="8"/>
      <c r="C341" s="18"/>
      <c r="D341" s="18"/>
      <c r="E341" s="18"/>
      <c r="F341" s="24"/>
      <c r="G341" s="570"/>
      <c r="H341" s="25"/>
      <c r="I341" s="533" t="str">
        <f>General!G38</f>
        <v>bd</v>
      </c>
      <c r="J341" s="609" t="str">
        <f t="shared" si="27"/>
        <v/>
      </c>
      <c r="K341" s="609" t="str">
        <f t="shared" ref="K341:AK341" si="29">IF(ISBLANK(K305),"",K305)</f>
        <v/>
      </c>
      <c r="L341" s="609" t="str">
        <f t="shared" si="29"/>
        <v/>
      </c>
      <c r="M341" s="609" t="str">
        <f t="shared" si="29"/>
        <v/>
      </c>
      <c r="N341" s="609" t="str">
        <f t="shared" si="29"/>
        <v/>
      </c>
      <c r="O341" s="609" t="str">
        <f t="shared" si="29"/>
        <v/>
      </c>
      <c r="P341" s="609" t="str">
        <f t="shared" si="29"/>
        <v/>
      </c>
      <c r="Q341" s="609" t="str">
        <f t="shared" si="29"/>
        <v/>
      </c>
      <c r="R341" s="609" t="str">
        <f t="shared" si="29"/>
        <v/>
      </c>
      <c r="S341" s="609" t="b">
        <f t="shared" si="29"/>
        <v>1</v>
      </c>
      <c r="T341" s="609" t="str">
        <f t="shared" si="29"/>
        <v/>
      </c>
      <c r="U341" s="609" t="str">
        <f t="shared" si="29"/>
        <v/>
      </c>
      <c r="V341" s="609" t="str">
        <f t="shared" si="29"/>
        <v/>
      </c>
      <c r="W341" s="609" t="str">
        <f t="shared" si="29"/>
        <v/>
      </c>
      <c r="X341" s="609" t="str">
        <f t="shared" si="29"/>
        <v/>
      </c>
      <c r="Y341" s="609" t="str">
        <f t="shared" si="29"/>
        <v/>
      </c>
      <c r="Z341" s="609" t="str">
        <f t="shared" si="29"/>
        <v/>
      </c>
      <c r="AA341" s="609" t="str">
        <f t="shared" si="29"/>
        <v/>
      </c>
      <c r="AB341" s="609" t="str">
        <f t="shared" si="29"/>
        <v/>
      </c>
      <c r="AC341" s="609" t="str">
        <f t="shared" si="29"/>
        <v/>
      </c>
      <c r="AD341" s="609" t="str">
        <f t="shared" si="29"/>
        <v/>
      </c>
      <c r="AE341" s="609" t="str">
        <f t="shared" si="29"/>
        <v/>
      </c>
      <c r="AF341" s="609" t="str">
        <f t="shared" si="29"/>
        <v/>
      </c>
      <c r="AG341" s="609" t="str">
        <f t="shared" si="29"/>
        <v/>
      </c>
      <c r="AH341" s="609" t="str">
        <f t="shared" si="29"/>
        <v/>
      </c>
      <c r="AI341" s="609" t="str">
        <f t="shared" si="29"/>
        <v/>
      </c>
      <c r="AJ341" s="609" t="str">
        <f t="shared" si="29"/>
        <v/>
      </c>
      <c r="AK341" s="609" t="str">
        <f t="shared" si="29"/>
        <v/>
      </c>
      <c r="AL341" s="515"/>
      <c r="AM341" s="515"/>
      <c r="AN341" s="30" t="b">
        <f t="shared" si="26"/>
        <v>1</v>
      </c>
      <c r="AO341" s="17"/>
      <c r="AP341" s="9"/>
      <c r="AQ341" s="9"/>
      <c r="AR341" s="9"/>
    </row>
    <row r="342" spans="1:44" customFormat="1" ht="12" customHeight="1" outlineLevel="2" x14ac:dyDescent="0.35">
      <c r="A342" s="7"/>
      <c r="B342" s="8"/>
      <c r="C342" s="18"/>
      <c r="D342" s="18"/>
      <c r="E342" s="18"/>
      <c r="F342" s="24"/>
      <c r="G342" s="570"/>
      <c r="H342" s="25"/>
      <c r="I342" s="533" t="str">
        <f>General!G39</f>
        <v>f</v>
      </c>
      <c r="J342" s="609" t="str">
        <f t="shared" si="27"/>
        <v/>
      </c>
      <c r="K342" s="609" t="str">
        <f t="shared" ref="K342:AK342" si="30">IF(ISBLANK(K306),"",K306)</f>
        <v/>
      </c>
      <c r="L342" s="609" t="str">
        <f t="shared" si="30"/>
        <v/>
      </c>
      <c r="M342" s="609" t="str">
        <f t="shared" si="30"/>
        <v/>
      </c>
      <c r="N342" s="609" t="str">
        <f t="shared" si="30"/>
        <v/>
      </c>
      <c r="O342" s="609" t="str">
        <f t="shared" si="30"/>
        <v/>
      </c>
      <c r="P342" s="609" t="str">
        <f t="shared" si="30"/>
        <v/>
      </c>
      <c r="Q342" s="609" t="str">
        <f t="shared" si="30"/>
        <v/>
      </c>
      <c r="R342" s="609" t="str">
        <f t="shared" si="30"/>
        <v/>
      </c>
      <c r="S342" s="609" t="str">
        <f t="shared" si="30"/>
        <v/>
      </c>
      <c r="T342" s="609" t="str">
        <f t="shared" si="30"/>
        <v/>
      </c>
      <c r="U342" s="609" t="str">
        <f t="shared" si="30"/>
        <v/>
      </c>
      <c r="V342" s="609" t="str">
        <f t="shared" si="30"/>
        <v/>
      </c>
      <c r="W342" s="609" t="str">
        <f t="shared" si="30"/>
        <v/>
      </c>
      <c r="X342" s="609" t="str">
        <f t="shared" si="30"/>
        <v/>
      </c>
      <c r="Y342" s="609" t="str">
        <f t="shared" si="30"/>
        <v/>
      </c>
      <c r="Z342" s="609" t="str">
        <f t="shared" si="30"/>
        <v/>
      </c>
      <c r="AA342" s="609" t="str">
        <f t="shared" si="30"/>
        <v/>
      </c>
      <c r="AB342" s="609" t="str">
        <f t="shared" si="30"/>
        <v/>
      </c>
      <c r="AC342" s="609" t="str">
        <f t="shared" si="30"/>
        <v/>
      </c>
      <c r="AD342" s="609" t="str">
        <f t="shared" si="30"/>
        <v/>
      </c>
      <c r="AE342" s="609" t="str">
        <f t="shared" si="30"/>
        <v/>
      </c>
      <c r="AF342" s="609" t="str">
        <f t="shared" si="30"/>
        <v/>
      </c>
      <c r="AG342" s="609" t="str">
        <f t="shared" si="30"/>
        <v/>
      </c>
      <c r="AH342" s="609" t="str">
        <f t="shared" si="30"/>
        <v/>
      </c>
      <c r="AI342" s="609" t="str">
        <f t="shared" si="30"/>
        <v/>
      </c>
      <c r="AJ342" s="609" t="b">
        <f t="shared" si="30"/>
        <v>1</v>
      </c>
      <c r="AK342" s="609" t="str">
        <f t="shared" si="30"/>
        <v/>
      </c>
      <c r="AL342" s="515"/>
      <c r="AM342" s="515"/>
      <c r="AN342" s="30" t="b">
        <f t="shared" si="26"/>
        <v>1</v>
      </c>
      <c r="AO342" s="17"/>
      <c r="AP342" s="9"/>
      <c r="AQ342" s="9"/>
      <c r="AR342" s="9"/>
    </row>
    <row r="343" spans="1:44" customFormat="1" ht="12" customHeight="1" outlineLevel="2" x14ac:dyDescent="0.35">
      <c r="A343" s="7"/>
      <c r="B343" s="8"/>
      <c r="C343" s="18"/>
      <c r="D343" s="18"/>
      <c r="E343" s="18"/>
      <c r="F343" s="24"/>
      <c r="G343" s="570"/>
      <c r="H343" s="25"/>
      <c r="I343" s="533" t="str">
        <f>General!G40</f>
        <v>h</v>
      </c>
      <c r="J343" s="609" t="str">
        <f t="shared" si="27"/>
        <v/>
      </c>
      <c r="K343" s="609" t="str">
        <f t="shared" ref="K343:AK343" si="31">IF(ISBLANK(K307),"",K307)</f>
        <v/>
      </c>
      <c r="L343" s="609" t="str">
        <f t="shared" si="31"/>
        <v/>
      </c>
      <c r="M343" s="609" t="str">
        <f t="shared" si="31"/>
        <v/>
      </c>
      <c r="N343" s="609" t="str">
        <f t="shared" si="31"/>
        <v/>
      </c>
      <c r="O343" s="609" t="str">
        <f t="shared" si="31"/>
        <v/>
      </c>
      <c r="P343" s="609" t="str">
        <f t="shared" si="31"/>
        <v/>
      </c>
      <c r="Q343" s="609" t="str">
        <f t="shared" si="31"/>
        <v/>
      </c>
      <c r="R343" s="609" t="str">
        <f t="shared" si="31"/>
        <v/>
      </c>
      <c r="S343" s="609" t="b">
        <f t="shared" si="31"/>
        <v>1</v>
      </c>
      <c r="T343" s="609" t="str">
        <f t="shared" si="31"/>
        <v/>
      </c>
      <c r="U343" s="609" t="str">
        <f t="shared" si="31"/>
        <v/>
      </c>
      <c r="V343" s="609" t="str">
        <f t="shared" si="31"/>
        <v/>
      </c>
      <c r="W343" s="609" t="b">
        <f t="shared" si="31"/>
        <v>1</v>
      </c>
      <c r="X343" s="609" t="str">
        <f t="shared" si="31"/>
        <v/>
      </c>
      <c r="Y343" s="609" t="str">
        <f t="shared" si="31"/>
        <v/>
      </c>
      <c r="Z343" s="609" t="str">
        <f t="shared" si="31"/>
        <v/>
      </c>
      <c r="AA343" s="609" t="b">
        <f t="shared" si="31"/>
        <v>1</v>
      </c>
      <c r="AB343" s="609" t="str">
        <f t="shared" si="31"/>
        <v/>
      </c>
      <c r="AC343" s="609" t="b">
        <f t="shared" si="31"/>
        <v>1</v>
      </c>
      <c r="AD343" s="609" t="str">
        <f t="shared" si="31"/>
        <v/>
      </c>
      <c r="AE343" s="609" t="str">
        <f t="shared" si="31"/>
        <v/>
      </c>
      <c r="AF343" s="609" t="str">
        <f t="shared" si="31"/>
        <v/>
      </c>
      <c r="AG343" s="609" t="str">
        <f t="shared" si="31"/>
        <v/>
      </c>
      <c r="AH343" s="609" t="str">
        <f t="shared" si="31"/>
        <v/>
      </c>
      <c r="AI343" s="609" t="str">
        <f t="shared" si="31"/>
        <v/>
      </c>
      <c r="AJ343" s="609" t="str">
        <f t="shared" si="31"/>
        <v/>
      </c>
      <c r="AK343" s="609" t="str">
        <f t="shared" si="31"/>
        <v/>
      </c>
      <c r="AL343" s="515"/>
      <c r="AM343" s="515"/>
      <c r="AN343" s="30" t="b">
        <f t="shared" si="26"/>
        <v>1</v>
      </c>
      <c r="AO343" s="17"/>
      <c r="AP343" s="9"/>
      <c r="AQ343" s="9"/>
      <c r="AR343" s="9"/>
    </row>
    <row r="344" spans="1:44" customFormat="1" ht="12" customHeight="1" outlineLevel="2" x14ac:dyDescent="0.35">
      <c r="A344" s="7"/>
      <c r="B344" s="8"/>
      <c r="C344" s="18"/>
      <c r="D344" s="18"/>
      <c r="E344" s="18"/>
      <c r="F344" s="24"/>
      <c r="G344" s="570"/>
      <c r="H344" s="25"/>
      <c r="I344" s="533" t="str">
        <f>General!G41</f>
        <v>i</v>
      </c>
      <c r="J344" s="609" t="str">
        <f t="shared" si="27"/>
        <v/>
      </c>
      <c r="K344" s="609" t="str">
        <f t="shared" ref="K344:AK344" si="32">IF(ISBLANK(K308),"",K308)</f>
        <v/>
      </c>
      <c r="L344" s="609" t="str">
        <f t="shared" si="32"/>
        <v/>
      </c>
      <c r="M344" s="609" t="str">
        <f t="shared" si="32"/>
        <v/>
      </c>
      <c r="N344" s="609" t="str">
        <f t="shared" si="32"/>
        <v/>
      </c>
      <c r="O344" s="609" t="str">
        <f t="shared" si="32"/>
        <v/>
      </c>
      <c r="P344" s="609" t="str">
        <f t="shared" si="32"/>
        <v/>
      </c>
      <c r="Q344" s="609" t="str">
        <f t="shared" si="32"/>
        <v/>
      </c>
      <c r="R344" s="609" t="str">
        <f t="shared" si="32"/>
        <v/>
      </c>
      <c r="S344" s="609" t="str">
        <f t="shared" si="32"/>
        <v/>
      </c>
      <c r="T344" s="609" t="str">
        <f t="shared" si="32"/>
        <v/>
      </c>
      <c r="U344" s="609" t="str">
        <f t="shared" si="32"/>
        <v/>
      </c>
      <c r="V344" s="609" t="str">
        <f t="shared" si="32"/>
        <v/>
      </c>
      <c r="W344" s="609" t="str">
        <f t="shared" si="32"/>
        <v/>
      </c>
      <c r="X344" s="609" t="str">
        <f t="shared" si="32"/>
        <v/>
      </c>
      <c r="Y344" s="609" t="str">
        <f t="shared" si="32"/>
        <v/>
      </c>
      <c r="Z344" s="609" t="str">
        <f t="shared" si="32"/>
        <v/>
      </c>
      <c r="AA344" s="609" t="str">
        <f t="shared" si="32"/>
        <v/>
      </c>
      <c r="AB344" s="609" t="str">
        <f t="shared" si="32"/>
        <v/>
      </c>
      <c r="AC344" s="609" t="str">
        <f t="shared" si="32"/>
        <v/>
      </c>
      <c r="AD344" s="609" t="str">
        <f t="shared" si="32"/>
        <v/>
      </c>
      <c r="AE344" s="609" t="str">
        <f t="shared" si="32"/>
        <v/>
      </c>
      <c r="AF344" s="609" t="str">
        <f t="shared" si="32"/>
        <v/>
      </c>
      <c r="AG344" s="609" t="str">
        <f t="shared" si="32"/>
        <v/>
      </c>
      <c r="AH344" s="609" t="str">
        <f t="shared" si="32"/>
        <v/>
      </c>
      <c r="AI344" s="609" t="str">
        <f t="shared" si="32"/>
        <v/>
      </c>
      <c r="AJ344" s="609" t="b">
        <f t="shared" si="32"/>
        <v>1</v>
      </c>
      <c r="AK344" s="609" t="str">
        <f t="shared" si="32"/>
        <v/>
      </c>
      <c r="AL344" s="515"/>
      <c r="AM344" s="515"/>
      <c r="AN344" s="30" t="b">
        <f t="shared" si="26"/>
        <v>1</v>
      </c>
      <c r="AO344" s="17"/>
      <c r="AP344" s="9"/>
      <c r="AQ344" s="9"/>
      <c r="AR344" s="9"/>
    </row>
    <row r="345" spans="1:44" customFormat="1" ht="12" customHeight="1" outlineLevel="2" x14ac:dyDescent="0.35">
      <c r="A345" s="7"/>
      <c r="B345" s="8"/>
      <c r="C345" s="18"/>
      <c r="D345" s="18"/>
      <c r="E345" s="18"/>
      <c r="F345" s="24"/>
      <c r="G345" s="570"/>
      <c r="H345" s="25"/>
      <c r="I345" s="533" t="str">
        <f>General!G42</f>
        <v>k</v>
      </c>
      <c r="J345" s="609" t="str">
        <f t="shared" si="27"/>
        <v/>
      </c>
      <c r="K345" s="609" t="str">
        <f t="shared" ref="K345:AK345" si="33">IF(ISBLANK(K309),"",K309)</f>
        <v/>
      </c>
      <c r="L345" s="609" t="str">
        <f t="shared" si="33"/>
        <v/>
      </c>
      <c r="M345" s="609" t="str">
        <f t="shared" si="33"/>
        <v/>
      </c>
      <c r="N345" s="609" t="str">
        <f t="shared" si="33"/>
        <v/>
      </c>
      <c r="O345" s="609" t="str">
        <f t="shared" si="33"/>
        <v/>
      </c>
      <c r="P345" s="609" t="str">
        <f t="shared" si="33"/>
        <v/>
      </c>
      <c r="Q345" s="609" t="str">
        <f t="shared" si="33"/>
        <v/>
      </c>
      <c r="R345" s="609" t="str">
        <f t="shared" si="33"/>
        <v/>
      </c>
      <c r="S345" s="609" t="str">
        <f t="shared" si="33"/>
        <v/>
      </c>
      <c r="T345" s="609" t="str">
        <f t="shared" si="33"/>
        <v/>
      </c>
      <c r="U345" s="609" t="str">
        <f t="shared" si="33"/>
        <v/>
      </c>
      <c r="V345" s="609" t="str">
        <f t="shared" si="33"/>
        <v/>
      </c>
      <c r="W345" s="609" t="str">
        <f t="shared" si="33"/>
        <v/>
      </c>
      <c r="X345" s="609" t="str">
        <f t="shared" si="33"/>
        <v/>
      </c>
      <c r="Y345" s="609" t="str">
        <f t="shared" si="33"/>
        <v/>
      </c>
      <c r="Z345" s="609" t="str">
        <f t="shared" si="33"/>
        <v/>
      </c>
      <c r="AA345" s="609" t="str">
        <f t="shared" si="33"/>
        <v/>
      </c>
      <c r="AB345" s="609" t="str">
        <f t="shared" si="33"/>
        <v/>
      </c>
      <c r="AC345" s="609" t="str">
        <f t="shared" si="33"/>
        <v/>
      </c>
      <c r="AD345" s="609" t="str">
        <f t="shared" si="33"/>
        <v/>
      </c>
      <c r="AE345" s="609" t="str">
        <f t="shared" si="33"/>
        <v/>
      </c>
      <c r="AF345" s="609" t="str">
        <f t="shared" si="33"/>
        <v/>
      </c>
      <c r="AG345" s="609" t="str">
        <f t="shared" si="33"/>
        <v/>
      </c>
      <c r="AH345" s="609" t="str">
        <f t="shared" si="33"/>
        <v/>
      </c>
      <c r="AI345" s="609" t="str">
        <f t="shared" si="33"/>
        <v/>
      </c>
      <c r="AJ345" s="609" t="b">
        <f t="shared" si="33"/>
        <v>1</v>
      </c>
      <c r="AK345" s="609" t="str">
        <f t="shared" si="33"/>
        <v/>
      </c>
      <c r="AL345" s="515"/>
      <c r="AM345" s="515"/>
      <c r="AN345" s="30" t="b">
        <f t="shared" si="26"/>
        <v>1</v>
      </c>
      <c r="AO345" s="17"/>
      <c r="AP345" s="9"/>
      <c r="AQ345" s="9"/>
      <c r="AR345" s="9"/>
    </row>
    <row r="346" spans="1:44" customFormat="1" ht="12" customHeight="1" outlineLevel="2" x14ac:dyDescent="0.35">
      <c r="A346" s="7"/>
      <c r="B346" s="8"/>
      <c r="C346" s="18"/>
      <c r="D346" s="18"/>
      <c r="E346" s="18"/>
      <c r="F346" s="24"/>
      <c r="G346" s="570"/>
      <c r="H346" s="25"/>
      <c r="I346" s="533" t="str">
        <f>General!G43</f>
        <v>l</v>
      </c>
      <c r="J346" s="609" t="str">
        <f t="shared" si="27"/>
        <v/>
      </c>
      <c r="K346" s="609" t="str">
        <f t="shared" ref="K346:AK346" si="34">IF(ISBLANK(K310),"",K310)</f>
        <v/>
      </c>
      <c r="L346" s="609" t="str">
        <f t="shared" si="34"/>
        <v/>
      </c>
      <c r="M346" s="609" t="str">
        <f t="shared" si="34"/>
        <v/>
      </c>
      <c r="N346" s="609" t="str">
        <f t="shared" si="34"/>
        <v/>
      </c>
      <c r="O346" s="609" t="str">
        <f t="shared" si="34"/>
        <v/>
      </c>
      <c r="P346" s="609" t="str">
        <f t="shared" si="34"/>
        <v/>
      </c>
      <c r="Q346" s="609" t="str">
        <f t="shared" si="34"/>
        <v/>
      </c>
      <c r="R346" s="609" t="str">
        <f t="shared" si="34"/>
        <v/>
      </c>
      <c r="S346" s="609" t="str">
        <f t="shared" si="34"/>
        <v/>
      </c>
      <c r="T346" s="609" t="str">
        <f t="shared" si="34"/>
        <v/>
      </c>
      <c r="U346" s="609" t="str">
        <f t="shared" si="34"/>
        <v/>
      </c>
      <c r="V346" s="609" t="str">
        <f t="shared" si="34"/>
        <v/>
      </c>
      <c r="W346" s="609" t="str">
        <f t="shared" si="34"/>
        <v/>
      </c>
      <c r="X346" s="609" t="str">
        <f t="shared" si="34"/>
        <v/>
      </c>
      <c r="Y346" s="609" t="str">
        <f t="shared" si="34"/>
        <v/>
      </c>
      <c r="Z346" s="609" t="str">
        <f t="shared" si="34"/>
        <v/>
      </c>
      <c r="AA346" s="609" t="str">
        <f t="shared" si="34"/>
        <v/>
      </c>
      <c r="AB346" s="609" t="str">
        <f t="shared" si="34"/>
        <v/>
      </c>
      <c r="AC346" s="609" t="str">
        <f t="shared" si="34"/>
        <v/>
      </c>
      <c r="AD346" s="609" t="str">
        <f t="shared" si="34"/>
        <v/>
      </c>
      <c r="AE346" s="609" t="str">
        <f t="shared" si="34"/>
        <v/>
      </c>
      <c r="AF346" s="609" t="str">
        <f t="shared" si="34"/>
        <v/>
      </c>
      <c r="AG346" s="609" t="str">
        <f t="shared" si="34"/>
        <v/>
      </c>
      <c r="AH346" s="609" t="str">
        <f t="shared" si="34"/>
        <v/>
      </c>
      <c r="AI346" s="609" t="str">
        <f t="shared" si="34"/>
        <v/>
      </c>
      <c r="AJ346" s="609" t="b">
        <f t="shared" si="34"/>
        <v>1</v>
      </c>
      <c r="AK346" s="609" t="str">
        <f t="shared" si="34"/>
        <v/>
      </c>
      <c r="AL346" s="515"/>
      <c r="AM346" s="515"/>
      <c r="AN346" s="30" t="b">
        <f t="shared" si="26"/>
        <v>1</v>
      </c>
      <c r="AO346" s="17"/>
      <c r="AP346" s="9"/>
      <c r="AQ346" s="9"/>
      <c r="AR346" s="9"/>
    </row>
    <row r="347" spans="1:44" customFormat="1" ht="12" customHeight="1" outlineLevel="2" x14ac:dyDescent="0.35">
      <c r="A347" s="7"/>
      <c r="B347" s="8"/>
      <c r="C347" s="18"/>
      <c r="D347" s="18"/>
      <c r="E347" s="18"/>
      <c r="F347" s="24"/>
      <c r="G347" s="570"/>
      <c r="H347" s="25"/>
      <c r="I347" s="533" t="str">
        <f>General!G44</f>
        <v>ms</v>
      </c>
      <c r="J347" s="609" t="str">
        <f t="shared" si="27"/>
        <v/>
      </c>
      <c r="K347" s="609" t="str">
        <f t="shared" ref="K347:AK347" si="35">IF(ISBLANK(K311),"",K311)</f>
        <v/>
      </c>
      <c r="L347" s="609" t="str">
        <f t="shared" si="35"/>
        <v/>
      </c>
      <c r="M347" s="609" t="str">
        <f t="shared" si="35"/>
        <v/>
      </c>
      <c r="N347" s="609" t="str">
        <f t="shared" si="35"/>
        <v/>
      </c>
      <c r="O347" s="609" t="str">
        <f t="shared" si="35"/>
        <v/>
      </c>
      <c r="P347" s="609" t="str">
        <f t="shared" si="35"/>
        <v/>
      </c>
      <c r="Q347" s="609" t="str">
        <f t="shared" si="35"/>
        <v/>
      </c>
      <c r="R347" s="609" t="str">
        <f t="shared" si="35"/>
        <v/>
      </c>
      <c r="S347" s="609" t="b">
        <f t="shared" si="35"/>
        <v>1</v>
      </c>
      <c r="T347" s="609" t="str">
        <f t="shared" si="35"/>
        <v/>
      </c>
      <c r="U347" s="609" t="b">
        <f t="shared" si="35"/>
        <v>1</v>
      </c>
      <c r="V347" s="609" t="str">
        <f t="shared" si="35"/>
        <v/>
      </c>
      <c r="W347" s="609" t="b">
        <f t="shared" si="35"/>
        <v>1</v>
      </c>
      <c r="X347" s="609" t="str">
        <f t="shared" si="35"/>
        <v/>
      </c>
      <c r="Y347" s="609" t="b">
        <f t="shared" si="35"/>
        <v>1</v>
      </c>
      <c r="Z347" s="609" t="str">
        <f t="shared" si="35"/>
        <v/>
      </c>
      <c r="AA347" s="609" t="b">
        <f t="shared" si="35"/>
        <v>1</v>
      </c>
      <c r="AB347" s="609" t="str">
        <f t="shared" si="35"/>
        <v/>
      </c>
      <c r="AC347" s="609" t="b">
        <f t="shared" si="35"/>
        <v>1</v>
      </c>
      <c r="AD347" s="609" t="str">
        <f t="shared" si="35"/>
        <v/>
      </c>
      <c r="AE347" s="609" t="str">
        <f t="shared" si="35"/>
        <v/>
      </c>
      <c r="AF347" s="609" t="str">
        <f t="shared" si="35"/>
        <v/>
      </c>
      <c r="AG347" s="609" t="str">
        <f t="shared" si="35"/>
        <v/>
      </c>
      <c r="AH347" s="609" t="str">
        <f t="shared" si="35"/>
        <v/>
      </c>
      <c r="AI347" s="609" t="str">
        <f t="shared" si="35"/>
        <v/>
      </c>
      <c r="AJ347" s="609" t="b">
        <f t="shared" si="35"/>
        <v>1</v>
      </c>
      <c r="AK347" s="609" t="str">
        <f t="shared" si="35"/>
        <v/>
      </c>
      <c r="AL347" s="515"/>
      <c r="AM347" s="515"/>
      <c r="AN347" s="30"/>
      <c r="AO347" s="17"/>
      <c r="AP347" s="9"/>
      <c r="AQ347" s="9"/>
      <c r="AR347" s="9"/>
    </row>
    <row r="348" spans="1:44" customFormat="1" ht="12" customHeight="1" outlineLevel="2" x14ac:dyDescent="0.35">
      <c r="A348" s="7"/>
      <c r="B348" s="8"/>
      <c r="C348" s="18"/>
      <c r="D348" s="18"/>
      <c r="E348" s="18"/>
      <c r="F348" s="24"/>
      <c r="G348" s="570"/>
      <c r="H348" s="25"/>
      <c r="I348" s="533" t="str">
        <f>General!G45</f>
        <v>o</v>
      </c>
      <c r="J348" s="609" t="str">
        <f t="shared" ref="J348:AK351" si="36">IF(ISBLANK(J312),"",J312)</f>
        <v/>
      </c>
      <c r="K348" s="609" t="str">
        <f t="shared" si="36"/>
        <v/>
      </c>
      <c r="L348" s="609" t="str">
        <f t="shared" si="36"/>
        <v/>
      </c>
      <c r="M348" s="609" t="str">
        <f t="shared" si="36"/>
        <v/>
      </c>
      <c r="N348" s="609" t="str">
        <f t="shared" si="36"/>
        <v/>
      </c>
      <c r="O348" s="609" t="str">
        <f t="shared" si="36"/>
        <v/>
      </c>
      <c r="P348" s="609" t="str">
        <f t="shared" si="36"/>
        <v/>
      </c>
      <c r="Q348" s="609" t="str">
        <f t="shared" si="36"/>
        <v/>
      </c>
      <c r="R348" s="609" t="str">
        <f t="shared" si="36"/>
        <v/>
      </c>
      <c r="S348" s="609" t="b">
        <f t="shared" si="36"/>
        <v>1</v>
      </c>
      <c r="T348" s="609" t="str">
        <f t="shared" si="36"/>
        <v/>
      </c>
      <c r="U348" s="609" t="str">
        <f t="shared" si="36"/>
        <v/>
      </c>
      <c r="V348" s="609" t="str">
        <f t="shared" si="36"/>
        <v/>
      </c>
      <c r="W348" s="609" t="b">
        <f t="shared" si="36"/>
        <v>1</v>
      </c>
      <c r="X348" s="609" t="str">
        <f t="shared" si="36"/>
        <v/>
      </c>
      <c r="Y348" s="609" t="str">
        <f t="shared" si="36"/>
        <v/>
      </c>
      <c r="Z348" s="609" t="str">
        <f t="shared" si="36"/>
        <v/>
      </c>
      <c r="AA348" s="609" t="b">
        <f t="shared" si="36"/>
        <v>1</v>
      </c>
      <c r="AB348" s="609" t="str">
        <f t="shared" si="36"/>
        <v/>
      </c>
      <c r="AC348" s="609" t="b">
        <f t="shared" si="36"/>
        <v>1</v>
      </c>
      <c r="AD348" s="609" t="str">
        <f t="shared" si="36"/>
        <v/>
      </c>
      <c r="AE348" s="609" t="str">
        <f t="shared" si="36"/>
        <v/>
      </c>
      <c r="AF348" s="609" t="str">
        <f t="shared" si="36"/>
        <v/>
      </c>
      <c r="AG348" s="609" t="str">
        <f t="shared" si="36"/>
        <v/>
      </c>
      <c r="AH348" s="609" t="str">
        <f t="shared" si="36"/>
        <v/>
      </c>
      <c r="AI348" s="609" t="str">
        <f t="shared" si="36"/>
        <v/>
      </c>
      <c r="AJ348" s="609" t="str">
        <f t="shared" si="36"/>
        <v/>
      </c>
      <c r="AK348" s="609" t="str">
        <f t="shared" si="36"/>
        <v/>
      </c>
      <c r="AL348" s="515"/>
      <c r="AM348" s="515"/>
      <c r="AN348" s="30" t="b">
        <f t="shared" si="26"/>
        <v>1</v>
      </c>
      <c r="AO348" s="17"/>
      <c r="AP348" s="9"/>
      <c r="AQ348" s="9"/>
      <c r="AR348" s="9"/>
    </row>
    <row r="349" spans="1:44" customFormat="1" ht="12" customHeight="1" outlineLevel="2" x14ac:dyDescent="0.35">
      <c r="A349" s="7"/>
      <c r="B349" s="8"/>
      <c r="C349" s="18"/>
      <c r="D349" s="18"/>
      <c r="E349" s="18"/>
      <c r="F349" s="24"/>
      <c r="G349" s="570"/>
      <c r="H349" s="25"/>
      <c r="I349" s="533" t="str">
        <f>General!G46</f>
        <v>od</v>
      </c>
      <c r="J349" s="609" t="str">
        <f t="shared" si="36"/>
        <v/>
      </c>
      <c r="K349" s="609" t="str">
        <f t="shared" si="36"/>
        <v/>
      </c>
      <c r="L349" s="609" t="str">
        <f t="shared" si="36"/>
        <v/>
      </c>
      <c r="M349" s="609" t="str">
        <f t="shared" si="36"/>
        <v/>
      </c>
      <c r="N349" s="609" t="str">
        <f t="shared" si="36"/>
        <v/>
      </c>
      <c r="O349" s="609" t="str">
        <f t="shared" si="36"/>
        <v/>
      </c>
      <c r="P349" s="609" t="str">
        <f t="shared" si="36"/>
        <v/>
      </c>
      <c r="Q349" s="609" t="str">
        <f t="shared" si="36"/>
        <v/>
      </c>
      <c r="R349" s="609" t="str">
        <f t="shared" si="36"/>
        <v/>
      </c>
      <c r="S349" s="609" t="b">
        <f t="shared" si="36"/>
        <v>1</v>
      </c>
      <c r="T349" s="609" t="str">
        <f t="shared" si="36"/>
        <v/>
      </c>
      <c r="U349" s="609" t="str">
        <f t="shared" si="36"/>
        <v/>
      </c>
      <c r="V349" s="609" t="str">
        <f t="shared" si="36"/>
        <v/>
      </c>
      <c r="W349" s="609" t="b">
        <f t="shared" si="36"/>
        <v>1</v>
      </c>
      <c r="X349" s="609" t="str">
        <f t="shared" si="36"/>
        <v/>
      </c>
      <c r="Y349" s="609" t="str">
        <f t="shared" si="36"/>
        <v/>
      </c>
      <c r="Z349" s="609" t="str">
        <f t="shared" si="36"/>
        <v/>
      </c>
      <c r="AA349" s="609" t="b">
        <f t="shared" si="36"/>
        <v>1</v>
      </c>
      <c r="AB349" s="609" t="str">
        <f t="shared" si="36"/>
        <v/>
      </c>
      <c r="AC349" s="609" t="b">
        <f t="shared" si="36"/>
        <v>1</v>
      </c>
      <c r="AD349" s="609" t="str">
        <f t="shared" si="36"/>
        <v/>
      </c>
      <c r="AE349" s="609" t="str">
        <f t="shared" si="36"/>
        <v/>
      </c>
      <c r="AF349" s="609" t="str">
        <f t="shared" si="36"/>
        <v/>
      </c>
      <c r="AG349" s="609" t="str">
        <f t="shared" si="36"/>
        <v/>
      </c>
      <c r="AH349" s="609" t="str">
        <f t="shared" si="36"/>
        <v/>
      </c>
      <c r="AI349" s="609" t="str">
        <f t="shared" si="36"/>
        <v/>
      </c>
      <c r="AJ349" s="609" t="str">
        <f t="shared" si="36"/>
        <v/>
      </c>
      <c r="AK349" s="609" t="str">
        <f t="shared" si="36"/>
        <v/>
      </c>
      <c r="AL349" s="515"/>
      <c r="AM349" s="515"/>
      <c r="AN349" s="30" t="b">
        <f t="shared" si="26"/>
        <v>1</v>
      </c>
      <c r="AO349" s="17"/>
      <c r="AP349" s="9"/>
      <c r="AQ349" s="9"/>
      <c r="AR349" s="9"/>
    </row>
    <row r="350" spans="1:44" customFormat="1" ht="12" customHeight="1" outlineLevel="2" x14ac:dyDescent="0.35">
      <c r="A350" s="7"/>
      <c r="B350" s="8"/>
      <c r="C350" s="18"/>
      <c r="D350" s="18"/>
      <c r="E350" s="18"/>
      <c r="F350" s="24"/>
      <c r="G350" s="570"/>
      <c r="H350" s="25"/>
      <c r="I350" s="533" t="str">
        <f>General!G47</f>
        <v>of</v>
      </c>
      <c r="J350" s="609" t="str">
        <f t="shared" si="36"/>
        <v/>
      </c>
      <c r="K350" s="609" t="str">
        <f t="shared" si="36"/>
        <v/>
      </c>
      <c r="L350" s="609" t="str">
        <f t="shared" si="36"/>
        <v/>
      </c>
      <c r="M350" s="609" t="str">
        <f t="shared" si="36"/>
        <v/>
      </c>
      <c r="N350" s="609" t="str">
        <f t="shared" si="36"/>
        <v/>
      </c>
      <c r="O350" s="609" t="str">
        <f t="shared" si="36"/>
        <v/>
      </c>
      <c r="P350" s="609" t="str">
        <f t="shared" si="36"/>
        <v/>
      </c>
      <c r="Q350" s="609" t="str">
        <f t="shared" si="36"/>
        <v/>
      </c>
      <c r="R350" s="609" t="str">
        <f t="shared" si="36"/>
        <v/>
      </c>
      <c r="S350" s="609" t="b">
        <f t="shared" si="36"/>
        <v>1</v>
      </c>
      <c r="T350" s="609" t="str">
        <f t="shared" si="36"/>
        <v/>
      </c>
      <c r="U350" s="609" t="str">
        <f t="shared" si="36"/>
        <v/>
      </c>
      <c r="V350" s="609" t="str">
        <f t="shared" si="36"/>
        <v/>
      </c>
      <c r="W350" s="609" t="b">
        <f t="shared" si="36"/>
        <v>1</v>
      </c>
      <c r="X350" s="609" t="str">
        <f t="shared" si="36"/>
        <v/>
      </c>
      <c r="Y350" s="609" t="str">
        <f t="shared" si="36"/>
        <v/>
      </c>
      <c r="Z350" s="609" t="str">
        <f t="shared" si="36"/>
        <v/>
      </c>
      <c r="AA350" s="609" t="b">
        <f t="shared" si="36"/>
        <v>1</v>
      </c>
      <c r="AB350" s="609" t="str">
        <f t="shared" si="36"/>
        <v/>
      </c>
      <c r="AC350" s="609" t="b">
        <f t="shared" si="36"/>
        <v>1</v>
      </c>
      <c r="AD350" s="609" t="str">
        <f t="shared" si="36"/>
        <v/>
      </c>
      <c r="AE350" s="609" t="str">
        <f t="shared" si="36"/>
        <v/>
      </c>
      <c r="AF350" s="609" t="str">
        <f t="shared" si="36"/>
        <v/>
      </c>
      <c r="AG350" s="609" t="str">
        <f t="shared" si="36"/>
        <v/>
      </c>
      <c r="AH350" s="609" t="str">
        <f t="shared" si="36"/>
        <v/>
      </c>
      <c r="AI350" s="609" t="str">
        <f t="shared" si="36"/>
        <v/>
      </c>
      <c r="AJ350" s="609" t="str">
        <f t="shared" si="36"/>
        <v/>
      </c>
      <c r="AK350" s="609" t="str">
        <f t="shared" si="36"/>
        <v/>
      </c>
      <c r="AL350" s="515"/>
      <c r="AM350" s="515"/>
      <c r="AN350" s="30" t="b">
        <f t="shared" si="26"/>
        <v>1</v>
      </c>
      <c r="AO350" s="17"/>
      <c r="AP350" s="9"/>
      <c r="AQ350" s="9"/>
      <c r="AR350" s="9"/>
    </row>
    <row r="351" spans="1:44" customFormat="1" ht="12" customHeight="1" outlineLevel="2" x14ac:dyDescent="0.35">
      <c r="A351" s="7"/>
      <c r="B351" s="8"/>
      <c r="C351" s="18"/>
      <c r="D351" s="18"/>
      <c r="E351" s="18"/>
      <c r="F351" s="24"/>
      <c r="G351" s="570"/>
      <c r="H351" s="25"/>
      <c r="I351" s="533" t="str">
        <f>General!G48</f>
        <v>r</v>
      </c>
      <c r="J351" s="609" t="str">
        <f t="shared" si="36"/>
        <v/>
      </c>
      <c r="K351" s="609" t="str">
        <f t="shared" si="36"/>
        <v/>
      </c>
      <c r="L351" s="609" t="str">
        <f t="shared" si="36"/>
        <v/>
      </c>
      <c r="M351" s="609" t="str">
        <f t="shared" ref="M351:AK351" si="37">IF(ISBLANK(M315),"",M315)</f>
        <v/>
      </c>
      <c r="N351" s="609" t="str">
        <f t="shared" si="37"/>
        <v/>
      </c>
      <c r="O351" s="609" t="str">
        <f t="shared" si="37"/>
        <v/>
      </c>
      <c r="P351" s="609" t="str">
        <f t="shared" si="37"/>
        <v/>
      </c>
      <c r="Q351" s="609" t="str">
        <f t="shared" si="37"/>
        <v/>
      </c>
      <c r="R351" s="609" t="str">
        <f t="shared" si="37"/>
        <v/>
      </c>
      <c r="S351" s="609" t="str">
        <f t="shared" si="37"/>
        <v/>
      </c>
      <c r="T351" s="609" t="str">
        <f t="shared" si="37"/>
        <v/>
      </c>
      <c r="U351" s="609" t="b">
        <f t="shared" si="37"/>
        <v>1</v>
      </c>
      <c r="V351" s="609" t="str">
        <f t="shared" si="37"/>
        <v/>
      </c>
      <c r="W351" s="609" t="str">
        <f t="shared" si="37"/>
        <v/>
      </c>
      <c r="X351" s="609" t="str">
        <f t="shared" si="37"/>
        <v/>
      </c>
      <c r="Y351" s="609" t="b">
        <f t="shared" si="37"/>
        <v>1</v>
      </c>
      <c r="Z351" s="609" t="str">
        <f t="shared" si="37"/>
        <v/>
      </c>
      <c r="AA351" s="609" t="str">
        <f t="shared" si="37"/>
        <v/>
      </c>
      <c r="AB351" s="609" t="str">
        <f t="shared" si="37"/>
        <v/>
      </c>
      <c r="AC351" s="609" t="str">
        <f t="shared" si="37"/>
        <v/>
      </c>
      <c r="AD351" s="609" t="str">
        <f t="shared" si="37"/>
        <v/>
      </c>
      <c r="AE351" s="609" t="str">
        <f t="shared" si="37"/>
        <v/>
      </c>
      <c r="AF351" s="609" t="str">
        <f t="shared" si="37"/>
        <v/>
      </c>
      <c r="AG351" s="609" t="str">
        <f t="shared" si="37"/>
        <v/>
      </c>
      <c r="AH351" s="609" t="str">
        <f t="shared" si="37"/>
        <v/>
      </c>
      <c r="AI351" s="609" t="str">
        <f t="shared" si="37"/>
        <v/>
      </c>
      <c r="AJ351" s="609" t="str">
        <f t="shared" si="37"/>
        <v/>
      </c>
      <c r="AK351" s="609" t="str">
        <f t="shared" si="37"/>
        <v/>
      </c>
      <c r="AL351" s="515"/>
      <c r="AM351" s="515"/>
      <c r="AN351" s="30" t="b">
        <f t="shared" si="26"/>
        <v>1</v>
      </c>
      <c r="AO351" s="17"/>
      <c r="AP351" s="9"/>
      <c r="AQ351" s="9"/>
      <c r="AR351" s="9"/>
    </row>
    <row r="352" spans="1:44" customFormat="1" ht="12" customHeight="1" outlineLevel="2" x14ac:dyDescent="0.35">
      <c r="A352" s="7"/>
      <c r="B352" s="8"/>
      <c r="C352" s="18"/>
      <c r="D352" s="18"/>
      <c r="E352" s="18"/>
      <c r="F352" s="24"/>
      <c r="G352" s="570"/>
      <c r="H352" s="25"/>
      <c r="I352" s="533" t="str">
        <f>General!G49</f>
        <v>rd</v>
      </c>
      <c r="J352" s="609" t="str">
        <f t="shared" ref="J352:AK357" si="38">IF(ISBLANK(J316),"",J316)</f>
        <v/>
      </c>
      <c r="K352" s="609" t="str">
        <f t="shared" si="38"/>
        <v/>
      </c>
      <c r="L352" s="609" t="str">
        <f t="shared" si="38"/>
        <v/>
      </c>
      <c r="M352" s="609" t="str">
        <f t="shared" si="38"/>
        <v/>
      </c>
      <c r="N352" s="609" t="str">
        <f t="shared" si="38"/>
        <v/>
      </c>
      <c r="O352" s="609" t="str">
        <f t="shared" si="38"/>
        <v/>
      </c>
      <c r="P352" s="609" t="str">
        <f t="shared" si="38"/>
        <v/>
      </c>
      <c r="Q352" s="609" t="str">
        <f t="shared" si="38"/>
        <v/>
      </c>
      <c r="R352" s="609" t="str">
        <f t="shared" si="38"/>
        <v/>
      </c>
      <c r="S352" s="609" t="str">
        <f t="shared" si="38"/>
        <v/>
      </c>
      <c r="T352" s="609" t="str">
        <f t="shared" si="38"/>
        <v/>
      </c>
      <c r="U352" s="609" t="b">
        <f t="shared" si="38"/>
        <v>1</v>
      </c>
      <c r="V352" s="609" t="str">
        <f t="shared" si="38"/>
        <v/>
      </c>
      <c r="W352" s="609" t="str">
        <f t="shared" si="38"/>
        <v/>
      </c>
      <c r="X352" s="609" t="str">
        <f t="shared" si="38"/>
        <v/>
      </c>
      <c r="Y352" s="609" t="b">
        <f t="shared" si="38"/>
        <v>1</v>
      </c>
      <c r="Z352" s="609" t="str">
        <f t="shared" si="38"/>
        <v/>
      </c>
      <c r="AA352" s="609" t="str">
        <f t="shared" si="38"/>
        <v/>
      </c>
      <c r="AB352" s="609" t="str">
        <f t="shared" si="38"/>
        <v/>
      </c>
      <c r="AC352" s="609" t="str">
        <f t="shared" si="38"/>
        <v/>
      </c>
      <c r="AD352" s="609" t="str">
        <f t="shared" si="38"/>
        <v/>
      </c>
      <c r="AE352" s="609" t="str">
        <f t="shared" si="38"/>
        <v/>
      </c>
      <c r="AF352" s="609" t="str">
        <f t="shared" si="38"/>
        <v/>
      </c>
      <c r="AG352" s="609" t="str">
        <f t="shared" si="38"/>
        <v/>
      </c>
      <c r="AH352" s="609" t="str">
        <f t="shared" si="38"/>
        <v/>
      </c>
      <c r="AI352" s="609" t="str">
        <f t="shared" si="38"/>
        <v/>
      </c>
      <c r="AJ352" s="609" t="str">
        <f t="shared" si="38"/>
        <v/>
      </c>
      <c r="AK352" s="609" t="str">
        <f t="shared" si="38"/>
        <v/>
      </c>
      <c r="AL352" s="515"/>
      <c r="AM352" s="515"/>
      <c r="AN352" s="30" t="b">
        <f t="shared" si="26"/>
        <v>1</v>
      </c>
      <c r="AO352" s="17"/>
      <c r="AP352" s="9"/>
      <c r="AQ352" s="9"/>
      <c r="AR352" s="9"/>
    </row>
    <row r="353" spans="1:44" customFormat="1" ht="12" customHeight="1" outlineLevel="2" x14ac:dyDescent="0.35">
      <c r="A353" s="7"/>
      <c r="B353" s="8"/>
      <c r="C353" s="18"/>
      <c r="D353" s="18"/>
      <c r="E353" s="18"/>
      <c r="F353" s="24"/>
      <c r="G353" s="570"/>
      <c r="H353" s="25"/>
      <c r="I353" s="533" t="str">
        <f>General!G50</f>
        <v>v</v>
      </c>
      <c r="J353" s="609" t="str">
        <f t="shared" si="38"/>
        <v/>
      </c>
      <c r="K353" s="609" t="str">
        <f t="shared" si="38"/>
        <v/>
      </c>
      <c r="L353" s="609" t="str">
        <f t="shared" si="38"/>
        <v/>
      </c>
      <c r="M353" s="609" t="str">
        <f t="shared" si="38"/>
        <v/>
      </c>
      <c r="N353" s="609" t="str">
        <f t="shared" si="38"/>
        <v/>
      </c>
      <c r="O353" s="609" t="str">
        <f t="shared" si="38"/>
        <v/>
      </c>
      <c r="P353" s="609" t="str">
        <f t="shared" si="38"/>
        <v/>
      </c>
      <c r="Q353" s="609" t="str">
        <f t="shared" si="38"/>
        <v/>
      </c>
      <c r="R353" s="609" t="str">
        <f t="shared" si="38"/>
        <v/>
      </c>
      <c r="S353" s="609" t="str">
        <f t="shared" si="38"/>
        <v/>
      </c>
      <c r="T353" s="609" t="str">
        <f t="shared" si="38"/>
        <v/>
      </c>
      <c r="U353" s="609" t="str">
        <f t="shared" si="38"/>
        <v/>
      </c>
      <c r="V353" s="609" t="str">
        <f t="shared" si="38"/>
        <v/>
      </c>
      <c r="W353" s="609" t="str">
        <f t="shared" si="38"/>
        <v/>
      </c>
      <c r="X353" s="609" t="str">
        <f t="shared" si="38"/>
        <v/>
      </c>
      <c r="Y353" s="609" t="str">
        <f t="shared" si="38"/>
        <v/>
      </c>
      <c r="Z353" s="609" t="str">
        <f t="shared" si="38"/>
        <v/>
      </c>
      <c r="AA353" s="609" t="str">
        <f t="shared" si="38"/>
        <v/>
      </c>
      <c r="AB353" s="609" t="str">
        <f t="shared" si="38"/>
        <v/>
      </c>
      <c r="AC353" s="609" t="str">
        <f t="shared" si="38"/>
        <v/>
      </c>
      <c r="AD353" s="609" t="str">
        <f t="shared" si="38"/>
        <v/>
      </c>
      <c r="AE353" s="609" t="str">
        <f t="shared" si="38"/>
        <v/>
      </c>
      <c r="AF353" s="609" t="str">
        <f t="shared" si="38"/>
        <v/>
      </c>
      <c r="AG353" s="609" t="str">
        <f t="shared" si="38"/>
        <v/>
      </c>
      <c r="AH353" s="609" t="str">
        <f t="shared" si="38"/>
        <v/>
      </c>
      <c r="AI353" s="609" t="str">
        <f t="shared" si="38"/>
        <v/>
      </c>
      <c r="AJ353" s="609" t="b">
        <f t="shared" si="38"/>
        <v>1</v>
      </c>
      <c r="AK353" s="609" t="str">
        <f t="shared" si="38"/>
        <v/>
      </c>
      <c r="AL353" s="515"/>
      <c r="AM353" s="515"/>
      <c r="AN353" s="30" t="b">
        <f t="shared" si="26"/>
        <v>1</v>
      </c>
      <c r="AO353" s="17"/>
      <c r="AP353" s="9"/>
      <c r="AQ353" s="9"/>
      <c r="AR353" s="9"/>
    </row>
    <row r="354" spans="1:44" customFormat="1" ht="12" customHeight="1" outlineLevel="2" x14ac:dyDescent="0.35">
      <c r="A354" s="7"/>
      <c r="B354" s="8"/>
      <c r="C354" s="18"/>
      <c r="D354" s="18"/>
      <c r="E354" s="18"/>
      <c r="F354" s="24"/>
      <c r="G354" s="570"/>
      <c r="H354" s="25"/>
      <c r="I354" s="533" t="str">
        <f>General!G51</f>
        <v>w</v>
      </c>
      <c r="J354" s="609" t="str">
        <f t="shared" si="38"/>
        <v/>
      </c>
      <c r="K354" s="609" t="str">
        <f t="shared" si="38"/>
        <v/>
      </c>
      <c r="L354" s="609" t="str">
        <f t="shared" si="38"/>
        <v/>
      </c>
      <c r="M354" s="609" t="str">
        <f t="shared" si="38"/>
        <v/>
      </c>
      <c r="N354" s="609" t="str">
        <f t="shared" si="38"/>
        <v/>
      </c>
      <c r="O354" s="609" t="str">
        <f t="shared" si="38"/>
        <v/>
      </c>
      <c r="P354" s="609" t="str">
        <f t="shared" si="38"/>
        <v/>
      </c>
      <c r="Q354" s="609" t="str">
        <f t="shared" si="38"/>
        <v/>
      </c>
      <c r="R354" s="609" t="str">
        <f t="shared" si="38"/>
        <v/>
      </c>
      <c r="S354" s="609" t="str">
        <f t="shared" si="38"/>
        <v/>
      </c>
      <c r="T354" s="609" t="str">
        <f t="shared" si="38"/>
        <v/>
      </c>
      <c r="U354" s="609" t="str">
        <f t="shared" si="38"/>
        <v/>
      </c>
      <c r="V354" s="609" t="str">
        <f t="shared" si="38"/>
        <v/>
      </c>
      <c r="W354" s="609" t="b">
        <f t="shared" si="38"/>
        <v>1</v>
      </c>
      <c r="X354" s="609" t="str">
        <f t="shared" si="38"/>
        <v/>
      </c>
      <c r="Y354" s="609" t="str">
        <f t="shared" si="38"/>
        <v/>
      </c>
      <c r="Z354" s="609" t="str">
        <f t="shared" si="38"/>
        <v/>
      </c>
      <c r="AA354" s="609" t="b">
        <f t="shared" si="38"/>
        <v>1</v>
      </c>
      <c r="AB354" s="609" t="str">
        <f t="shared" si="38"/>
        <v/>
      </c>
      <c r="AC354" s="609" t="b">
        <f t="shared" si="38"/>
        <v>1</v>
      </c>
      <c r="AD354" s="609" t="str">
        <f t="shared" si="38"/>
        <v/>
      </c>
      <c r="AE354" s="609" t="str">
        <f t="shared" si="38"/>
        <v/>
      </c>
      <c r="AF354" s="609" t="str">
        <f t="shared" si="38"/>
        <v/>
      </c>
      <c r="AG354" s="609" t="str">
        <f t="shared" si="38"/>
        <v/>
      </c>
      <c r="AH354" s="609" t="str">
        <f t="shared" si="38"/>
        <v/>
      </c>
      <c r="AI354" s="609" t="str">
        <f t="shared" si="38"/>
        <v/>
      </c>
      <c r="AJ354" s="609" t="str">
        <f t="shared" si="38"/>
        <v/>
      </c>
      <c r="AK354" s="609" t="str">
        <f t="shared" si="38"/>
        <v/>
      </c>
      <c r="AL354" s="515"/>
      <c r="AM354" s="515"/>
      <c r="AN354" s="30" t="b">
        <f t="shared" si="26"/>
        <v>1</v>
      </c>
      <c r="AO354" s="17"/>
      <c r="AP354" s="9"/>
      <c r="AQ354" s="9"/>
      <c r="AR354" s="9"/>
    </row>
    <row r="355" spans="1:44" customFormat="1" outlineLevel="2" x14ac:dyDescent="0.35">
      <c r="A355" s="7"/>
      <c r="B355" s="8"/>
      <c r="C355" s="18"/>
      <c r="D355" s="18"/>
      <c r="E355" s="18"/>
      <c r="F355" s="24"/>
      <c r="G355" s="570"/>
      <c r="H355" s="25"/>
      <c r="I355" s="533" t="str">
        <f>General!G52</f>
        <v>wd</v>
      </c>
      <c r="J355" s="609" t="str">
        <f t="shared" si="38"/>
        <v/>
      </c>
      <c r="K355" s="609" t="str">
        <f t="shared" si="38"/>
        <v/>
      </c>
      <c r="L355" s="609" t="str">
        <f t="shared" si="38"/>
        <v/>
      </c>
      <c r="M355" s="609" t="str">
        <f t="shared" si="38"/>
        <v/>
      </c>
      <c r="N355" s="609" t="str">
        <f t="shared" si="38"/>
        <v/>
      </c>
      <c r="O355" s="609" t="str">
        <f t="shared" si="38"/>
        <v/>
      </c>
      <c r="P355" s="609" t="str">
        <f t="shared" si="38"/>
        <v/>
      </c>
      <c r="Q355" s="609" t="str">
        <f t="shared" si="38"/>
        <v/>
      </c>
      <c r="R355" s="609" t="str">
        <f t="shared" si="38"/>
        <v/>
      </c>
      <c r="S355" s="609" t="str">
        <f t="shared" si="38"/>
        <v/>
      </c>
      <c r="T355" s="609" t="str">
        <f t="shared" si="38"/>
        <v/>
      </c>
      <c r="U355" s="609" t="str">
        <f t="shared" si="38"/>
        <v/>
      </c>
      <c r="V355" s="609" t="str">
        <f t="shared" si="38"/>
        <v/>
      </c>
      <c r="W355" s="609" t="b">
        <f t="shared" si="38"/>
        <v>1</v>
      </c>
      <c r="X355" s="609" t="str">
        <f t="shared" si="38"/>
        <v/>
      </c>
      <c r="Y355" s="609" t="str">
        <f t="shared" si="38"/>
        <v/>
      </c>
      <c r="Z355" s="609" t="str">
        <f t="shared" si="38"/>
        <v/>
      </c>
      <c r="AA355" s="609" t="b">
        <f t="shared" si="38"/>
        <v>1</v>
      </c>
      <c r="AB355" s="609" t="str">
        <f t="shared" si="38"/>
        <v/>
      </c>
      <c r="AC355" s="609" t="b">
        <f t="shared" si="38"/>
        <v>1</v>
      </c>
      <c r="AD355" s="609" t="str">
        <f t="shared" si="38"/>
        <v/>
      </c>
      <c r="AE355" s="609" t="str">
        <f t="shared" si="38"/>
        <v/>
      </c>
      <c r="AF355" s="609" t="str">
        <f t="shared" si="38"/>
        <v/>
      </c>
      <c r="AG355" s="609" t="str">
        <f t="shared" si="38"/>
        <v/>
      </c>
      <c r="AH355" s="609" t="str">
        <f t="shared" si="38"/>
        <v/>
      </c>
      <c r="AI355" s="609" t="str">
        <f t="shared" si="38"/>
        <v/>
      </c>
      <c r="AJ355" s="609" t="str">
        <f t="shared" si="38"/>
        <v/>
      </c>
      <c r="AK355" s="609" t="str">
        <f t="shared" si="38"/>
        <v/>
      </c>
      <c r="AL355" s="515"/>
      <c r="AM355" s="515"/>
      <c r="AN355" s="30" t="b">
        <f t="shared" si="26"/>
        <v>1</v>
      </c>
      <c r="AO355" s="17"/>
      <c r="AP355" s="9"/>
      <c r="AQ355" s="9"/>
      <c r="AR355" s="9"/>
    </row>
    <row r="356" spans="1:44" customFormat="1" outlineLevel="2" x14ac:dyDescent="0.35">
      <c r="A356" s="7"/>
      <c r="B356" s="8"/>
      <c r="C356" s="18"/>
      <c r="D356" s="18"/>
      <c r="E356" s="18"/>
      <c r="F356" s="24"/>
      <c r="G356" s="570"/>
      <c r="H356" s="24"/>
      <c r="I356" s="533" t="str">
        <f>General!G53</f>
        <v>z</v>
      </c>
      <c r="J356" s="609" t="str">
        <f t="shared" si="38"/>
        <v/>
      </c>
      <c r="K356" s="609" t="str">
        <f t="shared" si="38"/>
        <v/>
      </c>
      <c r="L356" s="609" t="str">
        <f t="shared" si="38"/>
        <v/>
      </c>
      <c r="M356" s="609" t="str">
        <f t="shared" si="38"/>
        <v/>
      </c>
      <c r="N356" s="609" t="str">
        <f t="shared" si="38"/>
        <v/>
      </c>
      <c r="O356" s="609" t="str">
        <f t="shared" si="38"/>
        <v/>
      </c>
      <c r="P356" s="609" t="str">
        <f t="shared" si="38"/>
        <v/>
      </c>
      <c r="Q356" s="609" t="str">
        <f t="shared" si="38"/>
        <v/>
      </c>
      <c r="R356" s="609" t="str">
        <f t="shared" si="38"/>
        <v/>
      </c>
      <c r="S356" s="609" t="str">
        <f t="shared" si="38"/>
        <v/>
      </c>
      <c r="T356" s="609" t="str">
        <f t="shared" si="38"/>
        <v/>
      </c>
      <c r="U356" s="609" t="b">
        <f t="shared" si="38"/>
        <v>1</v>
      </c>
      <c r="V356" s="609" t="str">
        <f t="shared" si="38"/>
        <v/>
      </c>
      <c r="W356" s="609" t="str">
        <f t="shared" si="38"/>
        <v/>
      </c>
      <c r="X356" s="609" t="str">
        <f t="shared" si="38"/>
        <v/>
      </c>
      <c r="Y356" s="609" t="b">
        <f t="shared" si="38"/>
        <v>1</v>
      </c>
      <c r="Z356" s="609" t="str">
        <f t="shared" si="38"/>
        <v/>
      </c>
      <c r="AA356" s="609" t="str">
        <f t="shared" si="38"/>
        <v/>
      </c>
      <c r="AB356" s="609" t="str">
        <f t="shared" si="38"/>
        <v/>
      </c>
      <c r="AC356" s="609" t="str">
        <f t="shared" si="38"/>
        <v/>
      </c>
      <c r="AD356" s="609" t="str">
        <f t="shared" si="38"/>
        <v/>
      </c>
      <c r="AE356" s="609" t="str">
        <f t="shared" si="38"/>
        <v/>
      </c>
      <c r="AF356" s="609" t="str">
        <f t="shared" si="38"/>
        <v/>
      </c>
      <c r="AG356" s="609" t="str">
        <f t="shared" si="38"/>
        <v/>
      </c>
      <c r="AH356" s="609" t="str">
        <f t="shared" si="38"/>
        <v/>
      </c>
      <c r="AI356" s="609" t="str">
        <f t="shared" si="38"/>
        <v/>
      </c>
      <c r="AJ356" s="609" t="str">
        <f t="shared" si="38"/>
        <v/>
      </c>
      <c r="AK356" s="609" t="str">
        <f t="shared" si="38"/>
        <v/>
      </c>
      <c r="AL356" s="515"/>
      <c r="AM356" s="515"/>
      <c r="AN356" s="30" t="b">
        <f t="shared" si="26"/>
        <v>1</v>
      </c>
      <c r="AO356" s="17"/>
      <c r="AP356" s="9"/>
      <c r="AQ356" s="9"/>
      <c r="AR356" s="9"/>
    </row>
    <row r="357" spans="1:44" customFormat="1" outlineLevel="2" x14ac:dyDescent="0.35">
      <c r="A357" s="7"/>
      <c r="B357" s="8"/>
      <c r="C357" s="18"/>
      <c r="D357" s="18"/>
      <c r="E357" s="18"/>
      <c r="F357" s="24"/>
      <c r="G357" s="570"/>
      <c r="H357" s="24"/>
      <c r="I357" s="533" t="str">
        <f>General!G54</f>
        <v>zd</v>
      </c>
      <c r="J357" s="609" t="str">
        <f t="shared" si="38"/>
        <v/>
      </c>
      <c r="K357" s="609" t="str">
        <f t="shared" si="38"/>
        <v/>
      </c>
      <c r="L357" s="609" t="str">
        <f t="shared" si="38"/>
        <v/>
      </c>
      <c r="M357" s="609" t="str">
        <f t="shared" si="38"/>
        <v/>
      </c>
      <c r="N357" s="609" t="str">
        <f t="shared" si="38"/>
        <v/>
      </c>
      <c r="O357" s="609" t="str">
        <f t="shared" si="38"/>
        <v/>
      </c>
      <c r="P357" s="609" t="str">
        <f t="shared" si="38"/>
        <v/>
      </c>
      <c r="Q357" s="609" t="str">
        <f t="shared" si="38"/>
        <v/>
      </c>
      <c r="R357" s="609" t="str">
        <f t="shared" si="38"/>
        <v/>
      </c>
      <c r="S357" s="609" t="str">
        <f t="shared" si="38"/>
        <v/>
      </c>
      <c r="T357" s="609" t="str">
        <f t="shared" si="38"/>
        <v/>
      </c>
      <c r="U357" s="609" t="b">
        <f t="shared" si="38"/>
        <v>1</v>
      </c>
      <c r="V357" s="609" t="str">
        <f t="shared" si="38"/>
        <v/>
      </c>
      <c r="W357" s="609" t="str">
        <f t="shared" si="38"/>
        <v/>
      </c>
      <c r="X357" s="609" t="str">
        <f t="shared" si="38"/>
        <v/>
      </c>
      <c r="Y357" s="609" t="b">
        <f t="shared" si="38"/>
        <v>1</v>
      </c>
      <c r="Z357" s="609" t="str">
        <f t="shared" si="38"/>
        <v/>
      </c>
      <c r="AA357" s="609" t="str">
        <f t="shared" si="38"/>
        <v/>
      </c>
      <c r="AB357" s="609" t="str">
        <f t="shared" si="38"/>
        <v/>
      </c>
      <c r="AC357" s="609" t="str">
        <f t="shared" si="38"/>
        <v/>
      </c>
      <c r="AD357" s="609" t="str">
        <f t="shared" si="38"/>
        <v/>
      </c>
      <c r="AE357" s="609" t="str">
        <f t="shared" si="38"/>
        <v/>
      </c>
      <c r="AF357" s="609" t="str">
        <f t="shared" si="38"/>
        <v/>
      </c>
      <c r="AG357" s="609" t="str">
        <f t="shared" si="38"/>
        <v/>
      </c>
      <c r="AH357" s="609" t="str">
        <f t="shared" si="38"/>
        <v/>
      </c>
      <c r="AI357" s="609" t="str">
        <f t="shared" si="38"/>
        <v/>
      </c>
      <c r="AJ357" s="609" t="str">
        <f t="shared" si="38"/>
        <v/>
      </c>
      <c r="AK357" s="609" t="str">
        <f t="shared" si="38"/>
        <v/>
      </c>
      <c r="AL357" s="515"/>
      <c r="AM357" s="515"/>
      <c r="AN357" s="30" t="b">
        <f t="shared" si="26"/>
        <v>1</v>
      </c>
      <c r="AO357" s="17"/>
      <c r="AP357" s="9"/>
      <c r="AQ357" s="9"/>
      <c r="AR357" s="9"/>
    </row>
    <row r="358" spans="1:44" customFormat="1" outlineLevel="1" x14ac:dyDescent="0.35">
      <c r="A358" s="7"/>
      <c r="B358" s="8"/>
      <c r="C358" s="18"/>
      <c r="D358" s="18"/>
      <c r="E358" s="18"/>
      <c r="F358" s="24"/>
      <c r="G358" s="24"/>
      <c r="H358" s="28"/>
      <c r="I358" s="34"/>
      <c r="J358" s="610"/>
      <c r="K358" s="610"/>
      <c r="L358" s="610"/>
      <c r="M358" s="610"/>
      <c r="N358" s="610"/>
      <c r="O358" s="610"/>
      <c r="P358" s="610"/>
      <c r="Q358" s="610"/>
      <c r="R358" s="610"/>
      <c r="S358" s="610"/>
      <c r="T358" s="610"/>
      <c r="U358" s="610"/>
      <c r="X358" s="35"/>
      <c r="Y358" s="35"/>
      <c r="Z358" s="35"/>
      <c r="AA358" s="35"/>
      <c r="AB358" s="35"/>
      <c r="AC358" s="35"/>
      <c r="AD358" s="610"/>
      <c r="AE358" s="610"/>
      <c r="AF358" s="610"/>
      <c r="AG358" s="610"/>
      <c r="AH358" s="610"/>
      <c r="AI358" s="610"/>
      <c r="AJ358" s="610"/>
      <c r="AK358" s="35"/>
      <c r="AL358" s="35"/>
      <c r="AM358" s="35"/>
      <c r="AN358" s="27"/>
      <c r="AO358" s="17"/>
      <c r="AP358" s="9"/>
      <c r="AQ358" s="9"/>
      <c r="AR358" s="9"/>
    </row>
    <row r="359" spans="1:44" customFormat="1" outlineLevel="1" x14ac:dyDescent="0.35">
      <c r="A359" s="7"/>
      <c r="B359" s="8"/>
      <c r="C359" s="18"/>
      <c r="D359" s="18"/>
      <c r="E359" s="18"/>
      <c r="F359" s="24"/>
      <c r="G359" s="24"/>
      <c r="H359" s="34"/>
      <c r="I359" s="34"/>
      <c r="J359" s="610"/>
      <c r="K359" s="610"/>
      <c r="L359" s="610"/>
      <c r="M359" s="610"/>
      <c r="N359" s="610"/>
      <c r="O359" s="610"/>
      <c r="P359" s="610"/>
      <c r="Q359" s="610"/>
      <c r="R359" s="610"/>
      <c r="S359" s="610"/>
      <c r="T359" s="610"/>
      <c r="U359" s="610"/>
      <c r="V359" s="35"/>
      <c r="W359" s="35"/>
      <c r="X359" s="35"/>
      <c r="Y359" s="35"/>
      <c r="Z359" s="35"/>
      <c r="AA359" s="35"/>
      <c r="AB359" s="35"/>
      <c r="AC359" s="35"/>
      <c r="AD359" s="35"/>
      <c r="AE359" s="610"/>
      <c r="AF359" s="610"/>
      <c r="AG359" s="610"/>
      <c r="AH359" s="610"/>
      <c r="AI359" s="610"/>
      <c r="AJ359" s="610"/>
      <c r="AK359" s="35"/>
      <c r="AL359" s="35"/>
      <c r="AM359" s="35"/>
      <c r="AN359" s="27"/>
      <c r="AO359" s="17"/>
      <c r="AP359" s="9"/>
      <c r="AQ359" s="9"/>
      <c r="AR359" s="9"/>
    </row>
    <row r="360" spans="1:44" customFormat="1" ht="5.15" customHeight="1" outlineLevel="1" x14ac:dyDescent="0.35">
      <c r="A360" s="7"/>
      <c r="B360" s="8"/>
      <c r="C360" s="18"/>
      <c r="D360" s="18"/>
      <c r="E360" s="18"/>
      <c r="F360" s="33"/>
      <c r="G360" s="34"/>
      <c r="H360" s="34"/>
      <c r="I360" s="34"/>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27"/>
      <c r="AO360" s="17"/>
      <c r="AP360" s="9"/>
      <c r="AQ360" s="9"/>
      <c r="AR360" s="9"/>
    </row>
    <row r="361" spans="1:44" customFormat="1" ht="25.4" customHeight="1" outlineLevel="1" x14ac:dyDescent="0.35">
      <c r="A361" s="7"/>
      <c r="B361" s="8"/>
      <c r="C361" s="36"/>
      <c r="D361" s="36"/>
      <c r="E361" s="36"/>
      <c r="F361" s="36"/>
      <c r="G361" s="37" t="str">
        <f>G179</f>
        <v>Paddock Trial Info</v>
      </c>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8" t="s">
        <v>98</v>
      </c>
      <c r="AP361" s="9"/>
      <c r="AQ361" s="9"/>
      <c r="AR361" s="9"/>
    </row>
    <row r="362" spans="1:44" customFormat="1" ht="12" customHeight="1" x14ac:dyDescent="0.35">
      <c r="A362" s="7"/>
      <c r="B362" s="8"/>
      <c r="C362" s="8"/>
      <c r="D362" s="8"/>
      <c r="E362" s="8"/>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row>
    <row r="363" spans="1:44" customFormat="1" ht="12" customHeight="1" x14ac:dyDescent="0.35">
      <c r="A363" s="7"/>
      <c r="B363" s="8"/>
      <c r="C363" s="8"/>
      <c r="D363" s="8"/>
      <c r="E363" s="8"/>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row>
    <row r="364" spans="1:44" customFormat="1" ht="12" customHeight="1" x14ac:dyDescent="0.35">
      <c r="A364" s="7"/>
      <c r="B364" s="8"/>
      <c r="C364" s="8"/>
      <c r="D364" s="8"/>
      <c r="E364" s="8"/>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row>
    <row r="365" spans="1:44" customFormat="1" ht="12" customHeight="1" x14ac:dyDescent="0.35">
      <c r="A365" s="7"/>
      <c r="B365" s="8"/>
      <c r="C365" s="8"/>
      <c r="D365" s="8"/>
      <c r="E365" s="8"/>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row>
    <row r="366" spans="1:44" customFormat="1" ht="12" customHeight="1" x14ac:dyDescent="0.35">
      <c r="A366" s="7"/>
      <c r="B366" s="8"/>
      <c r="C366" s="8"/>
      <c r="D366" s="8"/>
      <c r="E366" s="8"/>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row>
  </sheetData>
  <mergeCells count="2">
    <mergeCell ref="I208:I210"/>
    <mergeCell ref="I241:I243"/>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14" activePane="bottomRight" state="frozen"/>
      <selection activeCell="A9" sqref="A9"/>
      <selection pane="topRight" activeCell="J9" sqref="J9"/>
      <selection pane="bottomLeft" activeCell="A14" sqref="A14"/>
      <selection pane="bottomRight" activeCell="H15" sqref="H15"/>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142</v>
      </c>
      <c r="I11" s="79">
        <v>1</v>
      </c>
      <c r="J11" s="613" t="s">
        <v>2216</v>
      </c>
      <c r="K11" s="613"/>
      <c r="L11" s="613"/>
      <c r="M11" s="613"/>
      <c r="N11" s="613"/>
      <c r="O11" s="613"/>
      <c r="P11" s="613"/>
      <c r="Q11" s="613"/>
      <c r="R11" s="613"/>
      <c r="S11" s="613"/>
      <c r="T11" s="613"/>
      <c r="U11" s="613"/>
      <c r="V11" s="613"/>
      <c r="W11" s="613"/>
      <c r="X11" s="613"/>
      <c r="Y11" s="76"/>
      <c r="Z11" s="73"/>
      <c r="AA11" s="57"/>
      <c r="AB11" s="45"/>
      <c r="AC11" s="45"/>
      <c r="AD11" s="45"/>
    </row>
    <row r="12" spans="1:30" ht="45" customHeight="1" outlineLevel="1" x14ac:dyDescent="0.35">
      <c r="A12" s="45"/>
      <c r="B12" s="54"/>
      <c r="C12" s="47">
        <f>INT($C$6)+1.045</f>
        <v>2.0449999999999999</v>
      </c>
      <c r="D12" s="73"/>
      <c r="E12" s="70"/>
      <c r="F12" s="70"/>
      <c r="G12" s="73"/>
      <c r="H12" s="76" t="s">
        <v>143</v>
      </c>
      <c r="I12" s="99">
        <v>1</v>
      </c>
      <c r="J12" s="614" t="s">
        <v>2215</v>
      </c>
      <c r="K12" s="615"/>
      <c r="L12" s="615"/>
      <c r="M12" s="615"/>
      <c r="N12" s="615"/>
      <c r="O12" s="615"/>
      <c r="P12" s="615"/>
      <c r="Q12" s="615"/>
      <c r="R12" s="615"/>
      <c r="S12" s="615"/>
      <c r="T12" s="615"/>
      <c r="U12" s="615"/>
      <c r="V12" s="615"/>
      <c r="W12" s="615"/>
      <c r="X12" s="616"/>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15"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134</v>
      </c>
      <c r="F30" s="65">
        <v>1</v>
      </c>
      <c r="G30" s="66"/>
      <c r="H30" s="67" t="s">
        <v>2214</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2213</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2212</v>
      </c>
      <c r="I40" s="289" t="str">
        <f>IF(COUNT($J40:$Z40)&gt;1,STDEV($J40:$Z40)=0,"")</f>
        <v/>
      </c>
      <c r="J40" s="76" t="s">
        <v>2217</v>
      </c>
      <c r="K40" s="76" t="s">
        <v>2211</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2210</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2209</v>
      </c>
      <c r="I43" s="289" t="str">
        <f t="shared" si="0"/>
        <v/>
      </c>
      <c r="J43" s="76" t="s">
        <v>2208</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2207</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2206</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2205</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2204</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2203</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2202</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2201</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2200</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2199</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431</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52" workbookViewId="0">
      <selection activeCell="Q74" sqref="Q74"/>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2926</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2923</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2927</v>
      </c>
      <c r="J10" s="18"/>
      <c r="K10" s="18" t="s">
        <v>2928</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2929</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990</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2924</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2925</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94</v>
      </c>
      <c r="F26" s="14"/>
      <c r="G26" s="15" t="s">
        <v>3037</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502" t="s">
        <v>3038</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2930</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503" t="s">
        <v>2931</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503" t="s">
        <v>2932</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504" t="s">
        <v>3027</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504" t="s">
        <v>3026</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58" t="s">
        <v>3039</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503" t="s">
        <v>3040</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503" t="s">
        <v>3042</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503" t="s">
        <v>3041</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508" t="s">
        <v>326</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503" t="s">
        <v>3058</v>
      </c>
      <c r="J45" s="24"/>
      <c r="L45" s="397">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503" t="s">
        <v>3059</v>
      </c>
      <c r="J46" s="24"/>
      <c r="L46" s="397">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503" t="s">
        <v>3060</v>
      </c>
      <c r="J47" s="24"/>
      <c r="L47" s="397">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H49" s="358" t="s">
        <v>2745</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H50" s="503" t="s">
        <v>3063</v>
      </c>
      <c r="J50" s="24"/>
      <c r="L50" s="397">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4"/>
      <c r="H51" s="503" t="s">
        <v>3064</v>
      </c>
      <c r="J51" s="24"/>
      <c r="L51" s="397">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35">
      <c r="A52" s="7"/>
      <c r="B52" s="8"/>
      <c r="C52" s="18"/>
      <c r="D52" s="18"/>
      <c r="E52" s="18"/>
      <c r="F52" s="24"/>
      <c r="G52" s="24"/>
      <c r="H52" s="503" t="s">
        <v>3065</v>
      </c>
      <c r="J52" s="24"/>
      <c r="L52" s="397">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35">
      <c r="A53" s="7"/>
      <c r="B53" s="8"/>
      <c r="C53" s="18"/>
      <c r="D53" s="18"/>
      <c r="E53" s="18"/>
      <c r="F53" s="24"/>
      <c r="G53" s="24"/>
      <c r="H53" s="503" t="s">
        <v>3066</v>
      </c>
      <c r="J53" s="24"/>
      <c r="L53" s="397">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3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15" customHeight="1" x14ac:dyDescent="0.3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x14ac:dyDescent="0.3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3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3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15" customHeight="1" thickBot="1" x14ac:dyDescent="0.4">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15" customHeight="1" x14ac:dyDescent="0.3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35">
      <c r="A61" s="7"/>
      <c r="B61" s="8"/>
      <c r="C61" s="13"/>
      <c r="D61" s="13"/>
      <c r="E61" s="13" t="s">
        <v>94</v>
      </c>
      <c r="F61" s="14"/>
      <c r="G61" s="15" t="s">
        <v>3048</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3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3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3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35">
      <c r="A65" s="7"/>
      <c r="B65" s="8"/>
      <c r="C65" s="18"/>
      <c r="D65" s="18"/>
      <c r="E65" s="18"/>
      <c r="F65" s="18"/>
      <c r="G65" s="18"/>
      <c r="H65" s="18"/>
      <c r="I65" s="18"/>
      <c r="J65" s="18"/>
      <c r="K65" s="18"/>
      <c r="L65" s="18"/>
      <c r="M65" s="18"/>
      <c r="N65" s="18"/>
      <c r="O65" s="18"/>
      <c r="P65" s="18"/>
      <c r="Q65" s="18"/>
      <c r="R65" s="18"/>
      <c r="S65" s="18"/>
      <c r="T65" s="18"/>
      <c r="U65" s="18"/>
      <c r="V65" s="21"/>
      <c r="W65" s="18" t="s">
        <v>3053</v>
      </c>
      <c r="X65" s="21"/>
      <c r="Y65" s="18" t="s">
        <v>3053</v>
      </c>
      <c r="Z65" s="18"/>
      <c r="AA65" s="18"/>
      <c r="AB65" s="21"/>
      <c r="AC65" s="21"/>
      <c r="AD65" s="21"/>
      <c r="AE65" s="17"/>
      <c r="AF65" s="9"/>
      <c r="AG65" s="9"/>
      <c r="AH65" s="9"/>
    </row>
    <row r="66" spans="1:34" ht="12" customHeight="1" x14ac:dyDescent="0.35">
      <c r="A66" s="7"/>
      <c r="B66" s="8"/>
      <c r="C66" s="18"/>
      <c r="D66" s="18"/>
      <c r="E66" s="18"/>
      <c r="F66" s="18"/>
      <c r="G66" s="18" t="s">
        <v>3045</v>
      </c>
      <c r="H66" s="18"/>
      <c r="I66" s="18" t="s">
        <v>3047</v>
      </c>
      <c r="J66" s="18"/>
      <c r="K66" s="18"/>
      <c r="L66" s="18" t="s">
        <v>3046</v>
      </c>
      <c r="M66" s="18"/>
      <c r="N66" s="18" t="s">
        <v>3043</v>
      </c>
      <c r="O66" s="18"/>
      <c r="P66" s="18" t="s">
        <v>3044</v>
      </c>
      <c r="Q66" s="18"/>
      <c r="R66" s="18"/>
      <c r="S66" s="18"/>
      <c r="T66" s="18"/>
      <c r="U66" s="18" t="s">
        <v>3050</v>
      </c>
      <c r="V66" s="21"/>
      <c r="W66" s="18" t="s">
        <v>3051</v>
      </c>
      <c r="X66" s="21"/>
      <c r="Y66" s="18" t="s">
        <v>3052</v>
      </c>
      <c r="Z66" s="18"/>
      <c r="AA66" s="18" t="s">
        <v>3049</v>
      </c>
      <c r="AB66" s="21"/>
      <c r="AC66" s="21"/>
      <c r="AD66" s="21"/>
      <c r="AE66" s="17"/>
      <c r="AF66" s="9"/>
      <c r="AG66" s="9"/>
      <c r="AH66" s="9"/>
    </row>
    <row r="67" spans="1:34" ht="12" customHeight="1" x14ac:dyDescent="0.35">
      <c r="A67" s="7"/>
      <c r="B67" s="8"/>
      <c r="C67" s="18"/>
      <c r="D67" s="18"/>
      <c r="E67" s="18"/>
      <c r="F67" s="24"/>
      <c r="G67" s="397">
        <v>0.01</v>
      </c>
      <c r="H67" s="24"/>
      <c r="I67" s="397">
        <v>6.0000000000000001E-3</v>
      </c>
      <c r="J67" s="24"/>
      <c r="K67" s="24"/>
      <c r="L67" s="397">
        <v>0.4</v>
      </c>
      <c r="N67" s="397">
        <v>0.96</v>
      </c>
      <c r="O67" s="24"/>
      <c r="P67" s="533" t="str">
        <f>General!G37</f>
        <v>b</v>
      </c>
      <c r="Q67" s="397">
        <v>0.32</v>
      </c>
      <c r="R67" s="24"/>
      <c r="S67" s="24"/>
      <c r="T67" t="s">
        <v>3054</v>
      </c>
      <c r="U67" s="494">
        <v>0.4</v>
      </c>
      <c r="V67" s="24"/>
      <c r="W67" s="495">
        <v>1.4999999999999999E-2</v>
      </c>
      <c r="X67" s="507"/>
      <c r="Y67" s="495">
        <v>1.2E-2</v>
      </c>
      <c r="Z67" s="24"/>
      <c r="AA67" s="397">
        <v>0.1</v>
      </c>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533" t="str">
        <f>General!G38</f>
        <v>bd</v>
      </c>
      <c r="Q68" s="397">
        <v>0.32</v>
      </c>
      <c r="R68" s="24"/>
      <c r="S68" s="24"/>
      <c r="T68" t="s">
        <v>3055</v>
      </c>
      <c r="U68" s="494">
        <v>0.4</v>
      </c>
      <c r="V68" s="24"/>
      <c r="W68" s="495">
        <v>2.7E-2</v>
      </c>
      <c r="X68" s="507"/>
      <c r="Y68" s="495">
        <v>1.9E-2</v>
      </c>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533" t="str">
        <f>General!G39</f>
        <v>f</v>
      </c>
      <c r="Q69" s="397">
        <v>0.51</v>
      </c>
      <c r="R69" s="24"/>
      <c r="S69" s="24"/>
      <c r="T69" t="s">
        <v>3056</v>
      </c>
      <c r="U69" s="494">
        <v>0.8</v>
      </c>
      <c r="V69" s="24"/>
      <c r="W69" s="495">
        <v>1.4999999999999999E-2</v>
      </c>
      <c r="X69" s="507"/>
      <c r="Y69" s="495">
        <v>1.2E-2</v>
      </c>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s="533" t="str">
        <f>General!G40</f>
        <v>h</v>
      </c>
      <c r="Q70" s="397">
        <v>0.43</v>
      </c>
      <c r="R70" s="24"/>
      <c r="S70" s="24"/>
      <c r="T70" t="s">
        <v>3057</v>
      </c>
      <c r="U70" s="494">
        <v>0.4</v>
      </c>
      <c r="V70" s="24"/>
      <c r="W70" s="495">
        <v>1.4999999999999999E-2</v>
      </c>
      <c r="X70" s="507"/>
      <c r="Y70" s="495">
        <v>1.2E-2</v>
      </c>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533" t="str">
        <f>General!G41</f>
        <v>i</v>
      </c>
      <c r="Q71" s="397">
        <v>0.51</v>
      </c>
      <c r="R71" s="24"/>
      <c r="S71" s="24"/>
      <c r="T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533" t="str">
        <f>General!G42</f>
        <v>k</v>
      </c>
      <c r="Q72" s="397">
        <v>0.51</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533" t="str">
        <f>General!G43</f>
        <v>l</v>
      </c>
      <c r="Q73" s="397">
        <v>0.51</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533" t="str">
        <f>General!G44</f>
        <v>ms</v>
      </c>
      <c r="Q74" s="397">
        <v>0.48</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533" t="str">
        <f>General!G45</f>
        <v>o</v>
      </c>
      <c r="Q75" s="397">
        <v>0.43</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533" t="str">
        <f>General!G46</f>
        <v>od</v>
      </c>
      <c r="Q76" s="397">
        <v>0.43</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533" t="str">
        <f>General!G47</f>
        <v>of</v>
      </c>
      <c r="Q77" s="397">
        <v>0.43</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533" t="str">
        <f>General!G48</f>
        <v>r</v>
      </c>
      <c r="Q78" s="397">
        <v>0.33</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533" t="str">
        <f>General!G49</f>
        <v>rd</v>
      </c>
      <c r="Q79" s="397">
        <v>0.33</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24"/>
      <c r="I80" s="24"/>
      <c r="J80" s="24"/>
      <c r="K80" s="24"/>
      <c r="N80" s="24"/>
      <c r="O80" s="24"/>
      <c r="P80" s="533" t="str">
        <f>General!G50</f>
        <v>v</v>
      </c>
      <c r="Q80" s="397">
        <v>0.51</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4"/>
      <c r="H81" s="24"/>
      <c r="I81" s="24"/>
      <c r="J81" s="24"/>
      <c r="K81" s="24"/>
      <c r="N81" s="24"/>
      <c r="O81" s="24"/>
      <c r="P81" s="533" t="str">
        <f>General!G51</f>
        <v>w</v>
      </c>
      <c r="Q81" s="397">
        <v>0.28999999999999998</v>
      </c>
      <c r="R81" s="24"/>
      <c r="S81" s="24"/>
      <c r="T81" s="24"/>
      <c r="U81" s="24"/>
      <c r="V81" s="24"/>
      <c r="W81" s="24"/>
      <c r="X81" s="24"/>
      <c r="Y81" s="24"/>
      <c r="Z81" s="24"/>
      <c r="AA81" s="24"/>
      <c r="AB81" s="27"/>
      <c r="AC81" s="27"/>
      <c r="AD81" s="27"/>
      <c r="AE81" s="17"/>
      <c r="AF81" s="9"/>
      <c r="AG81" s="9"/>
      <c r="AH81" s="9"/>
    </row>
    <row r="82" spans="1:34" ht="12" customHeight="1" x14ac:dyDescent="0.35">
      <c r="A82" s="7"/>
      <c r="B82" s="8"/>
      <c r="C82" s="18"/>
      <c r="D82" s="18"/>
      <c r="E82" s="18"/>
      <c r="F82" s="24"/>
      <c r="G82" s="24"/>
      <c r="H82" s="24"/>
      <c r="I82" s="24"/>
      <c r="J82" s="24"/>
      <c r="K82" s="24"/>
      <c r="N82" s="24"/>
      <c r="O82" s="24"/>
      <c r="P82" s="533" t="str">
        <f>General!G52</f>
        <v>wd</v>
      </c>
      <c r="Q82" s="397">
        <v>0.28999999999999998</v>
      </c>
      <c r="R82" s="24"/>
      <c r="S82" s="24"/>
      <c r="T82" s="24"/>
      <c r="U82" s="24"/>
      <c r="V82" s="24"/>
      <c r="W82" s="24"/>
      <c r="X82" s="24"/>
      <c r="Y82" s="24"/>
      <c r="Z82" s="24"/>
      <c r="AA82" s="24"/>
      <c r="AB82" s="27"/>
      <c r="AC82" s="27"/>
      <c r="AD82" s="27"/>
      <c r="AE82" s="17"/>
      <c r="AF82" s="9"/>
      <c r="AG82" s="9"/>
      <c r="AH82" s="9"/>
    </row>
    <row r="83" spans="1:34" ht="12" customHeight="1" x14ac:dyDescent="0.35">
      <c r="A83" s="7"/>
      <c r="B83" s="8"/>
      <c r="C83" s="18"/>
      <c r="D83" s="18"/>
      <c r="E83" s="18"/>
      <c r="F83" s="24"/>
      <c r="G83" s="24"/>
      <c r="H83" s="24"/>
      <c r="I83" s="24"/>
      <c r="J83" s="24"/>
      <c r="K83" s="24"/>
      <c r="N83" s="24"/>
      <c r="O83" s="24"/>
      <c r="P83" s="533" t="str">
        <f>General!G53</f>
        <v>z</v>
      </c>
      <c r="Q83" s="397">
        <v>0.33</v>
      </c>
      <c r="R83" s="24"/>
      <c r="S83" s="24"/>
      <c r="T83" s="24"/>
      <c r="U83" s="24"/>
      <c r="V83" s="24"/>
      <c r="W83" s="24"/>
      <c r="X83" s="24"/>
      <c r="Y83" s="24"/>
      <c r="Z83" s="24"/>
      <c r="AA83" s="24"/>
      <c r="AB83" s="27"/>
      <c r="AC83" s="27"/>
      <c r="AD83" s="27"/>
      <c r="AE83" s="17"/>
      <c r="AF83" s="9"/>
      <c r="AG83" s="9"/>
      <c r="AH83" s="9"/>
    </row>
    <row r="84" spans="1:34" ht="12" customHeight="1" x14ac:dyDescent="0.35">
      <c r="A84" s="7"/>
      <c r="B84" s="8"/>
      <c r="C84" s="18"/>
      <c r="D84" s="18"/>
      <c r="E84" s="18"/>
      <c r="F84" s="24"/>
      <c r="G84" s="24"/>
      <c r="H84" s="503"/>
      <c r="I84" s="503"/>
      <c r="J84" s="24"/>
      <c r="K84" s="503"/>
      <c r="N84" s="503"/>
      <c r="O84" s="24"/>
      <c r="P84" s="533" t="str">
        <f>General!G54</f>
        <v>zd</v>
      </c>
      <c r="Q84" s="397">
        <v>0.33</v>
      </c>
      <c r="R84" s="24"/>
      <c r="S84" s="24"/>
      <c r="T84" s="24"/>
      <c r="U84" s="24"/>
      <c r="V84" s="24"/>
      <c r="W84" s="24"/>
      <c r="X84" s="24"/>
      <c r="Y84" s="24"/>
      <c r="Z84" s="24"/>
      <c r="AA84" s="24"/>
      <c r="AB84" s="27"/>
      <c r="AC84" s="27"/>
      <c r="AD84" s="27"/>
      <c r="AE84" s="17"/>
      <c r="AF84" s="9"/>
      <c r="AG84" s="9"/>
      <c r="AH84" s="9"/>
    </row>
    <row r="85" spans="1:34" ht="12" customHeight="1" x14ac:dyDescent="0.35">
      <c r="A85" s="7"/>
      <c r="B85" s="8"/>
      <c r="C85" s="18"/>
      <c r="D85" s="18"/>
      <c r="E85" s="18"/>
      <c r="F85" s="24"/>
      <c r="G85" s="28"/>
      <c r="H85" s="28"/>
      <c r="I85" s="506"/>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15" customHeight="1" x14ac:dyDescent="0.3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5" customHeight="1" x14ac:dyDescent="0.3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3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3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15" customHeight="1" thickBot="1" x14ac:dyDescent="0.4">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15" customHeight="1" x14ac:dyDescent="0.3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35">
      <c r="A92" s="7"/>
      <c r="B92" s="8"/>
      <c r="C92" s="13"/>
      <c r="D92" s="13"/>
      <c r="E92" s="13" t="s">
        <v>94</v>
      </c>
      <c r="F92" s="14"/>
      <c r="G92" s="15" t="s">
        <v>3028</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3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3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3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3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35">
      <c r="A97" s="7"/>
      <c r="B97" s="8"/>
      <c r="C97" s="18"/>
      <c r="D97" s="18"/>
      <c r="E97" s="18"/>
      <c r="F97" s="18"/>
      <c r="G97" s="18"/>
      <c r="H97" s="18"/>
      <c r="I97" s="18"/>
      <c r="J97" s="18"/>
      <c r="K97" s="18"/>
      <c r="L97" s="18" t="s">
        <v>3035</v>
      </c>
      <c r="M97" s="18"/>
      <c r="N97" s="18" t="s">
        <v>3034</v>
      </c>
      <c r="O97" s="18"/>
      <c r="P97" s="18" t="s">
        <v>3036</v>
      </c>
      <c r="Q97" s="18"/>
      <c r="R97" s="18"/>
      <c r="S97" s="18"/>
      <c r="T97" s="18"/>
      <c r="U97" s="18"/>
      <c r="V97" s="18"/>
      <c r="W97" s="18"/>
      <c r="X97" s="18"/>
      <c r="Y97" s="18"/>
      <c r="Z97" s="18"/>
      <c r="AA97" s="18"/>
      <c r="AB97" s="21"/>
      <c r="AC97" s="21"/>
      <c r="AD97" s="21"/>
      <c r="AE97" s="17"/>
      <c r="AF97" s="9"/>
      <c r="AG97" s="9"/>
      <c r="AH97" s="9"/>
    </row>
    <row r="98" spans="1:34" ht="12" customHeight="1" x14ac:dyDescent="0.35">
      <c r="A98" s="7"/>
      <c r="B98" s="8"/>
      <c r="C98" s="18"/>
      <c r="D98" s="18"/>
      <c r="E98" s="18"/>
      <c r="F98" s="24"/>
      <c r="G98" s="24"/>
      <c r="H98" s="502" t="s">
        <v>3030</v>
      </c>
      <c r="I98" s="503"/>
      <c r="J98" s="24"/>
      <c r="K98" s="503"/>
      <c r="L98" s="503"/>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35">
      <c r="A99" s="7"/>
      <c r="B99" s="8"/>
      <c r="C99" s="18"/>
      <c r="D99" s="18"/>
      <c r="E99" s="18"/>
      <c r="F99" s="24"/>
      <c r="G99" s="24"/>
      <c r="H99" s="24"/>
      <c r="I99" s="503" t="s">
        <v>3031</v>
      </c>
      <c r="J99" s="24"/>
      <c r="K99" s="503"/>
      <c r="L99" s="495">
        <v>0.21</v>
      </c>
      <c r="M99" s="24"/>
      <c r="N99" s="495">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24"/>
      <c r="I100" s="503"/>
      <c r="J100" s="24"/>
      <c r="K100" s="503"/>
      <c r="L100" s="503"/>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502" t="s">
        <v>3029</v>
      </c>
      <c r="I101" s="503"/>
      <c r="J101" s="24"/>
      <c r="K101" s="503"/>
      <c r="L101" s="503"/>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503"/>
      <c r="I102" s="503" t="s">
        <v>3032</v>
      </c>
      <c r="J102" s="24"/>
      <c r="K102" s="503"/>
      <c r="L102" s="397">
        <v>1</v>
      </c>
      <c r="M102" s="24"/>
      <c r="N102" s="397">
        <v>0.223</v>
      </c>
      <c r="O102" s="24"/>
      <c r="P102" s="397">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503"/>
      <c r="I103" s="503" t="s">
        <v>3033</v>
      </c>
      <c r="J103" s="24"/>
      <c r="K103" s="503"/>
      <c r="L103" s="397">
        <v>0.24</v>
      </c>
      <c r="M103" s="24"/>
      <c r="N103" s="397">
        <v>0.24</v>
      </c>
      <c r="O103" s="24"/>
      <c r="P103" s="397">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504"/>
      <c r="I104" s="504"/>
      <c r="J104" s="24"/>
      <c r="K104" s="503"/>
      <c r="L104" s="503"/>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505"/>
      <c r="I105" s="504"/>
      <c r="J105" s="24"/>
      <c r="K105" s="503"/>
      <c r="L105" s="503"/>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503"/>
      <c r="I106" s="358" t="s">
        <v>3067</v>
      </c>
      <c r="J106" s="24"/>
      <c r="K106" s="503"/>
      <c r="L106" s="503"/>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4"/>
      <c r="H107" s="503"/>
      <c r="I107" s="337" t="s">
        <v>3068</v>
      </c>
      <c r="J107" s="24"/>
      <c r="K107" s="503"/>
      <c r="L107" s="503"/>
      <c r="M107" s="24"/>
      <c r="N107" s="397">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35">
      <c r="A108" s="7"/>
      <c r="B108" s="8"/>
      <c r="C108" s="18"/>
      <c r="D108" s="18"/>
      <c r="E108" s="18"/>
      <c r="F108" s="24"/>
      <c r="G108" s="24"/>
      <c r="H108" s="503"/>
      <c r="I108" s="337" t="s">
        <v>3069</v>
      </c>
      <c r="J108" s="24"/>
      <c r="K108" s="503"/>
      <c r="L108" s="503"/>
      <c r="M108" s="24"/>
      <c r="N108" s="397">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35">
      <c r="A109" s="7"/>
      <c r="B109" s="8"/>
      <c r="C109" s="18"/>
      <c r="D109" s="18"/>
      <c r="E109" s="18"/>
      <c r="F109" s="24"/>
      <c r="G109" s="24"/>
      <c r="H109" s="503"/>
      <c r="I109" s="337" t="s">
        <v>3070</v>
      </c>
      <c r="J109" s="24"/>
      <c r="K109" s="503"/>
      <c r="L109" s="503"/>
      <c r="M109" s="24"/>
      <c r="N109" s="397">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35">
      <c r="A110" s="7"/>
      <c r="B110" s="8"/>
      <c r="C110" s="18"/>
      <c r="D110" s="18"/>
      <c r="E110" s="18"/>
      <c r="F110" s="24"/>
      <c r="G110" s="24"/>
      <c r="H110" s="503"/>
      <c r="I110" s="503"/>
      <c r="J110" s="24"/>
      <c r="K110" s="503"/>
      <c r="L110" s="503"/>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35">
      <c r="A111" s="7"/>
      <c r="B111" s="8"/>
      <c r="C111" s="18"/>
      <c r="D111" s="18"/>
      <c r="E111" s="18"/>
      <c r="F111" s="24"/>
      <c r="G111" s="28"/>
      <c r="H111" s="28"/>
      <c r="I111" s="506"/>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15" customHeight="1" x14ac:dyDescent="0.3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5" customHeight="1" x14ac:dyDescent="0.3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3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322" activePane="bottomRight" state="frozen"/>
      <selection activeCell="A6" sqref="A6"/>
      <selection pane="topRight" activeCell="K6" sqref="K6"/>
      <selection pane="bottomLeft" activeCell="A22" sqref="A22"/>
      <selection pane="bottomRight" activeCell="J12" sqref="J12:X12"/>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9.26953125" customWidth="1"/>
    <col min="9" max="9" width="10.26953125" customWidth="1"/>
    <col min="10" max="10" width="33.1796875"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142</v>
      </c>
      <c r="I11" s="286">
        <v>45421.937517013903</v>
      </c>
      <c r="J11" s="617" t="s">
        <v>3252</v>
      </c>
      <c r="K11" s="613"/>
      <c r="L11" s="613"/>
      <c r="M11" s="613"/>
      <c r="N11" s="613"/>
      <c r="O11" s="613"/>
      <c r="P11" s="613"/>
      <c r="Q11" s="613"/>
      <c r="R11" s="613"/>
      <c r="S11" s="613"/>
      <c r="T11" s="613"/>
      <c r="U11" s="613"/>
      <c r="V11" s="613"/>
      <c r="W11" s="613"/>
      <c r="X11" s="613"/>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143</v>
      </c>
      <c r="I12" s="278">
        <v>45440.683701736103</v>
      </c>
      <c r="J12" s="614" t="s">
        <v>3255</v>
      </c>
      <c r="K12" s="615"/>
      <c r="L12" s="615"/>
      <c r="M12" s="615"/>
      <c r="N12" s="615"/>
      <c r="O12" s="615"/>
      <c r="P12" s="615"/>
      <c r="Q12" s="615"/>
      <c r="R12" s="615"/>
      <c r="S12" s="615"/>
      <c r="T12" s="615"/>
      <c r="U12" s="615"/>
      <c r="V12" s="615"/>
      <c r="W12" s="615"/>
      <c r="X12" s="616"/>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57"/>
      <c r="AT13" s="457"/>
    </row>
    <row r="14" spans="1:46"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134</v>
      </c>
      <c r="F30" s="65">
        <v>1</v>
      </c>
      <c r="G30" s="66"/>
      <c r="H30" s="67" t="s">
        <v>2317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2316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57"/>
      <c r="AT41" s="457"/>
    </row>
    <row r="42" spans="1:46" outlineLevel="1" collapsed="1" x14ac:dyDescent="0.3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INT($C$29)+2</f>
        <v>3</v>
      </c>
      <c r="D44" s="73"/>
      <c r="E44" s="70"/>
      <c r="F44" s="70"/>
      <c r="G44" s="73"/>
      <c r="H44" s="76" t="s">
        <v>2603</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INT($C$29)+2</f>
        <v>3</v>
      </c>
      <c r="D45" s="73"/>
      <c r="E45" s="70"/>
      <c r="F45" s="70"/>
      <c r="G45" s="73"/>
      <c r="H45" s="76"/>
      <c r="I45" s="97">
        <v>158</v>
      </c>
      <c r="J45" s="96" t="s">
        <v>672</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2759</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155</v>
      </c>
      <c r="I48" s="76" t="s">
        <v>156</v>
      </c>
      <c r="J48" s="347" t="str">
        <f>IF(J$38 = 0, "Intercept ","")&amp;"scan_per^"&amp;J$38</f>
        <v>Intercept scan_per^0</v>
      </c>
      <c r="K48" s="347" t="str">
        <f>IF(K$38 = 0, "Intercept ","")&amp;"scan_per^"&amp;K$38</f>
        <v>scan_per^1</v>
      </c>
      <c r="L48" s="347" t="str">
        <f>IF(L$38 = 0, "Intercept ","")&amp;"scan_per^"&amp;L$38</f>
        <v>scan_per^2</v>
      </c>
      <c r="M48" s="347" t="str">
        <f>IF(M$38 = 0, "Intercept ","")&amp;"scan_per^"&amp;M$38</f>
        <v>scan_per^3</v>
      </c>
      <c r="N48" s="347" t="str">
        <f>IF(N$38 = 0, "Intercept ","")&amp;"scan_per^"&amp;N$38</f>
        <v>scan_per^4</v>
      </c>
      <c r="O48" s="76"/>
      <c r="P48" s="451" t="s">
        <v>2760</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INT($C$29)+2</f>
        <v>3</v>
      </c>
      <c r="D54" s="73"/>
      <c r="E54" s="70"/>
      <c r="F54" s="70"/>
      <c r="G54" s="73"/>
      <c r="H54" s="76" t="s">
        <v>2190</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57"/>
      <c r="AT55" s="457"/>
    </row>
    <row r="56" spans="1:46" outlineLevel="1" collapsed="1" x14ac:dyDescent="0.3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138</v>
      </c>
      <c r="C90" s="87">
        <f>INT(MAX($C$92:$C$130))+1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182</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140</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2242</v>
      </c>
      <c r="J93" s="107"/>
      <c r="K93" s="107"/>
      <c r="L93" s="106" t="s">
        <v>183</v>
      </c>
      <c r="M93" s="107"/>
      <c r="N93" s="107"/>
      <c r="O93" s="106" t="s">
        <v>184</v>
      </c>
      <c r="P93" s="107"/>
      <c r="Q93" s="107"/>
      <c r="R93" s="107"/>
      <c r="S93" s="107" t="s">
        <v>185</v>
      </c>
      <c r="T93" s="107"/>
      <c r="U93" s="107" t="s">
        <v>186</v>
      </c>
      <c r="V93" s="107"/>
      <c r="W93" s="106" t="s">
        <v>2733</v>
      </c>
      <c r="X93" s="107"/>
      <c r="Y93" s="107"/>
      <c r="Z93" s="107"/>
      <c r="AA93" s="107"/>
      <c r="AB93" s="107"/>
      <c r="AC93" s="76"/>
      <c r="AD93" s="76" t="s">
        <v>2732</v>
      </c>
      <c r="AE93" s="76"/>
      <c r="AF93" s="76"/>
      <c r="AG93" s="76"/>
      <c r="AH93" s="76"/>
      <c r="AI93" s="76"/>
      <c r="AJ93" s="76"/>
      <c r="AK93" s="76"/>
      <c r="AL93" s="76"/>
      <c r="AM93" s="76"/>
      <c r="AN93" s="73"/>
      <c r="AO93" s="57"/>
      <c r="AP93" s="45"/>
      <c r="AQ93" s="45"/>
      <c r="AR93" s="45"/>
      <c r="AS93" s="457"/>
      <c r="AT93" s="457"/>
      <c r="AX93" s="445" t="s">
        <v>2218</v>
      </c>
      <c r="BD93" t="s">
        <v>2272</v>
      </c>
    </row>
    <row r="94" spans="1:65" hidden="1" outlineLevel="2" x14ac:dyDescent="0.35">
      <c r="A94" s="45"/>
      <c r="B94" s="54"/>
      <c r="C94" s="87">
        <f>INT($C$81)+2</f>
        <v>3</v>
      </c>
      <c r="D94" s="73"/>
      <c r="E94" s="70"/>
      <c r="F94" s="70"/>
      <c r="G94" s="73"/>
      <c r="H94" s="76"/>
      <c r="I94" s="95" t="s">
        <v>2353</v>
      </c>
      <c r="J94" s="95"/>
      <c r="K94" s="95"/>
      <c r="L94" s="95" t="s">
        <v>187</v>
      </c>
      <c r="M94" s="95"/>
      <c r="N94" s="95"/>
      <c r="O94" s="96" t="s">
        <v>188</v>
      </c>
      <c r="P94" s="96" t="s">
        <v>189</v>
      </c>
      <c r="Q94" s="96" t="s">
        <v>190</v>
      </c>
      <c r="R94" s="96" t="s">
        <v>191</v>
      </c>
      <c r="S94" s="96" t="s">
        <v>188</v>
      </c>
      <c r="T94" s="96" t="s">
        <v>192</v>
      </c>
      <c r="U94" s="96" t="s">
        <v>188</v>
      </c>
      <c r="V94" s="96" t="s">
        <v>192</v>
      </c>
      <c r="W94" s="95" t="s">
        <v>193</v>
      </c>
      <c r="X94" s="95"/>
      <c r="Y94" s="95"/>
      <c r="Z94" s="95"/>
      <c r="AA94" s="95"/>
      <c r="AB94" s="95"/>
      <c r="AC94" s="76"/>
      <c r="AD94" s="76" t="s">
        <v>195</v>
      </c>
      <c r="AE94" s="76"/>
      <c r="AF94" s="76"/>
      <c r="AG94" s="76"/>
      <c r="AH94" s="76"/>
      <c r="AI94" s="76"/>
      <c r="AJ94" s="76"/>
      <c r="AK94" s="76"/>
      <c r="AL94" s="76"/>
      <c r="AM94" s="76"/>
      <c r="AN94" s="73"/>
      <c r="AO94" s="57"/>
      <c r="AP94" s="45"/>
      <c r="AQ94" s="45"/>
      <c r="AR94" s="45"/>
      <c r="AS94" s="457"/>
      <c r="AT94" s="457"/>
      <c r="AV94" s="76" t="s">
        <v>194</v>
      </c>
      <c r="AX94" s="445" t="str">
        <f>"Calculated from "&amp;$AD$110</f>
        <v>Calculated from Inputs from Mecardo (Andrew Wood) Nov 2020</v>
      </c>
      <c r="BD94" t="s">
        <v>2273</v>
      </c>
    </row>
    <row r="95" spans="1:65" hidden="1" outlineLevel="3" x14ac:dyDescent="0.35">
      <c r="A95" s="45"/>
      <c r="B95" s="54"/>
      <c r="C95" s="87">
        <f t="shared" ref="C95:C108" si="2">INT($C$81)+3</f>
        <v>4</v>
      </c>
      <c r="D95" s="73"/>
      <c r="E95" s="70"/>
      <c r="F95" s="70" t="s">
        <v>196</v>
      </c>
      <c r="G95" s="73"/>
      <c r="H95" s="108" t="s">
        <v>2219</v>
      </c>
      <c r="I95" s="79">
        <v>20</v>
      </c>
      <c r="J95" s="79">
        <v>50</v>
      </c>
      <c r="K95" s="79">
        <v>80</v>
      </c>
      <c r="L95" s="80">
        <v>0.01</v>
      </c>
      <c r="M95" s="80">
        <v>0.02</v>
      </c>
      <c r="N95" s="80">
        <v>0.05</v>
      </c>
      <c r="O95" s="79">
        <v>40</v>
      </c>
      <c r="P95" s="79">
        <v>60</v>
      </c>
      <c r="Q95" s="79">
        <v>80</v>
      </c>
      <c r="R95" s="79">
        <v>95</v>
      </c>
      <c r="S95" s="79">
        <v>0</v>
      </c>
      <c r="T95" s="79">
        <v>100</v>
      </c>
      <c r="U95" s="79">
        <v>0</v>
      </c>
      <c r="V95" s="79">
        <v>100</v>
      </c>
      <c r="W95" s="79" t="s">
        <v>197</v>
      </c>
      <c r="X95" s="79" t="s">
        <v>198</v>
      </c>
      <c r="Y95" s="79" t="s">
        <v>199</v>
      </c>
      <c r="Z95" s="79" t="s">
        <v>200</v>
      </c>
      <c r="AA95" s="79" t="s">
        <v>201</v>
      </c>
      <c r="AB95" s="79" t="s">
        <v>202</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2274</v>
      </c>
      <c r="BE95" s="160">
        <v>70</v>
      </c>
      <c r="BF95">
        <f>IFERROR(MIN(2,MATCH($BE95,i_woolp_mpg_range_w5,1)),1)-1</f>
        <v>1</v>
      </c>
      <c r="BG95" t="s">
        <v>2275</v>
      </c>
      <c r="BH95" s="97">
        <v>50</v>
      </c>
      <c r="BI95">
        <f>IFERROR(MIN(2,MATCH($BH95,i_woolp_fdprem_range_w5,1)),1)-1</f>
        <v>1</v>
      </c>
      <c r="BK95" s="325" t="s">
        <v>2355</v>
      </c>
      <c r="BL95" s="325"/>
      <c r="BM95" s="325"/>
    </row>
    <row r="96" spans="1:65" hidden="1" outlineLevel="3" x14ac:dyDescent="0.35">
      <c r="A96" s="45"/>
      <c r="B96" s="54"/>
      <c r="C96" s="87">
        <f t="shared" si="2"/>
        <v>4</v>
      </c>
      <c r="D96" s="73"/>
      <c r="E96" s="70"/>
      <c r="F96" s="70">
        <f t="shared" ref="F96:F105" si="3">($J97-$J96)/($H97-$H96)</f>
        <v>-121.74424941781507</v>
      </c>
      <c r="G96" s="73"/>
      <c r="H96" s="79">
        <v>12</v>
      </c>
      <c r="I96" s="111">
        <f t="shared" ref="I96:K98" si="4">EXP(LN(I97)+(LN(I97)-LN(I98))*($H97-$H96)/($H98-$H97))</f>
        <v>1746.5388871656651</v>
      </c>
      <c r="J96" s="111">
        <f t="shared" si="4"/>
        <v>2225.9222464110985</v>
      </c>
      <c r="K96" s="111">
        <f t="shared" si="4"/>
        <v>8836.6030811646269</v>
      </c>
      <c r="L96" s="112">
        <f t="shared" ref="L96:AB98" si="5">L97</f>
        <v>0</v>
      </c>
      <c r="M96" s="112">
        <f t="shared" si="5"/>
        <v>-2.2771633051398829E-2</v>
      </c>
      <c r="N96" s="112">
        <f t="shared" si="5"/>
        <v>-6.5061808718282363E-2</v>
      </c>
      <c r="O96" s="113">
        <f t="shared" si="5"/>
        <v>-3.2530904359141188E-2</v>
      </c>
      <c r="P96" s="113">
        <f t="shared" si="5"/>
        <v>-1.3012361743656473E-2</v>
      </c>
      <c r="Q96" s="113">
        <f t="shared" si="5"/>
        <v>0</v>
      </c>
      <c r="R96" s="113">
        <f t="shared" si="5"/>
        <v>4.8796356538711779E-3</v>
      </c>
      <c r="S96" s="113">
        <f t="shared" si="5"/>
        <v>0</v>
      </c>
      <c r="T96" s="113">
        <f t="shared" si="5"/>
        <v>0</v>
      </c>
      <c r="U96" s="113">
        <f t="shared" si="5"/>
        <v>0</v>
      </c>
      <c r="V96" s="113">
        <f t="shared" si="5"/>
        <v>0</v>
      </c>
      <c r="W96" s="112">
        <f t="shared" si="5"/>
        <v>0.94399999999999995</v>
      </c>
      <c r="X96" s="114">
        <f t="shared" si="5"/>
        <v>0.82499999999999996</v>
      </c>
      <c r="Y96" s="114">
        <f t="shared" si="5"/>
        <v>0.82499999999999996</v>
      </c>
      <c r="Z96" s="114">
        <f t="shared" si="5"/>
        <v>0.57499999999999996</v>
      </c>
      <c r="AA96" s="114">
        <f t="shared" si="5"/>
        <v>0.60499999999999998</v>
      </c>
      <c r="AB96" s="114">
        <f t="shared" si="5"/>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2276</v>
      </c>
      <c r="BD96" s="333" t="s">
        <v>2277</v>
      </c>
      <c r="BE96" s="333" t="s">
        <v>2275</v>
      </c>
      <c r="BF96" s="342" t="s">
        <v>2281</v>
      </c>
      <c r="BG96" s="434" t="s">
        <v>2718</v>
      </c>
      <c r="BK96" s="331" t="s">
        <v>2354</v>
      </c>
      <c r="BL96" s="331" t="s">
        <v>2274</v>
      </c>
      <c r="BM96" s="331" t="s">
        <v>2275</v>
      </c>
    </row>
    <row r="97" spans="1:65" hidden="1" outlineLevel="3" x14ac:dyDescent="0.35">
      <c r="A97" s="45"/>
      <c r="B97" s="54"/>
      <c r="C97" s="87">
        <f t="shared" si="2"/>
        <v>4</v>
      </c>
      <c r="D97" s="73"/>
      <c r="E97" s="70"/>
      <c r="F97" s="70">
        <f t="shared" si="3"/>
        <v>-104.08780929347108</v>
      </c>
      <c r="G97" s="73"/>
      <c r="H97" s="79">
        <v>16</v>
      </c>
      <c r="I97" s="115">
        <f t="shared" si="4"/>
        <v>1410.0802502216773</v>
      </c>
      <c r="J97" s="115">
        <f t="shared" si="4"/>
        <v>1738.9452487398382</v>
      </c>
      <c r="K97" s="115">
        <f t="shared" si="4"/>
        <v>3387.0951966942207</v>
      </c>
      <c r="L97" s="295">
        <f t="shared" si="5"/>
        <v>0</v>
      </c>
      <c r="M97" s="295">
        <f t="shared" si="5"/>
        <v>-2.2771633051398829E-2</v>
      </c>
      <c r="N97" s="295">
        <f t="shared" si="5"/>
        <v>-6.5061808718282363E-2</v>
      </c>
      <c r="O97" s="296">
        <f t="shared" si="5"/>
        <v>-3.2530904359141188E-2</v>
      </c>
      <c r="P97" s="296">
        <f t="shared" si="5"/>
        <v>-1.3012361743656473E-2</v>
      </c>
      <c r="Q97" s="296">
        <f t="shared" si="5"/>
        <v>0</v>
      </c>
      <c r="R97" s="296">
        <f t="shared" si="5"/>
        <v>4.8796356538711779E-3</v>
      </c>
      <c r="S97" s="296">
        <f t="shared" si="5"/>
        <v>0</v>
      </c>
      <c r="T97" s="296">
        <f t="shared" si="5"/>
        <v>0</v>
      </c>
      <c r="U97" s="296">
        <f t="shared" si="5"/>
        <v>0</v>
      </c>
      <c r="V97" s="296">
        <f t="shared" si="5"/>
        <v>0</v>
      </c>
      <c r="W97" s="295">
        <f t="shared" si="5"/>
        <v>0.94399999999999995</v>
      </c>
      <c r="X97" s="259">
        <f t="shared" si="5"/>
        <v>0.82499999999999996</v>
      </c>
      <c r="Y97" s="259">
        <f t="shared" si="5"/>
        <v>0.82499999999999996</v>
      </c>
      <c r="Z97" s="259">
        <f t="shared" si="5"/>
        <v>0.57499999999999996</v>
      </c>
      <c r="AA97" s="259">
        <f t="shared" si="5"/>
        <v>0.60499999999999998</v>
      </c>
      <c r="AB97" s="259">
        <f t="shared" si="5"/>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6">($J$123*$W97*(1+FORECAST($H97+$J$124,OFFSET($AD$96:$AF$108,MATCH($H97+$J$124,i_woolp_fd_range_w4,1)-1,AC$89-1,2,1),OFFSET(i_woolp_fd_range_w4,MATCH($H97+$J$124,i_woolp_fd_range_w4,1)-1,0,2,1)))/(1+INDEX($AD97:$AF97,1,AC$89)))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7">((1+AD97)/(1+AD98))^(1/($H98-$H97))-1</f>
        <v>5.3097345132743445E-2</v>
      </c>
      <c r="AY97" s="119">
        <f t="shared" si="7"/>
        <v>0.13636363636363624</v>
      </c>
      <c r="AZ97" s="119">
        <f t="shared" si="7"/>
        <v>0.13291139240506333</v>
      </c>
      <c r="BC97" s="324">
        <f>$H97</f>
        <v>16</v>
      </c>
      <c r="BD97" s="325">
        <f t="shared" ref="BD97:BD109" ca="1" si="8">IF($BC97=i_woolp_fd_std,_xlfn.FORECAST.LINEAR($BE$95,OFFSET($I97:$K97,0,$BF$95,1,2),OFFSET(i_woolp_mpg_range_w5,0,$BF$95,1,2)),0)</f>
        <v>0</v>
      </c>
      <c r="BE97" s="326">
        <f t="shared" ref="BE97:BE109" ca="1" si="9">_xlfn.FORECAST.LINEAR($BH$95,OFFSET($AD97:$AF97,0,$BI$95,1,2),OFFSET(i_woolp_fdprem_range_w5,0,$BI$95,1,2))</f>
        <v>0.49999999999999994</v>
      </c>
      <c r="BF97" s="431">
        <f t="shared" ref="BF97:BF109" ca="1" si="10">SUM($BD$97:$BD$108)*(1+$BE97)*$W97</f>
        <v>2106.5360000000001</v>
      </c>
      <c r="BG97" s="431">
        <f t="shared" ref="BG97:BG104" ca="1" si="11">(SUM($BD$97:$BD$108)*(1+$BE97)*$AV97*(1-i_wool_cost_pc)-i_wool_cost_kg)*$K$139</f>
        <v>1290.4952291409238</v>
      </c>
      <c r="BK97" s="4">
        <v>44551</v>
      </c>
      <c r="BL97">
        <v>60</v>
      </c>
      <c r="BM97">
        <v>85</v>
      </c>
    </row>
    <row r="98" spans="1:65" hidden="1" outlineLevel="3" x14ac:dyDescent="0.35">
      <c r="A98" s="45"/>
      <c r="B98" s="54"/>
      <c r="C98" s="87">
        <f t="shared" si="2"/>
        <v>4</v>
      </c>
      <c r="D98" s="73"/>
      <c r="E98" s="70"/>
      <c r="F98" s="70">
        <f t="shared" si="3"/>
        <v>-97.857439446367152</v>
      </c>
      <c r="G98" s="73"/>
      <c r="H98" s="79">
        <v>17</v>
      </c>
      <c r="I98" s="115">
        <f t="shared" si="4"/>
        <v>1336.6269775187334</v>
      </c>
      <c r="J98" s="115">
        <f t="shared" si="4"/>
        <v>1634.8574394463672</v>
      </c>
      <c r="K98" s="115">
        <f t="shared" si="4"/>
        <v>2665.0963636363649</v>
      </c>
      <c r="L98" s="295">
        <f t="shared" si="5"/>
        <v>0</v>
      </c>
      <c r="M98" s="295">
        <f t="shared" si="5"/>
        <v>-2.2771633051398829E-2</v>
      </c>
      <c r="N98" s="295">
        <f t="shared" si="5"/>
        <v>-6.5061808718282363E-2</v>
      </c>
      <c r="O98" s="296">
        <f t="shared" si="5"/>
        <v>-3.2530904359141188E-2</v>
      </c>
      <c r="P98" s="296">
        <f t="shared" si="5"/>
        <v>-1.3012361743656473E-2</v>
      </c>
      <c r="Q98" s="296">
        <f t="shared" si="5"/>
        <v>0</v>
      </c>
      <c r="R98" s="296">
        <f t="shared" si="5"/>
        <v>4.8796356538711779E-3</v>
      </c>
      <c r="S98" s="296">
        <f t="shared" si="5"/>
        <v>0</v>
      </c>
      <c r="T98" s="296">
        <f t="shared" si="5"/>
        <v>0</v>
      </c>
      <c r="U98" s="296">
        <f t="shared" si="5"/>
        <v>0</v>
      </c>
      <c r="V98" s="296">
        <f t="shared" si="5"/>
        <v>0</v>
      </c>
      <c r="W98" s="295">
        <f t="shared" si="5"/>
        <v>0.94399999999999995</v>
      </c>
      <c r="X98" s="259">
        <f t="shared" si="5"/>
        <v>0.82499999999999996</v>
      </c>
      <c r="Y98" s="259">
        <f t="shared" si="5"/>
        <v>0.82499999999999996</v>
      </c>
      <c r="Z98" s="259">
        <f t="shared" si="5"/>
        <v>0.57499999999999996</v>
      </c>
      <c r="AA98" s="259">
        <f t="shared" si="5"/>
        <v>0.60499999999999998</v>
      </c>
      <c r="AB98" s="259">
        <f t="shared" si="5"/>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6"/>
        <v>0.92125318181818183</v>
      </c>
      <c r="AX98" s="119">
        <f t="shared" si="7"/>
        <v>4.6296296296296058E-2</v>
      </c>
      <c r="AY98" s="119">
        <f t="shared" si="7"/>
        <v>0.10000000000000009</v>
      </c>
      <c r="AZ98" s="119">
        <f t="shared" si="7"/>
        <v>0.14492753623188426</v>
      </c>
      <c r="BC98" s="327">
        <f t="shared" ref="BC98:BC109" si="12">$H98</f>
        <v>17</v>
      </c>
      <c r="BD98">
        <f t="shared" ca="1" si="8"/>
        <v>0</v>
      </c>
      <c r="BE98" s="328">
        <f t="shared" ca="1" si="9"/>
        <v>0.3199999999999999</v>
      </c>
      <c r="BF98" s="329">
        <f t="shared" ca="1" si="10"/>
        <v>1853.7516799999996</v>
      </c>
      <c r="BG98" s="329">
        <f t="shared" ca="1" si="11"/>
        <v>1138.1150853481711</v>
      </c>
    </row>
    <row r="99" spans="1:65" hidden="1" outlineLevel="3" x14ac:dyDescent="0.35">
      <c r="A99" s="45"/>
      <c r="B99" s="54"/>
      <c r="C99" s="87">
        <f t="shared" si="2"/>
        <v>4</v>
      </c>
      <c r="D99" s="73"/>
      <c r="E99" s="70"/>
      <c r="F99" s="70">
        <f t="shared" si="3"/>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6"/>
        <v>0.91863570000000017</v>
      </c>
      <c r="AX99" s="119">
        <f t="shared" si="7"/>
        <v>3.8461538461538547E-2</v>
      </c>
      <c r="AY99" s="119">
        <f t="shared" si="7"/>
        <v>8.1081081081080919E-2</v>
      </c>
      <c r="AZ99" s="119">
        <f t="shared" si="7"/>
        <v>0.13114754098360648</v>
      </c>
      <c r="BC99" s="327">
        <f t="shared" si="12"/>
        <v>18</v>
      </c>
      <c r="BD99">
        <f t="shared" ca="1" si="8"/>
        <v>0</v>
      </c>
      <c r="BE99" s="328">
        <f t="shared" ca="1" si="9"/>
        <v>0.2</v>
      </c>
      <c r="BF99" s="329">
        <f t="shared" ca="1" si="10"/>
        <v>1685.2287999999999</v>
      </c>
      <c r="BG99" s="329">
        <f t="shared" ca="1" si="11"/>
        <v>1031.6686405635335</v>
      </c>
    </row>
    <row r="100" spans="1:65" hidden="1" outlineLevel="3" x14ac:dyDescent="0.35">
      <c r="A100" s="45"/>
      <c r="B100" s="54"/>
      <c r="C100" s="87">
        <f t="shared" si="2"/>
        <v>4</v>
      </c>
      <c r="D100" s="73"/>
      <c r="E100" s="70"/>
      <c r="F100" s="70">
        <f t="shared" si="3"/>
        <v>-101</v>
      </c>
      <c r="G100" s="73"/>
      <c r="H100" s="79">
        <v>19</v>
      </c>
      <c r="I100" s="120">
        <v>1201</v>
      </c>
      <c r="J100" s="120">
        <v>1445</v>
      </c>
      <c r="K100" s="120">
        <v>1650</v>
      </c>
      <c r="L100" s="298">
        <f t="shared" ref="L100:AB106" si="13">L99</f>
        <v>0</v>
      </c>
      <c r="M100" s="298">
        <f t="shared" si="13"/>
        <v>-2.2771633051398829E-2</v>
      </c>
      <c r="N100" s="298">
        <f t="shared" si="13"/>
        <v>-6.5061808718282363E-2</v>
      </c>
      <c r="O100" s="299">
        <f t="shared" si="13"/>
        <v>-3.2530904359141188E-2</v>
      </c>
      <c r="P100" s="299">
        <f t="shared" si="13"/>
        <v>-1.3012361743656473E-2</v>
      </c>
      <c r="Q100" s="299">
        <f t="shared" si="13"/>
        <v>0</v>
      </c>
      <c r="R100" s="299">
        <f t="shared" si="13"/>
        <v>4.8796356538711779E-3</v>
      </c>
      <c r="S100" s="299">
        <f t="shared" si="13"/>
        <v>0</v>
      </c>
      <c r="T100" s="299">
        <f t="shared" si="13"/>
        <v>0</v>
      </c>
      <c r="U100" s="299">
        <f t="shared" si="13"/>
        <v>0</v>
      </c>
      <c r="V100" s="299">
        <f t="shared" si="13"/>
        <v>0</v>
      </c>
      <c r="W100" s="298">
        <f t="shared" si="13"/>
        <v>0.94399999999999995</v>
      </c>
      <c r="X100" s="300">
        <f t="shared" si="13"/>
        <v>0.82499999999999996</v>
      </c>
      <c r="Y100" s="300">
        <f t="shared" si="13"/>
        <v>0.82499999999999996</v>
      </c>
      <c r="Z100" s="300">
        <f t="shared" si="13"/>
        <v>0.57499999999999996</v>
      </c>
      <c r="AA100" s="300">
        <f t="shared" si="13"/>
        <v>0.60499999999999998</v>
      </c>
      <c r="AB100" s="300">
        <f t="shared" si="13"/>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7"/>
        <v>2.9702970297029729E-2</v>
      </c>
      <c r="AY100" s="119">
        <f t="shared" si="7"/>
        <v>8.8235294117647189E-2</v>
      </c>
      <c r="AZ100" s="119">
        <f t="shared" si="7"/>
        <v>0.16190476190476177</v>
      </c>
      <c r="BC100" s="327">
        <f t="shared" si="12"/>
        <v>19</v>
      </c>
      <c r="BD100">
        <f t="shared" ca="1" si="8"/>
        <v>0</v>
      </c>
      <c r="BE100" s="328">
        <f t="shared" ca="1" si="9"/>
        <v>0.10999999999999999</v>
      </c>
      <c r="BF100" s="329">
        <f t="shared" ca="1" si="10"/>
        <v>1558.8366399999998</v>
      </c>
      <c r="BG100" s="329">
        <f t="shared" ca="1" si="11"/>
        <v>952.48593228393406</v>
      </c>
    </row>
    <row r="101" spans="1:65" hidden="1" outlineLevel="3" x14ac:dyDescent="0.35">
      <c r="A101" s="45"/>
      <c r="B101" s="54"/>
      <c r="C101" s="87">
        <f t="shared" si="2"/>
        <v>4</v>
      </c>
      <c r="D101" s="73"/>
      <c r="E101" s="70"/>
      <c r="F101" s="70">
        <f t="shared" si="3"/>
        <v>-45</v>
      </c>
      <c r="G101" s="73"/>
      <c r="H101" s="79">
        <v>20</v>
      </c>
      <c r="I101" s="120">
        <v>1152</v>
      </c>
      <c r="J101" s="120">
        <v>1344</v>
      </c>
      <c r="K101" s="120">
        <v>1653</v>
      </c>
      <c r="L101" s="298">
        <f t="shared" si="13"/>
        <v>0</v>
      </c>
      <c r="M101" s="298">
        <f t="shared" si="13"/>
        <v>-2.2771633051398829E-2</v>
      </c>
      <c r="N101" s="298">
        <f t="shared" si="13"/>
        <v>-6.5061808718282363E-2</v>
      </c>
      <c r="O101" s="299">
        <f t="shared" si="13"/>
        <v>-3.2530904359141188E-2</v>
      </c>
      <c r="P101" s="299">
        <f t="shared" si="13"/>
        <v>-1.3012361743656473E-2</v>
      </c>
      <c r="Q101" s="299">
        <f t="shared" si="13"/>
        <v>0</v>
      </c>
      <c r="R101" s="299">
        <f t="shared" si="13"/>
        <v>4.8796356538711779E-3</v>
      </c>
      <c r="S101" s="299">
        <f t="shared" si="13"/>
        <v>0</v>
      </c>
      <c r="T101" s="299">
        <f t="shared" si="13"/>
        <v>0</v>
      </c>
      <c r="U101" s="299">
        <f t="shared" si="13"/>
        <v>0</v>
      </c>
      <c r="V101" s="299">
        <f t="shared" si="13"/>
        <v>0</v>
      </c>
      <c r="W101" s="298">
        <f t="shared" si="13"/>
        <v>0.94399999999999995</v>
      </c>
      <c r="X101" s="300">
        <f t="shared" si="13"/>
        <v>0.82499999999999996</v>
      </c>
      <c r="Y101" s="300">
        <f t="shared" si="13"/>
        <v>0.82499999999999996</v>
      </c>
      <c r="Z101" s="300">
        <f t="shared" si="13"/>
        <v>0.57499999999999996</v>
      </c>
      <c r="AA101" s="300">
        <f t="shared" si="13"/>
        <v>0.60499999999999998</v>
      </c>
      <c r="AB101" s="300">
        <f t="shared" si="13"/>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6"/>
        <v>0.91899696078431359</v>
      </c>
      <c r="AX101" s="119">
        <f t="shared" si="7"/>
        <v>1.0000000000000009E-2</v>
      </c>
      <c r="AY101" s="119">
        <f t="shared" si="7"/>
        <v>2.0000000000000018E-2</v>
      </c>
      <c r="AZ101" s="119">
        <f t="shared" si="7"/>
        <v>5.0000000000000044E-2</v>
      </c>
      <c r="BC101" s="327">
        <f t="shared" si="12"/>
        <v>20</v>
      </c>
      <c r="BD101">
        <f t="shared" ca="1" si="8"/>
        <v>0</v>
      </c>
      <c r="BE101" s="328">
        <f t="shared" ca="1" si="9"/>
        <v>2.0000000000000004E-2</v>
      </c>
      <c r="BF101" s="329">
        <f t="shared" ca="1" si="10"/>
        <v>1432.4444799999999</v>
      </c>
      <c r="BG101" s="329">
        <f t="shared" ca="1" si="11"/>
        <v>877.19633279580501</v>
      </c>
    </row>
    <row r="102" spans="1:65" hidden="1" outlineLevel="3" x14ac:dyDescent="0.35">
      <c r="A102" s="45"/>
      <c r="B102" s="54"/>
      <c r="C102" s="87">
        <f t="shared" si="2"/>
        <v>4</v>
      </c>
      <c r="D102" s="73"/>
      <c r="E102" s="70"/>
      <c r="F102" s="70">
        <f t="shared" si="3"/>
        <v>-59</v>
      </c>
      <c r="G102" s="73"/>
      <c r="H102" s="79">
        <v>21</v>
      </c>
      <c r="I102" s="97">
        <v>1140</v>
      </c>
      <c r="J102" s="97">
        <v>1299</v>
      </c>
      <c r="K102" s="97">
        <v>1582</v>
      </c>
      <c r="L102" s="298">
        <f t="shared" si="13"/>
        <v>0</v>
      </c>
      <c r="M102" s="298">
        <f t="shared" si="13"/>
        <v>-2.2771633051398829E-2</v>
      </c>
      <c r="N102" s="298">
        <f t="shared" si="13"/>
        <v>-6.5061808718282363E-2</v>
      </c>
      <c r="O102" s="299">
        <f t="shared" si="13"/>
        <v>-3.2530904359141188E-2</v>
      </c>
      <c r="P102" s="299">
        <f t="shared" si="13"/>
        <v>-1.3012361743656473E-2</v>
      </c>
      <c r="Q102" s="299">
        <f t="shared" si="13"/>
        <v>0</v>
      </c>
      <c r="R102" s="299">
        <f t="shared" si="13"/>
        <v>4.8796356538711779E-3</v>
      </c>
      <c r="S102" s="299">
        <f t="shared" si="13"/>
        <v>0</v>
      </c>
      <c r="T102" s="299">
        <f t="shared" si="13"/>
        <v>0</v>
      </c>
      <c r="U102" s="299">
        <f t="shared" si="13"/>
        <v>0</v>
      </c>
      <c r="V102" s="299">
        <f t="shared" si="13"/>
        <v>0</v>
      </c>
      <c r="W102" s="298">
        <f t="shared" si="13"/>
        <v>0.94399999999999995</v>
      </c>
      <c r="X102" s="300">
        <f t="shared" si="13"/>
        <v>0.82499999999999996</v>
      </c>
      <c r="Y102" s="300">
        <f t="shared" si="13"/>
        <v>0.82499999999999996</v>
      </c>
      <c r="Z102" s="300">
        <f t="shared" si="13"/>
        <v>0.57499999999999996</v>
      </c>
      <c r="AA102" s="300">
        <f t="shared" si="13"/>
        <v>0.60499999999999998</v>
      </c>
      <c r="AB102" s="300">
        <f t="shared" si="13"/>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6"/>
        <v>0.91335811999999983</v>
      </c>
      <c r="AX102" s="119"/>
      <c r="AY102" s="119"/>
      <c r="AZ102" s="119"/>
      <c r="BC102" s="327">
        <f t="shared" si="12"/>
        <v>21</v>
      </c>
      <c r="BD102">
        <f t="shared" ca="1" si="8"/>
        <v>1487.6666666666667</v>
      </c>
      <c r="BE102" s="328">
        <f t="shared" ca="1" si="9"/>
        <v>0</v>
      </c>
      <c r="BF102" s="329">
        <f t="shared" ca="1" si="10"/>
        <v>1404.3573333333334</v>
      </c>
      <c r="BG102" s="329">
        <f t="shared" ca="1" si="11"/>
        <v>854.70813545992667</v>
      </c>
    </row>
    <row r="103" spans="1:65" hidden="1" outlineLevel="3" x14ac:dyDescent="0.35">
      <c r="A103" s="45"/>
      <c r="B103" s="54"/>
      <c r="C103" s="87">
        <f t="shared" si="2"/>
        <v>4</v>
      </c>
      <c r="D103" s="73"/>
      <c r="E103" s="70"/>
      <c r="F103" s="70">
        <f t="shared" si="3"/>
        <v>-104.56814223410686</v>
      </c>
      <c r="G103" s="73"/>
      <c r="H103" s="79">
        <v>22</v>
      </c>
      <c r="I103" s="124">
        <f>1100+(I102-1134)</f>
        <v>1106</v>
      </c>
      <c r="J103" s="124">
        <f>1237+(J102-1296)</f>
        <v>1240</v>
      </c>
      <c r="K103" s="124">
        <f>1409+(K102-1569)</f>
        <v>1422</v>
      </c>
      <c r="L103" s="298">
        <f t="shared" si="13"/>
        <v>0</v>
      </c>
      <c r="M103" s="298">
        <f t="shared" si="13"/>
        <v>-2.2771633051398829E-2</v>
      </c>
      <c r="N103" s="298">
        <f t="shared" si="13"/>
        <v>-6.5061808718282363E-2</v>
      </c>
      <c r="O103" s="299">
        <f t="shared" si="13"/>
        <v>-3.2530904359141188E-2</v>
      </c>
      <c r="P103" s="299">
        <f t="shared" si="13"/>
        <v>-1.3012361743656473E-2</v>
      </c>
      <c r="Q103" s="299">
        <f t="shared" si="13"/>
        <v>0</v>
      </c>
      <c r="R103" s="299">
        <f t="shared" si="13"/>
        <v>4.8796356538711779E-3</v>
      </c>
      <c r="S103" s="299">
        <f t="shared" si="13"/>
        <v>0</v>
      </c>
      <c r="T103" s="299">
        <f t="shared" si="13"/>
        <v>0</v>
      </c>
      <c r="U103" s="299">
        <f t="shared" si="13"/>
        <v>0</v>
      </c>
      <c r="V103" s="299">
        <f t="shared" si="13"/>
        <v>0</v>
      </c>
      <c r="W103" s="298">
        <f t="shared" si="13"/>
        <v>0.94399999999999995</v>
      </c>
      <c r="X103" s="300">
        <f t="shared" si="13"/>
        <v>0.82499999999999996</v>
      </c>
      <c r="Y103" s="300">
        <f t="shared" si="13"/>
        <v>0.82499999999999996</v>
      </c>
      <c r="Z103" s="300">
        <f t="shared" si="13"/>
        <v>0.57499999999999996</v>
      </c>
      <c r="AA103" s="300">
        <f t="shared" si="13"/>
        <v>0.60499999999999998</v>
      </c>
      <c r="AB103" s="300">
        <f t="shared" si="13"/>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6"/>
        <v>0.91276861224489791</v>
      </c>
      <c r="AX103" s="119">
        <f t="shared" ref="AX103:AZ109" si="14">1-((1+AD103)/(1+AD102))^(1/($H102-$H103))</f>
        <v>-1.0101010101010166E-2</v>
      </c>
      <c r="AY103" s="119">
        <f t="shared" si="14"/>
        <v>-2.0408163265306145E-2</v>
      </c>
      <c r="AZ103" s="119">
        <f t="shared" si="14"/>
        <v>-4.1666666666666741E-2</v>
      </c>
      <c r="BC103" s="327">
        <f t="shared" si="12"/>
        <v>22</v>
      </c>
      <c r="BD103">
        <f t="shared" ca="1" si="8"/>
        <v>0</v>
      </c>
      <c r="BE103" s="328">
        <f t="shared" ca="1" si="9"/>
        <v>-1.9999999999999997E-2</v>
      </c>
      <c r="BF103" s="329">
        <f t="shared" ca="1" si="10"/>
        <v>1376.2701866666666</v>
      </c>
      <c r="BG103" s="329">
        <f t="shared" ca="1" si="11"/>
        <v>837.06413438198092</v>
      </c>
    </row>
    <row r="104" spans="1:65" hidden="1" outlineLevel="3" x14ac:dyDescent="0.35">
      <c r="A104" s="45"/>
      <c r="B104" s="54"/>
      <c r="C104" s="87">
        <f t="shared" si="2"/>
        <v>4</v>
      </c>
      <c r="D104" s="73"/>
      <c r="E104" s="70"/>
      <c r="F104" s="70">
        <f t="shared" si="3"/>
        <v>-86.931857765893142</v>
      </c>
      <c r="G104" s="73"/>
      <c r="H104" s="79">
        <v>24</v>
      </c>
      <c r="I104" s="115">
        <f>EXP(AVERAGE(LN(I103),LN(I105)))</f>
        <v>920.43250703134117</v>
      </c>
      <c r="J104" s="115">
        <f>EXP(AVERAGE(LN(J103),LN(J105)))</f>
        <v>1030.8637155317863</v>
      </c>
      <c r="K104" s="115">
        <f>EXP(AVERAGE(LN(K103),LN(K105)))</f>
        <v>1258.6135228893738</v>
      </c>
      <c r="L104" s="298">
        <f t="shared" si="13"/>
        <v>0</v>
      </c>
      <c r="M104" s="298">
        <f t="shared" si="13"/>
        <v>-2.2771633051398829E-2</v>
      </c>
      <c r="N104" s="298">
        <f t="shared" si="13"/>
        <v>-6.5061808718282363E-2</v>
      </c>
      <c r="O104" s="299">
        <f t="shared" si="13"/>
        <v>-3.2530904359141188E-2</v>
      </c>
      <c r="P104" s="299">
        <f t="shared" si="13"/>
        <v>-1.3012361743656473E-2</v>
      </c>
      <c r="Q104" s="299">
        <f t="shared" si="13"/>
        <v>0</v>
      </c>
      <c r="R104" s="299">
        <f t="shared" si="13"/>
        <v>4.8796356538711779E-3</v>
      </c>
      <c r="S104" s="299">
        <f t="shared" si="13"/>
        <v>0</v>
      </c>
      <c r="T104" s="299">
        <f t="shared" si="13"/>
        <v>0</v>
      </c>
      <c r="U104" s="299">
        <f t="shared" si="13"/>
        <v>0</v>
      </c>
      <c r="V104" s="299">
        <f t="shared" si="13"/>
        <v>0</v>
      </c>
      <c r="W104" s="298">
        <f t="shared" si="13"/>
        <v>0.94399999999999995</v>
      </c>
      <c r="X104" s="300">
        <f t="shared" si="13"/>
        <v>0.82499999999999996</v>
      </c>
      <c r="Y104" s="300">
        <f t="shared" si="13"/>
        <v>0.82499999999999996</v>
      </c>
      <c r="Z104" s="300">
        <f t="shared" si="13"/>
        <v>0.57499999999999996</v>
      </c>
      <c r="AA104" s="300">
        <f t="shared" si="13"/>
        <v>0.60499999999999998</v>
      </c>
      <c r="AB104" s="300">
        <f t="shared" si="13"/>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6"/>
        <v>0.91352369662921362</v>
      </c>
      <c r="AX104" s="119">
        <f t="shared" si="14"/>
        <v>-3.1753909143191983E-2</v>
      </c>
      <c r="AY104" s="119">
        <f t="shared" si="14"/>
        <v>-4.9344364594205992E-2</v>
      </c>
      <c r="AZ104" s="119">
        <f t="shared" si="14"/>
        <v>-6.9044967649697586E-2</v>
      </c>
      <c r="BC104" s="327">
        <f t="shared" si="12"/>
        <v>24</v>
      </c>
      <c r="BD104">
        <f t="shared" ca="1" si="8"/>
        <v>0</v>
      </c>
      <c r="BE104" s="328">
        <f t="shared" ca="1" si="9"/>
        <v>-0.11000000000000001</v>
      </c>
      <c r="BF104" s="329">
        <f t="shared" ca="1" si="10"/>
        <v>1249.8780266666665</v>
      </c>
      <c r="BG104" s="329">
        <f t="shared" ca="1" si="11"/>
        <v>760.77906796457989</v>
      </c>
    </row>
    <row r="105" spans="1:65" hidden="1" outlineLevel="3" x14ac:dyDescent="0.35">
      <c r="A105" s="45"/>
      <c r="B105" s="54"/>
      <c r="C105" s="87">
        <f t="shared" si="2"/>
        <v>4</v>
      </c>
      <c r="D105" s="73"/>
      <c r="E105" s="70"/>
      <c r="F105" s="70">
        <f t="shared" si="3"/>
        <v>-91.5</v>
      </c>
      <c r="G105" s="73"/>
      <c r="H105" s="79">
        <v>26</v>
      </c>
      <c r="I105" s="120">
        <v>766</v>
      </c>
      <c r="J105" s="120">
        <v>857</v>
      </c>
      <c r="K105" s="120">
        <v>1114</v>
      </c>
      <c r="L105" s="298">
        <f t="shared" si="13"/>
        <v>0</v>
      </c>
      <c r="M105" s="298">
        <f t="shared" si="13"/>
        <v>-2.2771633051398829E-2</v>
      </c>
      <c r="N105" s="298">
        <f t="shared" si="13"/>
        <v>-6.5061808718282363E-2</v>
      </c>
      <c r="O105" s="299">
        <f t="shared" si="13"/>
        <v>-3.2530904359141188E-2</v>
      </c>
      <c r="P105" s="299">
        <f t="shared" si="13"/>
        <v>-1.3012361743656473E-2</v>
      </c>
      <c r="Q105" s="299">
        <f t="shared" si="13"/>
        <v>0</v>
      </c>
      <c r="R105" s="299">
        <f t="shared" si="13"/>
        <v>4.8796356538711779E-3</v>
      </c>
      <c r="S105" s="299">
        <f t="shared" si="13"/>
        <v>0</v>
      </c>
      <c r="T105" s="299">
        <f t="shared" si="13"/>
        <v>0</v>
      </c>
      <c r="U105" s="299">
        <f t="shared" si="13"/>
        <v>0</v>
      </c>
      <c r="V105" s="299">
        <f t="shared" si="13"/>
        <v>0</v>
      </c>
      <c r="W105" s="121">
        <v>0.86099999999999999</v>
      </c>
      <c r="X105" s="123">
        <v>0.61299999999999999</v>
      </c>
      <c r="Y105" s="123">
        <v>0.59399999999999997</v>
      </c>
      <c r="Z105" s="123">
        <v>0.42599999999999999</v>
      </c>
      <c r="AA105" s="123">
        <v>0.41499999999999998</v>
      </c>
      <c r="AB105" s="123">
        <f t="shared" si="13"/>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4"/>
        <v>-0.11355287256600421</v>
      </c>
      <c r="AY105" s="119">
        <f t="shared" si="14"/>
        <v>-0.14403825522216041</v>
      </c>
      <c r="AZ105" s="119">
        <f t="shared" si="14"/>
        <v>-0.15470053837925168</v>
      </c>
      <c r="BC105" s="327">
        <f t="shared" si="12"/>
        <v>26</v>
      </c>
      <c r="BD105">
        <f t="shared" ca="1" si="8"/>
        <v>0</v>
      </c>
      <c r="BE105" s="328">
        <f t="shared" ca="1" si="9"/>
        <v>-0.32</v>
      </c>
      <c r="BF105" s="329">
        <f t="shared" ca="1" si="10"/>
        <v>870.99908000000005</v>
      </c>
      <c r="BG105" s="432">
        <f ca="1">(SUM($BD$97:$BD$108)*(1+$BE105)*$AV105*(1-i_wool_cost_pc)-i_wool_cost_kg)*$N$139</f>
        <v>534.76446991648197</v>
      </c>
    </row>
    <row r="106" spans="1:65" hidden="1" outlineLevel="3" x14ac:dyDescent="0.35">
      <c r="A106" s="45"/>
      <c r="B106" s="54"/>
      <c r="C106" s="87">
        <f t="shared" si="2"/>
        <v>4</v>
      </c>
      <c r="D106" s="73"/>
      <c r="E106" s="70"/>
      <c r="F106" s="70">
        <f>($J108-$J106)/($H108-$H106)</f>
        <v>-112.33333333333333</v>
      </c>
      <c r="G106" s="73"/>
      <c r="H106" s="79">
        <v>28</v>
      </c>
      <c r="I106" s="120">
        <v>561</v>
      </c>
      <c r="J106" s="120">
        <v>674</v>
      </c>
      <c r="K106" s="120">
        <v>847</v>
      </c>
      <c r="L106" s="298">
        <f t="shared" si="13"/>
        <v>0</v>
      </c>
      <c r="M106" s="298">
        <f t="shared" si="13"/>
        <v>-2.2771633051398829E-2</v>
      </c>
      <c r="N106" s="298">
        <f t="shared" si="13"/>
        <v>-6.5061808718282363E-2</v>
      </c>
      <c r="O106" s="299">
        <f t="shared" si="13"/>
        <v>-3.2530904359141188E-2</v>
      </c>
      <c r="P106" s="299">
        <f t="shared" si="13"/>
        <v>-1.3012361743656473E-2</v>
      </c>
      <c r="Q106" s="299">
        <f t="shared" si="13"/>
        <v>0</v>
      </c>
      <c r="R106" s="299">
        <f t="shared" si="13"/>
        <v>4.8796356538711779E-3</v>
      </c>
      <c r="S106" s="299">
        <f t="shared" si="13"/>
        <v>0</v>
      </c>
      <c r="T106" s="299">
        <f t="shared" si="13"/>
        <v>0</v>
      </c>
      <c r="U106" s="299">
        <f t="shared" si="13"/>
        <v>0</v>
      </c>
      <c r="V106" s="299">
        <f t="shared" si="13"/>
        <v>0</v>
      </c>
      <c r="W106" s="298">
        <f t="shared" si="13"/>
        <v>0.86099999999999999</v>
      </c>
      <c r="X106" s="300">
        <f t="shared" si="13"/>
        <v>0.61299999999999999</v>
      </c>
      <c r="Y106" s="300">
        <f t="shared" si="13"/>
        <v>0.59399999999999997</v>
      </c>
      <c r="Z106" s="300">
        <f t="shared" si="13"/>
        <v>0.42599999999999999</v>
      </c>
      <c r="AA106" s="300">
        <f t="shared" si="13"/>
        <v>0.41499999999999998</v>
      </c>
      <c r="AB106" s="300">
        <f t="shared" si="13"/>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4"/>
        <v>-0.1180339887498949</v>
      </c>
      <c r="AY106" s="119">
        <f t="shared" si="14"/>
        <v>-0.15470053837925146</v>
      </c>
      <c r="AZ106" s="119">
        <f t="shared" si="14"/>
        <v>-0.14564392373896018</v>
      </c>
      <c r="BC106" s="327">
        <f t="shared" si="12"/>
        <v>28</v>
      </c>
      <c r="BD106">
        <f t="shared" ca="1" si="8"/>
        <v>0</v>
      </c>
      <c r="BE106" s="328">
        <f t="shared" ca="1" si="9"/>
        <v>-0.49</v>
      </c>
      <c r="BF106" s="329">
        <f t="shared" ca="1" si="10"/>
        <v>653.24931000000004</v>
      </c>
      <c r="BG106" s="432">
        <f ca="1">(SUM($BD$97:$BD$108)*(1+$BE106)*$AV106*(1-i_wool_cost_pc)-i_wool_cost_kg)*$N$139</f>
        <v>401.61527740851596</v>
      </c>
    </row>
    <row r="107" spans="1:65" hidden="1" outlineLevel="3" x14ac:dyDescent="0.35">
      <c r="A107" s="45"/>
      <c r="B107" s="54"/>
      <c r="C107" s="87">
        <f t="shared" si="2"/>
        <v>4</v>
      </c>
      <c r="D107" s="73"/>
      <c r="E107" s="70"/>
      <c r="F107" s="70"/>
      <c r="G107" s="73"/>
      <c r="H107" s="79">
        <v>32</v>
      </c>
      <c r="I107" s="120">
        <v>389</v>
      </c>
      <c r="J107" s="120">
        <v>485</v>
      </c>
      <c r="K107" s="120">
        <v>585</v>
      </c>
      <c r="L107" s="298">
        <f t="shared" ref="L107:AB109" si="15">L105</f>
        <v>0</v>
      </c>
      <c r="M107" s="298">
        <f t="shared" si="15"/>
        <v>-2.2771633051398829E-2</v>
      </c>
      <c r="N107" s="298">
        <f t="shared" si="15"/>
        <v>-6.5061808718282363E-2</v>
      </c>
      <c r="O107" s="299">
        <f t="shared" si="15"/>
        <v>-3.2530904359141188E-2</v>
      </c>
      <c r="P107" s="299">
        <f t="shared" si="15"/>
        <v>-1.3012361743656473E-2</v>
      </c>
      <c r="Q107" s="299">
        <f t="shared" si="15"/>
        <v>0</v>
      </c>
      <c r="R107" s="299">
        <f t="shared" si="15"/>
        <v>4.8796356538711779E-3</v>
      </c>
      <c r="S107" s="299">
        <f t="shared" si="15"/>
        <v>0</v>
      </c>
      <c r="T107" s="299">
        <f t="shared" si="15"/>
        <v>0</v>
      </c>
      <c r="U107" s="299">
        <f t="shared" si="15"/>
        <v>0</v>
      </c>
      <c r="V107" s="299">
        <f t="shared" si="15"/>
        <v>0</v>
      </c>
      <c r="W107" s="298">
        <f t="shared" si="15"/>
        <v>0.86099999999999999</v>
      </c>
      <c r="X107" s="300">
        <f t="shared" si="15"/>
        <v>0.61299999999999999</v>
      </c>
      <c r="Y107" s="300">
        <f t="shared" si="15"/>
        <v>0.59399999999999997</v>
      </c>
      <c r="Z107" s="300">
        <f t="shared" si="15"/>
        <v>0.42599999999999999</v>
      </c>
      <c r="AA107" s="300">
        <f t="shared" si="15"/>
        <v>0.41499999999999998</v>
      </c>
      <c r="AB107" s="300">
        <f t="shared" si="15"/>
        <v>0.9</v>
      </c>
      <c r="AC107" s="76"/>
      <c r="AD107" s="116">
        <v>-0.48</v>
      </c>
      <c r="AE107" s="116">
        <v>-0.64</v>
      </c>
      <c r="AF107" s="116">
        <v>-0.71</v>
      </c>
      <c r="AG107" s="76" t="s">
        <v>204</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4"/>
        <v>-3.6422843755939738E-2</v>
      </c>
      <c r="AY107" s="119">
        <f t="shared" si="14"/>
        <v>-9.098032586468241E-2</v>
      </c>
      <c r="AZ107" s="119">
        <f t="shared" si="14"/>
        <v>-0.13425528070419568</v>
      </c>
      <c r="BC107" s="327">
        <f t="shared" si="12"/>
        <v>32</v>
      </c>
      <c r="BD107">
        <f t="shared" ca="1" si="8"/>
        <v>0</v>
      </c>
      <c r="BE107" s="328">
        <f t="shared" ca="1" si="9"/>
        <v>-0.64</v>
      </c>
      <c r="BF107" s="329">
        <f t="shared" ca="1" si="10"/>
        <v>461.11716000000007</v>
      </c>
      <c r="BG107" s="432">
        <f ca="1">(SUM($BD$97:$BD$108)*(1+$BE107)*$AV107*(1-i_wool_cost_pc)-i_wool_cost_kg)*$N$139</f>
        <v>281.00408801134591</v>
      </c>
    </row>
    <row r="108" spans="1:65" hidden="1" outlineLevel="3" x14ac:dyDescent="0.35">
      <c r="A108" s="45"/>
      <c r="B108" s="54"/>
      <c r="C108" s="87">
        <f t="shared" si="2"/>
        <v>4</v>
      </c>
      <c r="D108" s="73"/>
      <c r="E108" s="70"/>
      <c r="F108" s="70"/>
      <c r="G108" s="73"/>
      <c r="H108" s="79">
        <v>34</v>
      </c>
      <c r="I108" s="120"/>
      <c r="J108" s="120"/>
      <c r="K108" s="120"/>
      <c r="L108" s="298">
        <f t="shared" si="15"/>
        <v>0</v>
      </c>
      <c r="M108" s="298">
        <f t="shared" si="15"/>
        <v>-2.2771633051398829E-2</v>
      </c>
      <c r="N108" s="298">
        <f t="shared" si="15"/>
        <v>-6.5061808718282363E-2</v>
      </c>
      <c r="O108" s="299">
        <f t="shared" si="15"/>
        <v>-3.2530904359141188E-2</v>
      </c>
      <c r="P108" s="299">
        <f t="shared" si="15"/>
        <v>-1.3012361743656473E-2</v>
      </c>
      <c r="Q108" s="299">
        <f t="shared" si="15"/>
        <v>0</v>
      </c>
      <c r="R108" s="299">
        <f t="shared" si="15"/>
        <v>4.8796356538711779E-3</v>
      </c>
      <c r="S108" s="299">
        <f t="shared" si="15"/>
        <v>0</v>
      </c>
      <c r="T108" s="299">
        <f t="shared" si="15"/>
        <v>0</v>
      </c>
      <c r="U108" s="299">
        <f t="shared" si="15"/>
        <v>0</v>
      </c>
      <c r="V108" s="299">
        <f t="shared" si="15"/>
        <v>0</v>
      </c>
      <c r="W108" s="298">
        <f t="shared" si="15"/>
        <v>0.86099999999999999</v>
      </c>
      <c r="X108" s="300">
        <f t="shared" si="15"/>
        <v>0.61299999999999999</v>
      </c>
      <c r="Y108" s="300">
        <f t="shared" si="15"/>
        <v>0.59399999999999997</v>
      </c>
      <c r="Z108" s="300">
        <f t="shared" si="15"/>
        <v>0.42599999999999999</v>
      </c>
      <c r="AA108" s="300">
        <f t="shared" si="15"/>
        <v>0.41499999999999998</v>
      </c>
      <c r="AB108" s="300">
        <f t="shared" si="15"/>
        <v>0.9</v>
      </c>
      <c r="AC108" s="76"/>
      <c r="AD108" s="116">
        <v>-0.55000000000000004</v>
      </c>
      <c r="AE108" s="116">
        <v>-0.67</v>
      </c>
      <c r="AF108" s="116">
        <v>-0.83</v>
      </c>
      <c r="AG108" s="76" t="s">
        <v>205</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4"/>
        <v>-7.4967699773140106E-2</v>
      </c>
      <c r="AY108" s="119">
        <f t="shared" si="14"/>
        <v>-4.4465935734187001E-2</v>
      </c>
      <c r="AZ108" s="119">
        <f t="shared" si="14"/>
        <v>-0.30609431242203033</v>
      </c>
      <c r="BC108" s="327">
        <f t="shared" si="12"/>
        <v>34</v>
      </c>
      <c r="BD108">
        <f t="shared" ca="1" si="8"/>
        <v>0</v>
      </c>
      <c r="BE108" s="328">
        <f t="shared" ca="1" si="9"/>
        <v>-0.67</v>
      </c>
      <c r="BF108" s="329">
        <f t="shared" ca="1" si="10"/>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5"/>
        <v>0</v>
      </c>
      <c r="M109" s="303">
        <f t="shared" si="15"/>
        <v>-2.2771633051398829E-2</v>
      </c>
      <c r="N109" s="303">
        <f t="shared" si="15"/>
        <v>-6.5061808718282363E-2</v>
      </c>
      <c r="O109" s="304">
        <f t="shared" si="15"/>
        <v>-3.2530904359141188E-2</v>
      </c>
      <c r="P109" s="304">
        <f t="shared" si="15"/>
        <v>-1.3012361743656473E-2</v>
      </c>
      <c r="Q109" s="304">
        <f t="shared" si="15"/>
        <v>0</v>
      </c>
      <c r="R109" s="304">
        <f t="shared" si="15"/>
        <v>4.8796356538711779E-3</v>
      </c>
      <c r="S109" s="304">
        <f t="shared" si="15"/>
        <v>0</v>
      </c>
      <c r="T109" s="304">
        <f t="shared" si="15"/>
        <v>0</v>
      </c>
      <c r="U109" s="304">
        <f t="shared" si="15"/>
        <v>0</v>
      </c>
      <c r="V109" s="304">
        <f t="shared" si="15"/>
        <v>0</v>
      </c>
      <c r="W109" s="303">
        <f t="shared" si="15"/>
        <v>0.86099999999999999</v>
      </c>
      <c r="X109" s="305">
        <f t="shared" si="15"/>
        <v>0.61299999999999999</v>
      </c>
      <c r="Y109" s="305">
        <f t="shared" si="15"/>
        <v>0.59399999999999997</v>
      </c>
      <c r="Z109" s="305">
        <f t="shared" si="15"/>
        <v>0.42599999999999999</v>
      </c>
      <c r="AA109" s="305">
        <f t="shared" si="15"/>
        <v>0.41499999999999998</v>
      </c>
      <c r="AB109" s="305">
        <f t="shared" si="15"/>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4"/>
        <v>-9.764702584835927E-2</v>
      </c>
      <c r="AY109" s="119">
        <f t="shared" si="14"/>
        <v>-5.1447381843301443E-2</v>
      </c>
      <c r="AZ109" s="119">
        <f t="shared" si="14"/>
        <v>-0.35790606871704389</v>
      </c>
      <c r="BC109" s="330">
        <f t="shared" si="12"/>
        <v>38</v>
      </c>
      <c r="BD109" s="331">
        <f t="shared" ca="1" si="8"/>
        <v>0</v>
      </c>
      <c r="BE109" s="332">
        <f t="shared" ca="1" si="9"/>
        <v>-0.7300000000000002</v>
      </c>
      <c r="BF109" s="441">
        <f t="shared" ca="1" si="10"/>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206</v>
      </c>
      <c r="I110" s="97" t="s">
        <v>2352</v>
      </c>
      <c r="J110" s="97"/>
      <c r="K110" s="97"/>
      <c r="L110" s="126" t="s">
        <v>207</v>
      </c>
      <c r="M110" s="126"/>
      <c r="N110" s="126"/>
      <c r="O110" s="126" t="s">
        <v>208</v>
      </c>
      <c r="P110" s="126"/>
      <c r="Q110" s="126"/>
      <c r="R110" s="126"/>
      <c r="S110" s="126"/>
      <c r="T110" s="126"/>
      <c r="U110" s="126"/>
      <c r="V110" s="126"/>
      <c r="W110" s="126" t="s">
        <v>2220</v>
      </c>
      <c r="X110" s="126"/>
      <c r="Y110" s="126"/>
      <c r="Z110" s="126"/>
      <c r="AA110" s="126"/>
      <c r="AB110" s="126"/>
      <c r="AC110" s="76"/>
      <c r="AD110" s="126" t="s">
        <v>203</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209</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2734</v>
      </c>
    </row>
    <row r="112" spans="1:65" hidden="1" outlineLevel="3" x14ac:dyDescent="0.35">
      <c r="A112" s="45"/>
      <c r="B112" s="54"/>
      <c r="C112" s="87">
        <f>INT($C$81+3)</f>
        <v>4</v>
      </c>
      <c r="D112" s="73"/>
      <c r="E112" s="70"/>
      <c r="F112" s="70"/>
      <c r="G112" s="73"/>
      <c r="H112" s="76" t="s">
        <v>210</v>
      </c>
      <c r="I112" s="76">
        <f>INDEX($I$96:$K$108,MATCH(i_woolp_fd_std,i_woolp_fd_range_w4,0),0)</f>
        <v>1140</v>
      </c>
      <c r="J112" s="76">
        <f>INDEX($I$96:$K$108,MATCH(i_woolp_fd_std,i_woolp_fd_range_w4,0),0)</f>
        <v>1299</v>
      </c>
      <c r="K112" s="76">
        <f>INDEX($I$96:$K$108,MATCH(i_woolp_fd_std,i_woolp_fd_range_w4,0),0)</f>
        <v>1582</v>
      </c>
      <c r="L112" s="76"/>
      <c r="M112" s="76" t="s">
        <v>211</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2736</v>
      </c>
    </row>
    <row r="113" spans="1:48" hidden="1" outlineLevel="3" x14ac:dyDescent="0.35">
      <c r="A113" s="45"/>
      <c r="B113" s="54"/>
      <c r="C113" s="87">
        <f>INT($C$81+3)</f>
        <v>4</v>
      </c>
      <c r="D113" s="73"/>
      <c r="E113" s="70"/>
      <c r="F113" s="70"/>
      <c r="G113" s="73"/>
      <c r="H113" s="76" t="s">
        <v>212</v>
      </c>
      <c r="I113" s="97">
        <v>70</v>
      </c>
      <c r="J113" s="76" t="s">
        <v>2241</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2735</v>
      </c>
    </row>
    <row r="114" spans="1:48" hidden="1" outlineLevel="3" x14ac:dyDescent="0.35">
      <c r="A114" s="45"/>
      <c r="B114" s="54"/>
      <c r="C114" s="87">
        <f>INT($C$81+3)</f>
        <v>4</v>
      </c>
      <c r="D114" s="73"/>
      <c r="E114" s="70"/>
      <c r="F114" s="70"/>
      <c r="G114" s="73"/>
      <c r="H114" s="76" t="s">
        <v>213</v>
      </c>
      <c r="I114" s="97">
        <v>50</v>
      </c>
      <c r="J114" s="76" t="s">
        <v>2724</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144</v>
      </c>
      <c r="AO115" s="57"/>
      <c r="AP115" s="45"/>
      <c r="AQ115" s="45"/>
      <c r="AR115" s="45"/>
      <c r="AS115" s="457"/>
      <c r="AT115" s="457"/>
    </row>
    <row r="116" spans="1:48" outlineLevel="1" collapsed="1" x14ac:dyDescent="0.35">
      <c r="A116" s="45"/>
      <c r="B116" s="54"/>
      <c r="C116" s="87">
        <f>INT($C$81)+1</f>
        <v>2</v>
      </c>
      <c r="D116" s="73"/>
      <c r="E116" s="70"/>
      <c r="F116" s="70"/>
      <c r="G116" s="73"/>
      <c r="H116" s="90" t="s">
        <v>214</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140</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215</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2221</v>
      </c>
      <c r="I119" s="76"/>
      <c r="J119" s="76" t="str">
        <f t="shared" ref="J119:O119" si="16">W95</f>
        <v>Fleece</v>
      </c>
      <c r="K119" s="76" t="str">
        <f t="shared" si="16"/>
        <v>Pieces</v>
      </c>
      <c r="L119" s="76" t="str">
        <f t="shared" si="16"/>
        <v>Bellies</v>
      </c>
      <c r="M119" s="76" t="str">
        <f t="shared" si="16"/>
        <v>Locks</v>
      </c>
      <c r="N119" s="76" t="str">
        <f t="shared" si="16"/>
        <v>Stains</v>
      </c>
      <c r="O119" s="76" t="str">
        <f t="shared" si="16"/>
        <v>Off types</v>
      </c>
      <c r="P119" s="76" t="s">
        <v>2222</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2223</v>
      </c>
      <c r="J120" s="116">
        <v>0.68</v>
      </c>
      <c r="K120" s="116">
        <v>0.55000000000000004</v>
      </c>
      <c r="L120" s="116">
        <v>0.5</v>
      </c>
      <c r="M120" s="116">
        <v>0.65</v>
      </c>
      <c r="N120" s="116">
        <v>0.65</v>
      </c>
      <c r="O120" s="131">
        <f>J120</f>
        <v>0.68</v>
      </c>
      <c r="P120" s="131">
        <v>0.4</v>
      </c>
      <c r="Q120" s="97" t="s">
        <v>2224</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2225</v>
      </c>
      <c r="J121" s="320">
        <f>(J122/J$120)/SUMPRODUCT($J122:$P122,(1/$J$120:$P$120))</f>
        <v>0.750407617373261</v>
      </c>
      <c r="K121" s="306">
        <f t="shared" ref="K121:P121" si="17">(K122/K$120)/SUMPRODUCT($J122:$P122,(1/$J$120:$P$120))</f>
        <v>0.1131434988500704</v>
      </c>
      <c r="L121" s="306">
        <f t="shared" si="17"/>
        <v>4.1071090082575555E-2</v>
      </c>
      <c r="M121" s="306">
        <f t="shared" si="17"/>
        <v>1.2445784873507741E-2</v>
      </c>
      <c r="N121" s="306">
        <f t="shared" si="17"/>
        <v>3.1593146217365808E-2</v>
      </c>
      <c r="O121" s="306">
        <f t="shared" si="17"/>
        <v>0</v>
      </c>
      <c r="P121" s="306">
        <f t="shared" si="17"/>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2226</v>
      </c>
      <c r="J122" s="131">
        <v>0.82</v>
      </c>
      <c r="K122" s="131">
        <v>0.1</v>
      </c>
      <c r="L122" s="131">
        <v>3.3000000000000002E-2</v>
      </c>
      <c r="M122" s="131">
        <v>1.2999999999999999E-2</v>
      </c>
      <c r="N122" s="131">
        <v>3.3000000000000002E-2</v>
      </c>
      <c r="O122" s="131">
        <v>0</v>
      </c>
      <c r="P122" s="131">
        <v>3.3000000000000002E-2</v>
      </c>
      <c r="Q122" s="97" t="s">
        <v>2227</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2228</v>
      </c>
      <c r="J123" s="307">
        <f>1-SUM(K123:O123)</f>
        <v>0.82099999999999995</v>
      </c>
      <c r="K123" s="308">
        <f>K122/(1-($P$122-$N$122))</f>
        <v>0.1</v>
      </c>
      <c r="L123" s="308">
        <f>L122/(1-($P$122-$N$122))</f>
        <v>3.3000000000000002E-2</v>
      </c>
      <c r="M123" s="308">
        <f>M122/(1-($P$122-$N$122))</f>
        <v>1.2999999999999999E-2</v>
      </c>
      <c r="N123" s="308">
        <f>N122/(1-($P$122-$N$122))</f>
        <v>3.3000000000000002E-2</v>
      </c>
      <c r="O123" s="308">
        <f>O122/(1-($P$122-$N$122))</f>
        <v>0</v>
      </c>
      <c r="P123" s="76"/>
      <c r="Q123" s="76" t="s">
        <v>2229</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2230</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2231</v>
      </c>
      <c r="I125" s="76"/>
      <c r="J125" s="76" t="str">
        <f>J119</f>
        <v>Fleece</v>
      </c>
      <c r="K125" s="76" t="str">
        <f t="shared" ref="K125:P125" si="18">K119</f>
        <v>Pieces</v>
      </c>
      <c r="L125" s="76" t="str">
        <f t="shared" si="18"/>
        <v>Bellies</v>
      </c>
      <c r="M125" s="76" t="str">
        <f t="shared" si="18"/>
        <v>Locks</v>
      </c>
      <c r="N125" s="76" t="str">
        <f t="shared" si="18"/>
        <v>Stains</v>
      </c>
      <c r="O125" s="76" t="str">
        <f t="shared" si="18"/>
        <v>Off types</v>
      </c>
      <c r="P125" s="76" t="str">
        <f t="shared" si="18"/>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2225</v>
      </c>
      <c r="J126" s="320">
        <f t="shared" ref="J126:P126" si="19">(J127/J$120)/SUMPRODUCT($J127:$P127,(1/$J$120:$P$120))</f>
        <v>0.78918322295805732</v>
      </c>
      <c r="K126" s="306">
        <f t="shared" si="19"/>
        <v>9.1832229580573951E-2</v>
      </c>
      <c r="L126" s="306">
        <f t="shared" si="19"/>
        <v>3.7880794701986756E-2</v>
      </c>
      <c r="M126" s="306">
        <f t="shared" si="19"/>
        <v>9.7130242825607064E-3</v>
      </c>
      <c r="N126" s="306">
        <f t="shared" si="19"/>
        <v>2.7196467991169981E-2</v>
      </c>
      <c r="O126" s="306">
        <f t="shared" si="19"/>
        <v>0</v>
      </c>
      <c r="P126" s="306">
        <f t="shared" si="19"/>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2226</v>
      </c>
      <c r="J127" s="131">
        <v>0.85</v>
      </c>
      <c r="K127" s="131">
        <v>0.08</v>
      </c>
      <c r="L127" s="131">
        <v>0.03</v>
      </c>
      <c r="M127" s="131">
        <v>0.01</v>
      </c>
      <c r="N127" s="131">
        <v>2.8000000000000001E-2</v>
      </c>
      <c r="O127" s="131">
        <v>0</v>
      </c>
      <c r="P127" s="131">
        <v>2.8000000000000001E-2</v>
      </c>
      <c r="Q127" s="97" t="s">
        <v>2232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2228</v>
      </c>
      <c r="J128" s="307">
        <f>1-SUM(K128:O128)</f>
        <v>0.85199999999999998</v>
      </c>
      <c r="K128" s="308">
        <f>K127/(1-($P$127-$N$127))</f>
        <v>0.08</v>
      </c>
      <c r="L128" s="308">
        <f>L127/(1-($P$127-$N$127))</f>
        <v>0.03</v>
      </c>
      <c r="M128" s="308">
        <f>M127/(1-($P$127-$N$127))</f>
        <v>0.01</v>
      </c>
      <c r="N128" s="308">
        <f>N127/(1-($P$127-$N$127))</f>
        <v>2.8000000000000001E-2</v>
      </c>
      <c r="O128" s="308">
        <f>O127/(1-($P$127-$N$127))</f>
        <v>0</v>
      </c>
      <c r="P128" s="76"/>
      <c r="Q128" s="76" t="s">
        <v>2229</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2230</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144</v>
      </c>
      <c r="AO130" s="57"/>
      <c r="AP130" s="45"/>
      <c r="AQ130" s="45"/>
      <c r="AR130" s="45"/>
      <c r="AS130" s="457"/>
      <c r="AT130" s="457"/>
    </row>
    <row r="131" spans="1:46" outlineLevel="1" collapsed="1" x14ac:dyDescent="0.35">
      <c r="A131" s="45"/>
      <c r="B131" s="54"/>
      <c r="C131" s="87">
        <f>INT($C$81)+1</f>
        <v>2</v>
      </c>
      <c r="D131" s="73"/>
      <c r="E131" s="70"/>
      <c r="F131" s="70"/>
      <c r="G131" s="73"/>
      <c r="H131" s="90" t="s">
        <v>216</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140</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217</v>
      </c>
      <c r="J133" s="96" t="s">
        <v>218</v>
      </c>
      <c r="K133" s="96" t="s">
        <v>219</v>
      </c>
      <c r="L133" s="96" t="s">
        <v>97</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0">INT($C$81+3)</f>
        <v>4</v>
      </c>
      <c r="D134" s="73"/>
      <c r="E134" s="70"/>
      <c r="F134" s="70"/>
      <c r="G134" s="73"/>
      <c r="H134" s="76" t="s">
        <v>220</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0"/>
        <v>4</v>
      </c>
      <c r="D135" s="73"/>
      <c r="E135" s="70"/>
      <c r="F135" s="70"/>
      <c r="G135" s="73"/>
      <c r="H135" s="76" t="s">
        <v>2233</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0"/>
        <v>4</v>
      </c>
      <c r="D136" s="73"/>
      <c r="E136" s="70"/>
      <c r="F136" s="70"/>
      <c r="G136" s="73"/>
      <c r="H136" s="76" t="s">
        <v>2234</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0"/>
        <v>4</v>
      </c>
      <c r="D137" s="73"/>
      <c r="E137" s="70"/>
      <c r="F137" s="70"/>
      <c r="G137" s="73"/>
      <c r="H137" s="76" t="s">
        <v>221</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0"/>
        <v>4</v>
      </c>
      <c r="D138" s="73"/>
      <c r="E138" s="70"/>
      <c r="F138" s="70"/>
      <c r="G138" s="73"/>
      <c r="H138" s="132" t="s">
        <v>2235</v>
      </c>
      <c r="I138" s="133"/>
      <c r="J138" s="133"/>
      <c r="K138" s="309">
        <f>SUM(K134:K137)</f>
        <v>0.4467741935483871</v>
      </c>
      <c r="L138" s="134"/>
      <c r="M138" s="76"/>
      <c r="N138" s="76" t="s">
        <v>2719</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0"/>
        <v>4</v>
      </c>
      <c r="D139" s="73"/>
      <c r="E139" s="70"/>
      <c r="F139" s="70"/>
      <c r="G139" s="73"/>
      <c r="H139" s="76" t="s">
        <v>2236</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0"/>
        <v>4</v>
      </c>
      <c r="D140" s="73"/>
      <c r="E140" s="70"/>
      <c r="F140" s="70"/>
      <c r="G140" s="73"/>
      <c r="H140" s="132" t="s">
        <v>2237</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144</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153</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93</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132</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134</v>
      </c>
      <c r="F151" s="65">
        <v>1</v>
      </c>
      <c r="G151" s="66"/>
      <c r="H151" s="67" t="s">
        <v>222</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137</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35">
      <c r="A158" s="45"/>
      <c r="B158" s="54"/>
      <c r="C158" s="87">
        <f>INT(MAX($C$162:$C$267))+1</f>
        <v>5</v>
      </c>
      <c r="D158" s="73"/>
      <c r="E158" s="70"/>
      <c r="F158" s="70"/>
      <c r="G158" s="73"/>
      <c r="H158" s="70"/>
      <c r="I158" s="70"/>
      <c r="J158" s="70"/>
      <c r="K158" s="70"/>
      <c r="L158" s="70" t="s">
        <v>223</v>
      </c>
      <c r="M158" s="135" t="s">
        <v>224</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idden="1" outlineLevel="4" x14ac:dyDescent="0.35">
      <c r="A159" s="45"/>
      <c r="B159" s="54" t="s">
        <v>138</v>
      </c>
      <c r="C159" s="87">
        <f>INT(MAX($C$162:$C$267))+1</f>
        <v>5</v>
      </c>
      <c r="D159" s="73" t="s">
        <v>139</v>
      </c>
      <c r="E159" s="70"/>
      <c r="F159" s="70"/>
      <c r="G159" s="73"/>
      <c r="H159" s="70"/>
      <c r="I159" s="70"/>
      <c r="J159" s="70"/>
      <c r="K159" s="70"/>
      <c r="L159" s="70" t="s">
        <v>225</v>
      </c>
      <c r="M159" s="135" t="s">
        <v>226</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138</v>
      </c>
      <c r="C160" s="87">
        <f>INT(MAX($C$162:$C$267))+1</f>
        <v>5</v>
      </c>
      <c r="D160" s="73" t="s">
        <v>139</v>
      </c>
      <c r="E160" s="70"/>
      <c r="F160" s="70"/>
      <c r="G160" s="73"/>
      <c r="H160" s="70"/>
      <c r="I160" s="70"/>
      <c r="J160" s="70"/>
      <c r="K160" s="70"/>
      <c r="L160" s="70"/>
      <c r="M160" s="135" t="s">
        <v>227</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collapsed="1" x14ac:dyDescent="0.35">
      <c r="A161" s="45"/>
      <c r="B161" s="54"/>
      <c r="C161" s="87">
        <f>INT($C$150)+1</f>
        <v>2</v>
      </c>
      <c r="D161" s="73"/>
      <c r="E161" s="70"/>
      <c r="F161" s="70"/>
      <c r="G161" s="73"/>
      <c r="H161" s="90" t="s">
        <v>228</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hidden="1" customHeight="1" outlineLevel="3" x14ac:dyDescent="0.35">
      <c r="A162" s="45"/>
      <c r="B162" s="54"/>
      <c r="C162" s="87">
        <f>INT($C$150)+3.005</f>
        <v>4.0049999999999999</v>
      </c>
      <c r="D162" s="73" t="s">
        <v>140</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hidden="1" outlineLevel="2" x14ac:dyDescent="0.35">
      <c r="A163" s="45"/>
      <c r="B163" s="54"/>
      <c r="C163" s="87">
        <f>INT($C$150)+2</f>
        <v>3</v>
      </c>
      <c r="D163" s="73"/>
      <c r="E163" s="70"/>
      <c r="F163" s="70"/>
      <c r="G163" s="73"/>
      <c r="H163" s="136" t="s">
        <v>229</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2278</v>
      </c>
    </row>
    <row r="164" spans="1:58" hidden="1" outlineLevel="2" x14ac:dyDescent="0.35">
      <c r="A164" s="45"/>
      <c r="B164" s="54"/>
      <c r="C164" s="87">
        <f>INT($C$150)+2</f>
        <v>3</v>
      </c>
      <c r="D164" s="73"/>
      <c r="E164" s="70"/>
      <c r="F164" s="70"/>
      <c r="G164" s="73"/>
      <c r="H164" s="137"/>
      <c r="I164" s="95" t="s">
        <v>230</v>
      </c>
      <c r="J164" s="107"/>
      <c r="K164" s="107"/>
      <c r="L164" s="76"/>
      <c r="M164" s="76"/>
      <c r="N164" s="76" t="s">
        <v>231</v>
      </c>
      <c r="O164" s="76" t="s">
        <v>2822</v>
      </c>
      <c r="P164" s="76"/>
      <c r="Q164" s="76"/>
      <c r="R164" s="76"/>
      <c r="S164" s="76"/>
      <c r="T164" s="76"/>
      <c r="U164" s="95" t="s">
        <v>232</v>
      </c>
      <c r="V164" s="95"/>
      <c r="W164" s="96"/>
      <c r="X164" s="107" t="s">
        <v>246</v>
      </c>
      <c r="Y164" s="107"/>
      <c r="Z164" s="138" t="s">
        <v>233</v>
      </c>
      <c r="AA164" s="138"/>
      <c r="AB164" s="138"/>
      <c r="AC164" s="138"/>
      <c r="AD164" s="138"/>
      <c r="AE164" s="78" t="s">
        <v>234</v>
      </c>
      <c r="AF164" s="96" t="s">
        <v>220</v>
      </c>
      <c r="AG164" s="96" t="s">
        <v>235</v>
      </c>
      <c r="AH164" s="96" t="s">
        <v>236</v>
      </c>
      <c r="AI164" s="95" t="s">
        <v>221</v>
      </c>
      <c r="AJ164" s="95"/>
      <c r="AK164" s="96" t="s">
        <v>92</v>
      </c>
      <c r="AL164" s="96" t="s">
        <v>2591</v>
      </c>
      <c r="AM164" s="95"/>
      <c r="AN164" s="73"/>
      <c r="AO164" s="57"/>
      <c r="AP164" s="45"/>
      <c r="AQ164" s="45"/>
      <c r="AR164" s="45"/>
      <c r="AS164" s="457"/>
      <c r="AT164" s="457"/>
      <c r="AV164" t="s">
        <v>2723</v>
      </c>
    </row>
    <row r="165" spans="1:58" ht="30" hidden="1" customHeight="1" outlineLevel="2" x14ac:dyDescent="0.35">
      <c r="A165" s="45"/>
      <c r="B165" s="54"/>
      <c r="C165" s="87">
        <f>INT($C$150)+2</f>
        <v>3</v>
      </c>
      <c r="D165" s="73"/>
      <c r="E165" s="70"/>
      <c r="F165" s="70"/>
      <c r="G165" s="73"/>
      <c r="H165" s="109"/>
      <c r="I165" s="139" t="s">
        <v>237</v>
      </c>
      <c r="J165" s="139" t="s">
        <v>238</v>
      </c>
      <c r="K165" s="139" t="s">
        <v>239</v>
      </c>
      <c r="L165" s="140" t="s">
        <v>240</v>
      </c>
      <c r="M165" s="140" t="s">
        <v>241</v>
      </c>
      <c r="N165" s="141" t="s">
        <v>242</v>
      </c>
      <c r="O165" s="141" t="s">
        <v>2823</v>
      </c>
      <c r="P165" s="141" t="s">
        <v>2824</v>
      </c>
      <c r="Q165" s="141" t="s">
        <v>2825</v>
      </c>
      <c r="R165" s="141" t="s">
        <v>2826</v>
      </c>
      <c r="S165" s="141" t="s">
        <v>2827</v>
      </c>
      <c r="T165" s="141" t="s">
        <v>2828</v>
      </c>
      <c r="U165" s="139" t="s">
        <v>243</v>
      </c>
      <c r="V165" s="139" t="s">
        <v>244</v>
      </c>
      <c r="W165" s="140" t="s">
        <v>245</v>
      </c>
      <c r="X165" s="140" t="s">
        <v>2720</v>
      </c>
      <c r="Y165" s="140" t="s">
        <v>2721</v>
      </c>
      <c r="Z165" s="110">
        <v>10</v>
      </c>
      <c r="AA165" s="110">
        <v>30</v>
      </c>
      <c r="AB165" s="110">
        <v>50</v>
      </c>
      <c r="AC165" s="110">
        <v>70</v>
      </c>
      <c r="AD165" s="110">
        <v>90</v>
      </c>
      <c r="AE165" s="109"/>
      <c r="AF165" s="139" t="s">
        <v>247</v>
      </c>
      <c r="AG165" s="139" t="s">
        <v>248</v>
      </c>
      <c r="AH165" s="139" t="s">
        <v>247</v>
      </c>
      <c r="AI165" s="139" t="s">
        <v>247</v>
      </c>
      <c r="AJ165" s="139" t="s">
        <v>248</v>
      </c>
      <c r="AK165" s="139" t="s">
        <v>248</v>
      </c>
      <c r="AL165" s="139" t="s">
        <v>247</v>
      </c>
      <c r="AM165" s="139" t="s">
        <v>248</v>
      </c>
      <c r="AN165" s="73"/>
      <c r="AO165" s="57"/>
      <c r="AP165" s="45"/>
      <c r="AQ165" s="45"/>
      <c r="AR165" s="45"/>
      <c r="AS165" s="457"/>
      <c r="AT165" s="457"/>
      <c r="AV165" t="s">
        <v>262</v>
      </c>
      <c r="AW165" t="s">
        <v>2279</v>
      </c>
      <c r="AX165" t="s">
        <v>2280</v>
      </c>
      <c r="AY165" t="s">
        <v>1188</v>
      </c>
      <c r="AZ165" s="5" t="s">
        <v>2722</v>
      </c>
      <c r="BA165" s="438" t="s">
        <v>283</v>
      </c>
      <c r="BD165" t="s">
        <v>2324</v>
      </c>
    </row>
    <row r="166" spans="1:58" hidden="1" outlineLevel="3" x14ac:dyDescent="0.35">
      <c r="A166" s="45"/>
      <c r="B166" s="54"/>
      <c r="C166" s="87">
        <f>INT($C$150+3)</f>
        <v>4</v>
      </c>
      <c r="D166" s="73"/>
      <c r="E166" s="70">
        <v>0</v>
      </c>
      <c r="F166" s="70"/>
      <c r="G166" s="73"/>
      <c r="H166" s="142" t="s">
        <v>2818</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249</v>
      </c>
      <c r="AF166" s="144">
        <v>3</v>
      </c>
      <c r="AG166" s="149">
        <v>0.05</v>
      </c>
      <c r="AH166" s="144">
        <v>0.17</v>
      </c>
      <c r="AI166" s="144"/>
      <c r="AJ166" s="149">
        <v>0.02</v>
      </c>
      <c r="AK166" s="150">
        <v>4.4999999999999997E-3</v>
      </c>
      <c r="AL166" s="146">
        <f t="shared" ref="AL166:AM173" si="21">SUMIFS($AF166:$AK166,$AF$165:$AK$165,AL$165)</f>
        <v>3.17</v>
      </c>
      <c r="AM166" s="151">
        <f t="shared" si="21"/>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2">_xlfn.FORECAST.LINEAR($AW$166,OFFSET($Z166:$AD166,0,$AX$166,1,2),OFFSET(i_salep_percentile_range_s4,0,$AX$166,1,2))</f>
        <v>1.3623949579831933</v>
      </c>
      <c r="AZ166" s="336">
        <f t="shared" ref="AZ166:AZ173" ca="1" si="23">$Y166*$AY166</f>
        <v>5.9765631529549452</v>
      </c>
      <c r="BA166" s="336">
        <f t="shared" ref="BA166:BA173" ca="1" si="24">AZ166*(1+INDEX(i_salep_months_priceadj_s7s9p4,1+$E166*2,MATCH(BA$165,$J$250:$U$250,0)))</f>
        <v>5.9765631529549452</v>
      </c>
    </row>
    <row r="167" spans="1:58" hidden="1" outlineLevel="3" x14ac:dyDescent="0.35">
      <c r="A167" s="45"/>
      <c r="B167" s="54"/>
      <c r="C167" s="87">
        <f t="shared" ref="C167:C174" si="25">INT($C$150)+3</f>
        <v>4</v>
      </c>
      <c r="D167" s="73"/>
      <c r="E167" s="70">
        <v>1</v>
      </c>
      <c r="F167" s="70"/>
      <c r="G167" s="73"/>
      <c r="H167" s="76" t="s">
        <v>2819</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249</v>
      </c>
      <c r="AF167" s="155">
        <v>3</v>
      </c>
      <c r="AG167" s="156">
        <v>0.05</v>
      </c>
      <c r="AH167" s="155">
        <v>0.17</v>
      </c>
      <c r="AI167" s="155"/>
      <c r="AJ167" s="156">
        <v>0.02</v>
      </c>
      <c r="AK167" s="157">
        <v>4.4999999999999997E-3</v>
      </c>
      <c r="AL167" s="158">
        <f t="shared" si="21"/>
        <v>3.17</v>
      </c>
      <c r="AM167" s="159">
        <f t="shared" si="21"/>
        <v>7.4500000000000011E-2</v>
      </c>
      <c r="AN167" s="73"/>
      <c r="AO167" s="57"/>
      <c r="AP167" s="45"/>
      <c r="AQ167" s="45"/>
      <c r="AR167" s="45"/>
      <c r="AS167" s="457"/>
      <c r="AT167" s="457"/>
      <c r="AV167" s="337" t="str">
        <f t="shared" ref="AV167:AV173" si="26">$H167</f>
        <v>empty grid (1)</v>
      </c>
      <c r="AY167" s="328">
        <f t="shared" ca="1" si="22"/>
        <v>1.4682539682539684</v>
      </c>
      <c r="AZ167" s="338">
        <f t="shared" ca="1" si="23"/>
        <v>0</v>
      </c>
      <c r="BA167" s="338">
        <f t="shared" ca="1" si="24"/>
        <v>0</v>
      </c>
    </row>
    <row r="168" spans="1:58" hidden="1" outlineLevel="3" x14ac:dyDescent="0.35">
      <c r="A168" s="45"/>
      <c r="B168" s="54"/>
      <c r="C168" s="87">
        <f t="shared" si="25"/>
        <v>4</v>
      </c>
      <c r="D168" s="73"/>
      <c r="E168" s="70">
        <v>2</v>
      </c>
      <c r="F168" s="70"/>
      <c r="G168" s="73"/>
      <c r="H168" s="76" t="s">
        <v>2820</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249</v>
      </c>
      <c r="AF168" s="155">
        <v>3</v>
      </c>
      <c r="AG168" s="156">
        <v>0.05</v>
      </c>
      <c r="AH168" s="155">
        <v>0.17</v>
      </c>
      <c r="AI168" s="155"/>
      <c r="AJ168" s="156">
        <v>0.02</v>
      </c>
      <c r="AK168" s="157">
        <v>4.4999999999999997E-3</v>
      </c>
      <c r="AL168" s="158">
        <f t="shared" si="21"/>
        <v>3.17</v>
      </c>
      <c r="AM168" s="159">
        <f t="shared" si="21"/>
        <v>7.4500000000000011E-2</v>
      </c>
      <c r="AN168" s="73"/>
      <c r="AO168" s="57"/>
      <c r="AP168" s="45"/>
      <c r="AQ168" s="45"/>
      <c r="AR168" s="45"/>
      <c r="AS168" s="457"/>
      <c r="AT168" s="457"/>
      <c r="AV168" s="337" t="str">
        <f t="shared" si="26"/>
        <v>empty grid (2)</v>
      </c>
      <c r="AY168" s="328">
        <f t="shared" ca="1" si="22"/>
        <v>1.3279816513761467</v>
      </c>
      <c r="AZ168" s="338">
        <f t="shared" ca="1" si="23"/>
        <v>0</v>
      </c>
      <c r="BA168" s="338">
        <f t="shared" ca="1" si="24"/>
        <v>0</v>
      </c>
    </row>
    <row r="169" spans="1:58" hidden="1" outlineLevel="3" x14ac:dyDescent="0.35">
      <c r="A169" s="45"/>
      <c r="B169" s="54"/>
      <c r="C169" s="87">
        <f t="shared" si="25"/>
        <v>4</v>
      </c>
      <c r="D169" s="73"/>
      <c r="E169" s="70">
        <v>3</v>
      </c>
      <c r="F169" s="70"/>
      <c r="G169" s="73"/>
      <c r="H169" s="76" t="s">
        <v>251</v>
      </c>
      <c r="I169" s="97" t="b">
        <v>0</v>
      </c>
      <c r="J169" s="97" t="b">
        <v>1</v>
      </c>
      <c r="K169" s="97" t="b">
        <v>1</v>
      </c>
      <c r="L169" s="99">
        <v>0</v>
      </c>
      <c r="M169" s="99">
        <v>0</v>
      </c>
      <c r="N169" s="99" t="s">
        <v>250</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249</v>
      </c>
      <c r="AF169" s="155">
        <v>3</v>
      </c>
      <c r="AG169" s="156">
        <v>0.05</v>
      </c>
      <c r="AH169" s="155">
        <v>0.17</v>
      </c>
      <c r="AI169" s="155">
        <v>0.2</v>
      </c>
      <c r="AJ169" s="155"/>
      <c r="AK169" s="157">
        <v>4.4999999999999997E-3</v>
      </c>
      <c r="AL169" s="158">
        <f t="shared" si="21"/>
        <v>3.37</v>
      </c>
      <c r="AM169" s="159">
        <f t="shared" si="21"/>
        <v>5.45E-2</v>
      </c>
      <c r="AN169" s="73"/>
      <c r="AO169" s="57"/>
      <c r="AP169" s="45"/>
      <c r="AQ169" s="45"/>
      <c r="AR169" s="45"/>
      <c r="AS169" s="457"/>
      <c r="AT169" s="457"/>
      <c r="AV169" s="337" t="str">
        <f t="shared" si="26"/>
        <v>Yearling grid (3)</v>
      </c>
      <c r="AY169" s="328">
        <f t="shared" ca="1" si="22"/>
        <v>1.5800711743772242</v>
      </c>
      <c r="AZ169" s="338">
        <f t="shared" ca="1" si="23"/>
        <v>3.8303378864126532</v>
      </c>
      <c r="BA169" s="338">
        <f t="shared" ca="1" si="24"/>
        <v>3.8303378864126532</v>
      </c>
      <c r="BD169" s="338">
        <f ca="1">50*0.44*AZ169</f>
        <v>84.267433501078372</v>
      </c>
      <c r="BE169" t="s">
        <v>2325</v>
      </c>
    </row>
    <row r="170" spans="1:58" hidden="1" outlineLevel="3" x14ac:dyDescent="0.35">
      <c r="A170" s="45"/>
      <c r="B170" s="54"/>
      <c r="C170" s="87">
        <f t="shared" si="25"/>
        <v>4</v>
      </c>
      <c r="D170" s="73"/>
      <c r="E170" s="70">
        <v>4</v>
      </c>
      <c r="F170" s="70"/>
      <c r="G170" s="73"/>
      <c r="H170" s="76" t="s">
        <v>252</v>
      </c>
      <c r="I170" s="97" t="b">
        <v>0</v>
      </c>
      <c r="J170" s="97" t="b">
        <v>0</v>
      </c>
      <c r="K170" s="97" t="b">
        <v>1</v>
      </c>
      <c r="L170" s="99">
        <v>1</v>
      </c>
      <c r="M170" s="99">
        <v>2</v>
      </c>
      <c r="N170" s="99" t="s">
        <v>250</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253</v>
      </c>
      <c r="AF170" s="155">
        <v>5</v>
      </c>
      <c r="AG170" s="156">
        <v>0.05</v>
      </c>
      <c r="AH170" s="155">
        <v>0.17</v>
      </c>
      <c r="AI170" s="155">
        <v>0.2</v>
      </c>
      <c r="AJ170" s="155"/>
      <c r="AK170" s="157">
        <v>4.4999999999999997E-3</v>
      </c>
      <c r="AL170" s="158">
        <f t="shared" si="21"/>
        <v>5.37</v>
      </c>
      <c r="AM170" s="159">
        <f t="shared" si="21"/>
        <v>5.45E-2</v>
      </c>
      <c r="AN170" s="73"/>
      <c r="AO170" s="57"/>
      <c r="AP170" s="45"/>
      <c r="AQ170" s="45"/>
      <c r="AR170" s="45"/>
      <c r="AS170" s="457"/>
      <c r="AT170" s="457"/>
      <c r="AV170" s="337" t="str">
        <f t="shared" si="26"/>
        <v>Export wether grid (4)</v>
      </c>
      <c r="AY170" s="328">
        <f t="shared" ca="1" si="22"/>
        <v>1.4346754379976332</v>
      </c>
      <c r="AZ170" s="338">
        <f t="shared" ca="1" si="23"/>
        <v>121.30383447607552</v>
      </c>
      <c r="BA170" s="338">
        <f t="shared" ca="1" si="24"/>
        <v>121.30383447607552</v>
      </c>
    </row>
    <row r="171" spans="1:58" hidden="1" outlineLevel="3" x14ac:dyDescent="0.35">
      <c r="A171" s="45"/>
      <c r="B171" s="54"/>
      <c r="C171" s="87">
        <f t="shared" si="25"/>
        <v>4</v>
      </c>
      <c r="D171" s="73"/>
      <c r="E171" s="70">
        <v>5</v>
      </c>
      <c r="F171" s="70"/>
      <c r="G171" s="73"/>
      <c r="H171" s="76" t="s">
        <v>254</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255</v>
      </c>
      <c r="AF171" s="155">
        <v>3</v>
      </c>
      <c r="AG171" s="156">
        <v>0.05</v>
      </c>
      <c r="AH171" s="155">
        <f>0.17+0.79</f>
        <v>0.96000000000000008</v>
      </c>
      <c r="AI171" s="155">
        <v>0.2</v>
      </c>
      <c r="AJ171" s="155"/>
      <c r="AK171" s="157">
        <v>4.4999999999999997E-3</v>
      </c>
      <c r="AL171" s="158">
        <f t="shared" si="21"/>
        <v>4.16</v>
      </c>
      <c r="AM171" s="159">
        <f t="shared" si="21"/>
        <v>5.45E-2</v>
      </c>
      <c r="AN171" s="73"/>
      <c r="AO171" s="57"/>
      <c r="AP171" s="45"/>
      <c r="AQ171" s="45"/>
      <c r="AR171" s="45"/>
      <c r="AS171" s="457"/>
      <c r="AT171" s="457"/>
      <c r="AV171" s="337" t="str">
        <f t="shared" si="26"/>
        <v>Breeder grid (5)</v>
      </c>
      <c r="AY171" s="328">
        <f t="shared" ca="1" si="22"/>
        <v>1.4346754379976332</v>
      </c>
      <c r="AZ171" s="338">
        <f t="shared" ca="1" si="23"/>
        <v>129.120789419787</v>
      </c>
      <c r="BA171" s="338">
        <f t="shared" ca="1" si="24"/>
        <v>129.120789419787</v>
      </c>
      <c r="BD171" s="338">
        <f ca="1">AZ171*(1+AVERAGE($J$262:$U$262))*($M$221/$N$221)</f>
        <v>108.7113743179497</v>
      </c>
      <c r="BE171" t="s">
        <v>2326</v>
      </c>
    </row>
    <row r="172" spans="1:58" hidden="1" outlineLevel="3" x14ac:dyDescent="0.35">
      <c r="A172" s="45"/>
      <c r="B172" s="54"/>
      <c r="C172" s="87">
        <f t="shared" si="25"/>
        <v>4</v>
      </c>
      <c r="D172" s="73"/>
      <c r="E172" s="70">
        <v>6</v>
      </c>
      <c r="F172" s="70"/>
      <c r="G172" s="73"/>
      <c r="H172" s="109" t="s">
        <v>256</v>
      </c>
      <c r="I172" s="160" t="b">
        <v>0</v>
      </c>
      <c r="J172" s="160" t="b">
        <v>1</v>
      </c>
      <c r="K172" s="160" t="b">
        <v>1</v>
      </c>
      <c r="L172" s="161">
        <v>0</v>
      </c>
      <c r="M172" s="161">
        <v>0</v>
      </c>
      <c r="N172" s="161" t="s">
        <v>250</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255</v>
      </c>
      <c r="AF172" s="164">
        <v>3</v>
      </c>
      <c r="AG172" s="165">
        <v>0.05</v>
      </c>
      <c r="AH172" s="164">
        <f>0.17+0.79</f>
        <v>0.96000000000000008</v>
      </c>
      <c r="AI172" s="164">
        <v>0.2</v>
      </c>
      <c r="AJ172" s="164"/>
      <c r="AK172" s="166">
        <v>4.4999999999999997E-3</v>
      </c>
      <c r="AL172" s="167">
        <f t="shared" si="21"/>
        <v>4.16</v>
      </c>
      <c r="AM172" s="168">
        <f t="shared" si="21"/>
        <v>5.45E-2</v>
      </c>
      <c r="AN172" s="73"/>
      <c r="AO172" s="57"/>
      <c r="AP172" s="45"/>
      <c r="AQ172" s="45"/>
      <c r="AR172" s="45"/>
      <c r="AS172" s="457"/>
      <c r="AT172" s="457"/>
      <c r="AV172" s="337" t="str">
        <f t="shared" si="26"/>
        <v>Mutton grid (6)</v>
      </c>
      <c r="AY172" s="328">
        <f t="shared" ca="1" si="22"/>
        <v>1.5800711743772242</v>
      </c>
      <c r="AZ172" s="338">
        <f t="shared" ca="1" si="23"/>
        <v>4.0795942535307361</v>
      </c>
      <c r="BA172" s="338">
        <f t="shared" ca="1" si="24"/>
        <v>4.0795942535307361</v>
      </c>
      <c r="BD172" s="338">
        <f ca="1">BE172*0.42*BA172</f>
        <v>85.671479324145452</v>
      </c>
      <c r="BE172">
        <v>50</v>
      </c>
      <c r="BF172" t="s">
        <v>2816</v>
      </c>
    </row>
    <row r="173" spans="1:58" hidden="1" outlineLevel="3" x14ac:dyDescent="0.35">
      <c r="A173" s="45"/>
      <c r="B173" s="54"/>
      <c r="C173" s="87">
        <f t="shared" si="25"/>
        <v>4</v>
      </c>
      <c r="D173" s="73"/>
      <c r="E173" s="70">
        <v>7</v>
      </c>
      <c r="F173" s="70"/>
      <c r="G173" s="73"/>
      <c r="H173" s="169" t="s">
        <v>257</v>
      </c>
      <c r="I173" s="170" t="b">
        <v>1</v>
      </c>
      <c r="J173" s="170" t="b">
        <v>0</v>
      </c>
      <c r="K173" s="170" t="b">
        <v>0</v>
      </c>
      <c r="L173" s="171">
        <v>0</v>
      </c>
      <c r="M173" s="171">
        <v>0</v>
      </c>
      <c r="N173" s="171" t="s">
        <v>250</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255</v>
      </c>
      <c r="AF173" s="171">
        <v>3</v>
      </c>
      <c r="AG173" s="175">
        <v>0.05</v>
      </c>
      <c r="AH173" s="171">
        <f>0.17+0.79</f>
        <v>0.96000000000000008</v>
      </c>
      <c r="AI173" s="171">
        <v>0.2</v>
      </c>
      <c r="AJ173" s="171"/>
      <c r="AK173" s="176">
        <v>4.4999999999999997E-3</v>
      </c>
      <c r="AL173" s="173">
        <f t="shared" si="21"/>
        <v>4.16</v>
      </c>
      <c r="AM173" s="177">
        <f t="shared" si="21"/>
        <v>5.45E-2</v>
      </c>
      <c r="AN173" s="73"/>
      <c r="AO173" s="57"/>
      <c r="AP173" s="45"/>
      <c r="AQ173" s="45"/>
      <c r="AR173" s="45"/>
      <c r="AS173" s="457"/>
      <c r="AT173" s="457"/>
      <c r="AV173" s="339" t="str">
        <f t="shared" si="26"/>
        <v>Ram grid (7)</v>
      </c>
      <c r="AW173" s="331"/>
      <c r="AX173" s="331"/>
      <c r="AY173" s="332">
        <f t="shared" ca="1" si="22"/>
        <v>1.4346754379976332</v>
      </c>
      <c r="AZ173" s="340">
        <f t="shared" ca="1" si="23"/>
        <v>2.1520131569964498</v>
      </c>
      <c r="BA173" s="340">
        <f t="shared" ca="1" si="24"/>
        <v>2.1520131569964498</v>
      </c>
    </row>
    <row r="174" spans="1:58" hidden="1" outlineLevel="3" x14ac:dyDescent="0.35">
      <c r="A174" s="45"/>
      <c r="B174" s="54"/>
      <c r="C174" s="87">
        <f t="shared" si="25"/>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collapsed="1" x14ac:dyDescent="0.35">
      <c r="A175" s="45"/>
      <c r="B175" s="54"/>
      <c r="C175" s="87">
        <f>INT($C$150)+1</f>
        <v>2</v>
      </c>
      <c r="D175" s="73"/>
      <c r="E175" s="70"/>
      <c r="F175" s="70"/>
      <c r="G175" s="73"/>
      <c r="H175" s="90" t="s">
        <v>258</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244</v>
      </c>
      <c r="AX175" s="454">
        <v>3</v>
      </c>
    </row>
    <row r="176" spans="1:58" ht="5.15" hidden="1" customHeight="1" outlineLevel="3" x14ac:dyDescent="0.35">
      <c r="A176" s="45"/>
      <c r="B176" s="54"/>
      <c r="C176" s="87">
        <f>INT($C$150)+3.005</f>
        <v>4.0049999999999999</v>
      </c>
      <c r="D176" s="73" t="s">
        <v>140</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hidden="1" outlineLevel="2" x14ac:dyDescent="0.35">
      <c r="A177" s="45"/>
      <c r="B177" s="54"/>
      <c r="C177" s="87">
        <f>INT($C$150)+2</f>
        <v>3</v>
      </c>
      <c r="D177" s="73"/>
      <c r="E177" s="70"/>
      <c r="F177" s="70"/>
      <c r="G177" s="73"/>
      <c r="H177" s="76"/>
      <c r="I177" s="78" t="s">
        <v>259</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2821</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hidden="1" outlineLevel="2" x14ac:dyDescent="0.35">
      <c r="A178" s="45"/>
      <c r="B178" s="54"/>
      <c r="C178" s="87">
        <f>INT($C$150)+2</f>
        <v>3</v>
      </c>
      <c r="D178" s="73"/>
      <c r="E178" s="70"/>
      <c r="F178" s="70"/>
      <c r="G178" s="73"/>
      <c r="H178" s="76"/>
      <c r="I178" s="78" t="s">
        <v>260</v>
      </c>
      <c r="J178" s="110">
        <v>1</v>
      </c>
      <c r="K178" s="110">
        <v>2</v>
      </c>
      <c r="L178" s="110">
        <v>2.5</v>
      </c>
      <c r="M178" s="110">
        <v>3</v>
      </c>
      <c r="N178" s="110">
        <v>4</v>
      </c>
      <c r="O178" s="96">
        <v>10</v>
      </c>
      <c r="P178" s="76"/>
      <c r="Q178" s="109" t="s">
        <v>2592</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hidden="1" outlineLevel="2" x14ac:dyDescent="0.35">
      <c r="A179" s="45"/>
      <c r="B179" s="54"/>
      <c r="C179" s="87">
        <f>INT($C$150)+2</f>
        <v>3</v>
      </c>
      <c r="D179" s="73"/>
      <c r="E179" s="70"/>
      <c r="F179" s="70"/>
      <c r="G179" s="73"/>
      <c r="H179" s="76"/>
      <c r="I179" s="78" t="s">
        <v>261</v>
      </c>
      <c r="J179" s="153">
        <v>-0.04</v>
      </c>
      <c r="K179" s="153">
        <v>-0.02</v>
      </c>
      <c r="L179" s="153">
        <v>0</v>
      </c>
      <c r="M179" s="153">
        <v>0.02</v>
      </c>
      <c r="N179" s="153">
        <v>0.04</v>
      </c>
      <c r="O179" s="178">
        <f>N179</f>
        <v>0.04</v>
      </c>
      <c r="P179" s="76"/>
      <c r="Q179" s="76" t="s">
        <v>2245</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hidden="1" outlineLevel="2" x14ac:dyDescent="0.35">
      <c r="A180" s="45"/>
      <c r="B180" s="54"/>
      <c r="C180" s="87">
        <f>INT($C$150)+2</f>
        <v>3</v>
      </c>
      <c r="D180" s="73"/>
      <c r="E180" s="70"/>
      <c r="F180" s="70"/>
      <c r="G180" s="73"/>
      <c r="H180" s="179" t="s">
        <v>262</v>
      </c>
      <c r="I180" s="96" t="s">
        <v>263</v>
      </c>
      <c r="J180" s="79">
        <v>8</v>
      </c>
      <c r="K180" s="79">
        <v>8</v>
      </c>
      <c r="L180" s="79"/>
      <c r="M180" s="95"/>
      <c r="N180" s="95"/>
      <c r="O180" s="76"/>
      <c r="P180" s="105"/>
      <c r="Q180" s="138" t="s">
        <v>264</v>
      </c>
      <c r="R180" s="138"/>
      <c r="S180" s="138"/>
      <c r="T180" s="138"/>
      <c r="U180" s="138"/>
      <c r="V180" s="76"/>
      <c r="W180" s="76"/>
      <c r="X180" s="95" t="s">
        <v>265</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hidden="1"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hidden="1" outlineLevel="3" x14ac:dyDescent="0.35">
      <c r="A182" s="45"/>
      <c r="B182" s="54"/>
      <c r="C182" s="87">
        <f t="shared" ref="C182:C188" si="27">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R183*0.9</f>
        <v>0.9</v>
      </c>
      <c r="S182" s="407">
        <f>S183*0.9</f>
        <v>0.9</v>
      </c>
      <c r="T182" s="407">
        <f>T183*0.9</f>
        <v>0.9</v>
      </c>
      <c r="U182" s="408">
        <f>U183*0.9</f>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hidden="1" outlineLevel="3" x14ac:dyDescent="0.35">
      <c r="A183" s="45"/>
      <c r="B183" s="54"/>
      <c r="C183" s="87">
        <f t="shared" si="27"/>
        <v>4</v>
      </c>
      <c r="D183" s="73"/>
      <c r="E183" s="70">
        <f t="shared" ref="E183:F188" si="28">E182</f>
        <v>0</v>
      </c>
      <c r="F183" s="70">
        <f t="shared" si="28"/>
        <v>0</v>
      </c>
      <c r="G183" s="73"/>
      <c r="H183" s="97" t="s">
        <v>2593</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hidden="1" outlineLevel="3" x14ac:dyDescent="0.35">
      <c r="A184" s="45"/>
      <c r="B184" s="54"/>
      <c r="C184" s="87">
        <f t="shared" si="27"/>
        <v>4</v>
      </c>
      <c r="D184" s="73"/>
      <c r="E184" s="70">
        <f t="shared" si="28"/>
        <v>0</v>
      </c>
      <c r="F184" s="70">
        <f t="shared" si="28"/>
        <v>0</v>
      </c>
      <c r="G184" s="73"/>
      <c r="H184" s="97" t="s">
        <v>266</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hidden="1" outlineLevel="3" x14ac:dyDescent="0.35">
      <c r="A185" s="45"/>
      <c r="B185" s="54"/>
      <c r="C185" s="87">
        <f t="shared" si="27"/>
        <v>4</v>
      </c>
      <c r="D185" s="73"/>
      <c r="E185" s="70">
        <f t="shared" si="28"/>
        <v>0</v>
      </c>
      <c r="F185" s="70">
        <f t="shared" si="28"/>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hidden="1" outlineLevel="3" x14ac:dyDescent="0.35">
      <c r="A186" s="45"/>
      <c r="B186" s="54"/>
      <c r="C186" s="87">
        <f t="shared" si="27"/>
        <v>4</v>
      </c>
      <c r="D186" s="73"/>
      <c r="E186" s="70">
        <f t="shared" si="28"/>
        <v>0</v>
      </c>
      <c r="F186" s="70">
        <f t="shared" si="28"/>
        <v>0</v>
      </c>
      <c r="G186" s="73"/>
      <c r="H186" s="76"/>
      <c r="I186" s="180">
        <f t="shared" ref="I186:N187" si="29">I185</f>
        <v>31.1</v>
      </c>
      <c r="J186" s="464">
        <f t="shared" si="29"/>
        <v>4</v>
      </c>
      <c r="K186" s="465">
        <f t="shared" si="29"/>
        <v>5</v>
      </c>
      <c r="L186" s="465">
        <f t="shared" si="29"/>
        <v>5</v>
      </c>
      <c r="M186" s="465">
        <f t="shared" si="29"/>
        <v>5</v>
      </c>
      <c r="N186" s="466">
        <f t="shared" si="29"/>
        <v>3.6</v>
      </c>
      <c r="O186" s="463">
        <v>0</v>
      </c>
      <c r="P186" s="181"/>
      <c r="Q186" s="406">
        <f t="shared" ref="Q186:U187" si="30">Q185</f>
        <v>0.87644444444444447</v>
      </c>
      <c r="R186" s="407">
        <f t="shared" si="30"/>
        <v>0.75088954500719218</v>
      </c>
      <c r="S186" s="407">
        <f t="shared" si="30"/>
        <v>0.75088954500719218</v>
      </c>
      <c r="T186" s="407">
        <f t="shared" si="30"/>
        <v>0.75088954500719218</v>
      </c>
      <c r="U186" s="408">
        <f t="shared" si="30"/>
        <v>0.94890510948905105</v>
      </c>
      <c r="V186" s="182">
        <v>0</v>
      </c>
      <c r="W186" s="181"/>
      <c r="X186" s="406">
        <f t="shared" ref="X186:AB187" si="31">X185</f>
        <v>0.8666666666666667</v>
      </c>
      <c r="Y186" s="407">
        <f t="shared" si="31"/>
        <v>1</v>
      </c>
      <c r="Z186" s="407">
        <f t="shared" si="31"/>
        <v>1</v>
      </c>
      <c r="AA186" s="407">
        <f t="shared" si="31"/>
        <v>1</v>
      </c>
      <c r="AB186" s="408">
        <f t="shared" si="31"/>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hidden="1" outlineLevel="3" x14ac:dyDescent="0.35">
      <c r="A187" s="45"/>
      <c r="B187" s="54"/>
      <c r="C187" s="87">
        <f t="shared" si="27"/>
        <v>4</v>
      </c>
      <c r="D187" s="73"/>
      <c r="E187" s="70">
        <f t="shared" si="28"/>
        <v>0</v>
      </c>
      <c r="F187" s="70">
        <f t="shared" si="28"/>
        <v>0</v>
      </c>
      <c r="G187" s="73"/>
      <c r="H187" s="76"/>
      <c r="I187" s="180">
        <f t="shared" si="29"/>
        <v>31.1</v>
      </c>
      <c r="J187" s="467">
        <f t="shared" si="29"/>
        <v>4</v>
      </c>
      <c r="K187" s="468">
        <f t="shared" si="29"/>
        <v>5</v>
      </c>
      <c r="L187" s="468">
        <f t="shared" si="29"/>
        <v>5</v>
      </c>
      <c r="M187" s="468">
        <f t="shared" si="29"/>
        <v>5</v>
      </c>
      <c r="N187" s="469">
        <f t="shared" si="29"/>
        <v>3.6</v>
      </c>
      <c r="O187" s="463">
        <v>0</v>
      </c>
      <c r="P187" s="181"/>
      <c r="Q187" s="409">
        <f t="shared" si="30"/>
        <v>0.87644444444444447</v>
      </c>
      <c r="R187" s="410">
        <f t="shared" si="30"/>
        <v>0.75088954500719218</v>
      </c>
      <c r="S187" s="410">
        <f t="shared" si="30"/>
        <v>0.75088954500719218</v>
      </c>
      <c r="T187" s="410">
        <f t="shared" si="30"/>
        <v>0.75088954500719218</v>
      </c>
      <c r="U187" s="411">
        <f t="shared" si="30"/>
        <v>0.94890510948905105</v>
      </c>
      <c r="V187" s="182">
        <v>0</v>
      </c>
      <c r="W187" s="181"/>
      <c r="X187" s="409">
        <f t="shared" si="31"/>
        <v>0.8666666666666667</v>
      </c>
      <c r="Y187" s="410">
        <f t="shared" si="31"/>
        <v>1</v>
      </c>
      <c r="Z187" s="410">
        <f t="shared" si="31"/>
        <v>1</v>
      </c>
      <c r="AA187" s="410">
        <f t="shared" si="31"/>
        <v>1</v>
      </c>
      <c r="AB187" s="411">
        <f t="shared" si="31"/>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hidden="1" outlineLevel="3" x14ac:dyDescent="0.35">
      <c r="A188" s="45"/>
      <c r="B188" s="54"/>
      <c r="C188" s="87">
        <f t="shared" si="27"/>
        <v>4</v>
      </c>
      <c r="D188" s="73"/>
      <c r="E188" s="70">
        <f t="shared" si="28"/>
        <v>0</v>
      </c>
      <c r="F188" s="70">
        <f t="shared" si="28"/>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hidden="1"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hidden="1" outlineLevel="3" x14ac:dyDescent="0.35">
      <c r="A190" s="45"/>
      <c r="B190" s="54"/>
      <c r="C190" s="87">
        <f t="shared" ref="C190:C196" si="32">INT($C$150)+3</f>
        <v>4</v>
      </c>
      <c r="D190" s="73"/>
      <c r="E190" s="70"/>
      <c r="F190" s="70">
        <f t="shared" ref="F190:F244" si="33">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hidden="1" outlineLevel="3" x14ac:dyDescent="0.35">
      <c r="A191" s="45"/>
      <c r="B191" s="54"/>
      <c r="C191" s="87">
        <f t="shared" si="32"/>
        <v>4</v>
      </c>
      <c r="D191" s="73"/>
      <c r="E191" s="70"/>
      <c r="F191" s="70">
        <f t="shared" si="33"/>
        <v>1</v>
      </c>
      <c r="G191" s="73"/>
      <c r="H191" s="97" t="s">
        <v>2594</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2817</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hidden="1" outlineLevel="3" x14ac:dyDescent="0.35">
      <c r="A192" s="45"/>
      <c r="B192" s="54"/>
      <c r="C192" s="87">
        <f t="shared" si="32"/>
        <v>4</v>
      </c>
      <c r="D192" s="73"/>
      <c r="E192" s="70"/>
      <c r="F192" s="70">
        <f t="shared" si="33"/>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hidden="1" outlineLevel="3" x14ac:dyDescent="0.35">
      <c r="A193" s="45"/>
      <c r="B193" s="54"/>
      <c r="C193" s="87">
        <f t="shared" si="32"/>
        <v>4</v>
      </c>
      <c r="D193" s="73"/>
      <c r="E193" s="70"/>
      <c r="F193" s="70">
        <f t="shared" si="33"/>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hidden="1" outlineLevel="3" x14ac:dyDescent="0.35">
      <c r="A194" s="45"/>
      <c r="B194" s="54"/>
      <c r="C194" s="87">
        <f t="shared" si="32"/>
        <v>4</v>
      </c>
      <c r="D194" s="73"/>
      <c r="E194" s="70"/>
      <c r="F194" s="70">
        <f t="shared" si="33"/>
        <v>1</v>
      </c>
      <c r="G194" s="73"/>
      <c r="H194" s="76"/>
      <c r="I194" s="180">
        <f>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hidden="1" outlineLevel="3" x14ac:dyDescent="0.35">
      <c r="A195" s="45"/>
      <c r="B195" s="54"/>
      <c r="C195" s="87">
        <f t="shared" si="32"/>
        <v>4</v>
      </c>
      <c r="D195" s="73"/>
      <c r="E195" s="70"/>
      <c r="F195" s="70">
        <f t="shared" si="33"/>
        <v>1</v>
      </c>
      <c r="G195" s="73"/>
      <c r="H195" s="76"/>
      <c r="I195" s="180">
        <f>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hidden="1" outlineLevel="3" x14ac:dyDescent="0.35">
      <c r="A196" s="45"/>
      <c r="B196" s="54"/>
      <c r="C196" s="87">
        <f t="shared" si="32"/>
        <v>4</v>
      </c>
      <c r="D196" s="73"/>
      <c r="E196" s="70"/>
      <c r="F196" s="70">
        <f t="shared" si="33"/>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hidden="1"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hidden="1" outlineLevel="3" x14ac:dyDescent="0.35">
      <c r="A198" s="45"/>
      <c r="B198" s="54"/>
      <c r="C198" s="87">
        <f t="shared" ref="C198:C204" si="34">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hidden="1" outlineLevel="3" x14ac:dyDescent="0.35">
      <c r="A199" s="45"/>
      <c r="B199" s="54"/>
      <c r="C199" s="87">
        <f t="shared" si="34"/>
        <v>4</v>
      </c>
      <c r="D199" s="73"/>
      <c r="E199" s="70"/>
      <c r="F199" s="70">
        <f t="shared" si="33"/>
        <v>2</v>
      </c>
      <c r="G199" s="73"/>
      <c r="H199" s="97" t="s">
        <v>2594</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hidden="1" outlineLevel="3" x14ac:dyDescent="0.35">
      <c r="A200" s="45"/>
      <c r="B200" s="54"/>
      <c r="C200" s="87">
        <f t="shared" si="34"/>
        <v>4</v>
      </c>
      <c r="D200" s="73"/>
      <c r="E200" s="70"/>
      <c r="F200" s="70">
        <f t="shared" si="33"/>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hidden="1" outlineLevel="3" x14ac:dyDescent="0.35">
      <c r="A201" s="45"/>
      <c r="B201" s="54"/>
      <c r="C201" s="87">
        <f t="shared" si="34"/>
        <v>4</v>
      </c>
      <c r="D201" s="73"/>
      <c r="E201" s="70"/>
      <c r="F201" s="70">
        <f t="shared" si="33"/>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hidden="1" outlineLevel="3" x14ac:dyDescent="0.35">
      <c r="A202" s="45"/>
      <c r="B202" s="54"/>
      <c r="C202" s="87">
        <f t="shared" si="34"/>
        <v>4</v>
      </c>
      <c r="D202" s="73"/>
      <c r="E202" s="70"/>
      <c r="F202" s="70">
        <f t="shared" si="33"/>
        <v>2</v>
      </c>
      <c r="G202" s="73"/>
      <c r="H202" s="76"/>
      <c r="I202" s="180">
        <f>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hidden="1" outlineLevel="3" x14ac:dyDescent="0.35">
      <c r="A203" s="45"/>
      <c r="B203" s="54"/>
      <c r="C203" s="87">
        <f t="shared" si="34"/>
        <v>4</v>
      </c>
      <c r="D203" s="73"/>
      <c r="E203" s="70"/>
      <c r="F203" s="70">
        <f t="shared" si="33"/>
        <v>2</v>
      </c>
      <c r="G203" s="73"/>
      <c r="H203" s="76"/>
      <c r="I203" s="180">
        <f>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hidden="1" outlineLevel="3" x14ac:dyDescent="0.35">
      <c r="A204" s="45"/>
      <c r="B204" s="54"/>
      <c r="C204" s="87">
        <f t="shared" si="34"/>
        <v>4</v>
      </c>
      <c r="D204" s="73"/>
      <c r="E204" s="70"/>
      <c r="F204" s="70">
        <f t="shared" si="33"/>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265</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hidden="1" outlineLevel="2" x14ac:dyDescent="0.35">
      <c r="A205" s="45"/>
      <c r="B205" s="54"/>
      <c r="C205" s="87">
        <f>INT($C$150)+2</f>
        <v>3</v>
      </c>
      <c r="D205" s="73"/>
      <c r="E205" s="70">
        <v>3</v>
      </c>
      <c r="F205" s="70">
        <f>E205</f>
        <v>3</v>
      </c>
      <c r="G205" s="73"/>
      <c r="H205" s="96" t="str">
        <f>INDEX($H$166:$H$173,$E205+1,1)</f>
        <v>Yearling grid (3)</v>
      </c>
      <c r="I205" s="180">
        <f t="shared" ref="I205:N211" si="35">I229</f>
        <v>10.1</v>
      </c>
      <c r="J205" s="460">
        <f t="shared" si="35"/>
        <v>3</v>
      </c>
      <c r="K205" s="461">
        <f t="shared" si="35"/>
        <v>3</v>
      </c>
      <c r="L205" s="461">
        <f t="shared" si="35"/>
        <v>3</v>
      </c>
      <c r="M205" s="461">
        <f t="shared" si="35"/>
        <v>3</v>
      </c>
      <c r="N205" s="462">
        <f t="shared" si="35"/>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hidden="1" outlineLevel="3" x14ac:dyDescent="0.35">
      <c r="A206" s="45"/>
      <c r="B206" s="54"/>
      <c r="C206" s="87">
        <f t="shared" ref="C206:C212" si="36">INT($C$150)+3</f>
        <v>4</v>
      </c>
      <c r="D206" s="73"/>
      <c r="E206" s="70"/>
      <c r="F206" s="70">
        <f>F205</f>
        <v>3</v>
      </c>
      <c r="G206" s="73"/>
      <c r="H206" s="183" t="str">
        <f>INDEX($M$158:$M$160,INDEX(i_salep_price_type_s7,$F206+1,1)+1,1)&amp;INDEX($L$158:$L$160,INDEX(ia_s8_s7,$F206+1,1)+1,1)</f>
        <v>$/kg DW, DW - Fat score</v>
      </c>
      <c r="I206" s="180">
        <f t="shared" si="35"/>
        <v>14.1</v>
      </c>
      <c r="J206" s="464">
        <f t="shared" si="35"/>
        <v>4.4000000000000004</v>
      </c>
      <c r="K206" s="465">
        <f t="shared" si="35"/>
        <v>4.4000000000000004</v>
      </c>
      <c r="L206" s="465">
        <f t="shared" si="35"/>
        <v>4.4000000000000004</v>
      </c>
      <c r="M206" s="465">
        <f t="shared" si="35"/>
        <v>4.4000000000000004</v>
      </c>
      <c r="N206" s="466">
        <f t="shared" si="35"/>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hidden="1" outlineLevel="3" x14ac:dyDescent="0.35">
      <c r="A207" s="45"/>
      <c r="B207" s="54"/>
      <c r="C207" s="87">
        <f t="shared" si="36"/>
        <v>4</v>
      </c>
      <c r="D207" s="73"/>
      <c r="E207" s="70"/>
      <c r="F207" s="70">
        <f t="shared" si="33"/>
        <v>3</v>
      </c>
      <c r="G207" s="73"/>
      <c r="H207" s="186" t="s">
        <v>267</v>
      </c>
      <c r="I207" s="180">
        <f t="shared" si="35"/>
        <v>18.100000000000001</v>
      </c>
      <c r="J207" s="464">
        <f t="shared" si="35"/>
        <v>5</v>
      </c>
      <c r="K207" s="465">
        <f t="shared" si="35"/>
        <v>5.2</v>
      </c>
      <c r="L207" s="465">
        <f t="shared" si="35"/>
        <v>5.2</v>
      </c>
      <c r="M207" s="465">
        <f t="shared" si="35"/>
        <v>5.2</v>
      </c>
      <c r="N207" s="466">
        <f t="shared" si="35"/>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hidden="1" outlineLevel="3" x14ac:dyDescent="0.35">
      <c r="A208" s="45"/>
      <c r="B208" s="54"/>
      <c r="C208" s="87">
        <f t="shared" si="36"/>
        <v>4</v>
      </c>
      <c r="D208" s="73"/>
      <c r="E208" s="70"/>
      <c r="F208" s="70">
        <f t="shared" si="33"/>
        <v>3</v>
      </c>
      <c r="G208" s="73"/>
      <c r="H208" s="76"/>
      <c r="I208" s="180">
        <f t="shared" si="35"/>
        <v>35.1</v>
      </c>
      <c r="J208" s="464">
        <f t="shared" si="35"/>
        <v>4.5</v>
      </c>
      <c r="K208" s="465">
        <f t="shared" si="35"/>
        <v>4.9000000000000004</v>
      </c>
      <c r="L208" s="465">
        <f t="shared" si="35"/>
        <v>4.9000000000000004</v>
      </c>
      <c r="M208" s="465">
        <f t="shared" si="35"/>
        <v>4.9000000000000004</v>
      </c>
      <c r="N208" s="466">
        <f t="shared" si="35"/>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hidden="1" outlineLevel="3" x14ac:dyDescent="0.35">
      <c r="A209" s="45"/>
      <c r="B209" s="54"/>
      <c r="C209" s="87">
        <f t="shared" si="36"/>
        <v>4</v>
      </c>
      <c r="D209" s="73"/>
      <c r="E209" s="70"/>
      <c r="F209" s="70">
        <f t="shared" si="33"/>
        <v>3</v>
      </c>
      <c r="G209" s="73"/>
      <c r="H209" s="76"/>
      <c r="I209" s="180">
        <f t="shared" si="35"/>
        <v>40.1</v>
      </c>
      <c r="J209" s="464">
        <f t="shared" si="35"/>
        <v>4.4000000000000004</v>
      </c>
      <c r="K209" s="465">
        <f t="shared" si="35"/>
        <v>4.5999999999999996</v>
      </c>
      <c r="L209" s="465">
        <f t="shared" si="35"/>
        <v>4.5999999999999996</v>
      </c>
      <c r="M209" s="465">
        <f t="shared" si="35"/>
        <v>4.5999999999999996</v>
      </c>
      <c r="N209" s="466">
        <f t="shared" si="35"/>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hidden="1" outlineLevel="3" x14ac:dyDescent="0.35">
      <c r="A210" s="45"/>
      <c r="B210" s="54"/>
      <c r="C210" s="87">
        <f t="shared" si="36"/>
        <v>4</v>
      </c>
      <c r="D210" s="73"/>
      <c r="E210" s="70"/>
      <c r="F210" s="70">
        <f t="shared" si="33"/>
        <v>3</v>
      </c>
      <c r="G210" s="73"/>
      <c r="H210" s="76"/>
      <c r="I210" s="180">
        <f t="shared" si="35"/>
        <v>45.1</v>
      </c>
      <c r="J210" s="464">
        <f t="shared" si="35"/>
        <v>4</v>
      </c>
      <c r="K210" s="465">
        <f t="shared" si="35"/>
        <v>4</v>
      </c>
      <c r="L210" s="465">
        <f t="shared" si="35"/>
        <v>4</v>
      </c>
      <c r="M210" s="465">
        <f t="shared" si="35"/>
        <v>4</v>
      </c>
      <c r="N210" s="466">
        <f t="shared" si="35"/>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hidden="1" outlineLevel="3" x14ac:dyDescent="0.35">
      <c r="A211" s="45"/>
      <c r="B211" s="54"/>
      <c r="C211" s="87">
        <f t="shared" si="36"/>
        <v>4</v>
      </c>
      <c r="D211" s="73"/>
      <c r="E211" s="70"/>
      <c r="F211" s="70">
        <f t="shared" si="33"/>
        <v>3</v>
      </c>
      <c r="G211" s="73"/>
      <c r="H211" s="76"/>
      <c r="I211" s="180">
        <f t="shared" si="35"/>
        <v>45.1</v>
      </c>
      <c r="J211" s="467">
        <f t="shared" si="35"/>
        <v>4</v>
      </c>
      <c r="K211" s="468">
        <f t="shared" si="35"/>
        <v>4</v>
      </c>
      <c r="L211" s="468">
        <f t="shared" si="35"/>
        <v>4</v>
      </c>
      <c r="M211" s="468">
        <f t="shared" si="35"/>
        <v>4</v>
      </c>
      <c r="N211" s="469">
        <f t="shared" si="35"/>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hidden="1" outlineLevel="3" x14ac:dyDescent="0.35">
      <c r="A212" s="45"/>
      <c r="B212" s="54"/>
      <c r="C212" s="87">
        <f t="shared" si="36"/>
        <v>4</v>
      </c>
      <c r="D212" s="73"/>
      <c r="E212" s="70"/>
      <c r="F212" s="70">
        <f t="shared" si="33"/>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hidden="1"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hidden="1" outlineLevel="3" x14ac:dyDescent="0.35">
      <c r="A214" s="45"/>
      <c r="B214" s="54"/>
      <c r="C214" s="87">
        <f t="shared" ref="C214:C220" si="37">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38">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hidden="1" outlineLevel="3" x14ac:dyDescent="0.35">
      <c r="A215" s="45"/>
      <c r="B215" s="54"/>
      <c r="C215" s="87">
        <f t="shared" si="37"/>
        <v>4</v>
      </c>
      <c r="D215" s="73"/>
      <c r="E215" s="70"/>
      <c r="F215" s="70">
        <f t="shared" si="33"/>
        <v>4</v>
      </c>
      <c r="G215" s="73"/>
      <c r="H215" s="97" t="s">
        <v>268</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38"/>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hidden="1" outlineLevel="3" x14ac:dyDescent="0.35">
      <c r="A216" s="45"/>
      <c r="B216" s="54"/>
      <c r="C216" s="87">
        <f t="shared" si="37"/>
        <v>4</v>
      </c>
      <c r="D216" s="73"/>
      <c r="E216" s="70"/>
      <c r="F216" s="70">
        <f t="shared" si="33"/>
        <v>4</v>
      </c>
      <c r="G216" s="73"/>
      <c r="H216" s="97" t="s">
        <v>2595</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38"/>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hidden="1" outlineLevel="3" x14ac:dyDescent="0.35">
      <c r="A217" s="45"/>
      <c r="B217" s="54"/>
      <c r="C217" s="87">
        <f t="shared" si="37"/>
        <v>4</v>
      </c>
      <c r="D217" s="73"/>
      <c r="E217" s="70"/>
      <c r="F217" s="70">
        <f t="shared" si="33"/>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38"/>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hidden="1" outlineLevel="3" x14ac:dyDescent="0.35">
      <c r="A218" s="45"/>
      <c r="B218" s="54"/>
      <c r="C218" s="87">
        <f t="shared" si="37"/>
        <v>4</v>
      </c>
      <c r="D218" s="73"/>
      <c r="E218" s="70"/>
      <c r="F218" s="70">
        <f t="shared" si="33"/>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38"/>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hidden="1" outlineLevel="3" x14ac:dyDescent="0.35">
      <c r="A219" s="45"/>
      <c r="B219" s="54"/>
      <c r="C219" s="87">
        <f t="shared" si="37"/>
        <v>4</v>
      </c>
      <c r="D219" s="73"/>
      <c r="E219" s="70"/>
      <c r="F219" s="70">
        <f t="shared" si="33"/>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38"/>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hidden="1" outlineLevel="3" x14ac:dyDescent="0.35">
      <c r="A220" s="45"/>
      <c r="B220" s="54"/>
      <c r="C220" s="87">
        <f t="shared" si="37"/>
        <v>4</v>
      </c>
      <c r="D220" s="73"/>
      <c r="E220" s="70"/>
      <c r="F220" s="70">
        <f t="shared" si="33"/>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hidden="1"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hidden="1" outlineLevel="3" x14ac:dyDescent="0.35">
      <c r="A222" s="45"/>
      <c r="B222" s="54"/>
      <c r="C222" s="87">
        <f t="shared" ref="C222:C228" si="39">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hidden="1" outlineLevel="3" x14ac:dyDescent="0.35">
      <c r="A223" s="45"/>
      <c r="B223" s="54"/>
      <c r="C223" s="87">
        <f t="shared" si="39"/>
        <v>4</v>
      </c>
      <c r="D223" s="73"/>
      <c r="E223" s="70"/>
      <c r="F223" s="70">
        <f t="shared" si="33"/>
        <v>5</v>
      </c>
      <c r="G223" s="73"/>
      <c r="H223" s="97" t="s">
        <v>269</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hidden="1" outlineLevel="3" x14ac:dyDescent="0.35">
      <c r="A224" s="45"/>
      <c r="B224" s="54"/>
      <c r="C224" s="87">
        <f t="shared" si="39"/>
        <v>4</v>
      </c>
      <c r="D224" s="73"/>
      <c r="E224" s="70"/>
      <c r="F224" s="70">
        <f t="shared" si="33"/>
        <v>5</v>
      </c>
      <c r="G224" s="73"/>
      <c r="H224" s="97" t="s">
        <v>2596</v>
      </c>
      <c r="I224" s="180">
        <f>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hidden="1" outlineLevel="3" x14ac:dyDescent="0.35">
      <c r="A225" s="45"/>
      <c r="B225" s="54"/>
      <c r="C225" s="87">
        <f t="shared" si="39"/>
        <v>4</v>
      </c>
      <c r="D225" s="73"/>
      <c r="E225" s="70"/>
      <c r="F225" s="70">
        <f t="shared" si="33"/>
        <v>5</v>
      </c>
      <c r="G225" s="73"/>
      <c r="H225" s="76"/>
      <c r="I225" s="180">
        <f>I224</f>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hidden="1" outlineLevel="3" x14ac:dyDescent="0.35">
      <c r="A226" s="45"/>
      <c r="B226" s="54"/>
      <c r="C226" s="87">
        <f t="shared" si="39"/>
        <v>4</v>
      </c>
      <c r="D226" s="73"/>
      <c r="E226" s="70"/>
      <c r="F226" s="70">
        <f t="shared" si="33"/>
        <v>5</v>
      </c>
      <c r="G226" s="73"/>
      <c r="H226" s="76"/>
      <c r="I226" s="180">
        <f>I225</f>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hidden="1" outlineLevel="3" x14ac:dyDescent="0.35">
      <c r="A227" s="45"/>
      <c r="B227" s="54"/>
      <c r="C227" s="87">
        <f t="shared" si="39"/>
        <v>4</v>
      </c>
      <c r="D227" s="73"/>
      <c r="E227" s="70"/>
      <c r="F227" s="70">
        <f t="shared" si="33"/>
        <v>5</v>
      </c>
      <c r="G227" s="73"/>
      <c r="H227" s="76"/>
      <c r="I227" s="180">
        <f>I226</f>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hidden="1" outlineLevel="3" x14ac:dyDescent="0.35">
      <c r="A228" s="45"/>
      <c r="B228" s="54"/>
      <c r="C228" s="87">
        <f t="shared" si="39"/>
        <v>4</v>
      </c>
      <c r="D228" s="73"/>
      <c r="E228" s="70"/>
      <c r="F228" s="70">
        <f t="shared" si="33"/>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hidden="1"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hidden="1" outlineLevel="3" x14ac:dyDescent="0.35">
      <c r="A230" s="45"/>
      <c r="B230" s="54"/>
      <c r="C230" s="87">
        <f t="shared" ref="C230:C236" si="4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hidden="1" outlineLevel="3" x14ac:dyDescent="0.35">
      <c r="A231" s="45"/>
      <c r="B231" s="54"/>
      <c r="C231" s="87">
        <f t="shared" si="40"/>
        <v>4</v>
      </c>
      <c r="D231" s="73"/>
      <c r="E231" s="70"/>
      <c r="F231" s="70">
        <f t="shared" si="33"/>
        <v>6</v>
      </c>
      <c r="G231" s="73"/>
      <c r="H231" s="97" t="s">
        <v>270</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hidden="1" outlineLevel="3" x14ac:dyDescent="0.35">
      <c r="A232" s="45"/>
      <c r="B232" s="54"/>
      <c r="C232" s="87">
        <f t="shared" si="40"/>
        <v>4</v>
      </c>
      <c r="D232" s="73"/>
      <c r="E232" s="70"/>
      <c r="F232" s="70">
        <f t="shared" si="33"/>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hidden="1" outlineLevel="3" x14ac:dyDescent="0.35">
      <c r="A233" s="45"/>
      <c r="B233" s="54"/>
      <c r="C233" s="87">
        <f t="shared" si="40"/>
        <v>4</v>
      </c>
      <c r="D233" s="73"/>
      <c r="E233" s="70"/>
      <c r="F233" s="70">
        <f t="shared" si="33"/>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hidden="1" outlineLevel="3" x14ac:dyDescent="0.35">
      <c r="A234" s="45"/>
      <c r="B234" s="54"/>
      <c r="C234" s="87">
        <f t="shared" si="40"/>
        <v>4</v>
      </c>
      <c r="D234" s="73"/>
      <c r="E234" s="70"/>
      <c r="F234" s="70">
        <f t="shared" si="33"/>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hidden="1" outlineLevel="3" x14ac:dyDescent="0.35">
      <c r="A235" s="45"/>
      <c r="B235" s="54"/>
      <c r="C235" s="87">
        <f t="shared" si="40"/>
        <v>4</v>
      </c>
      <c r="D235" s="73"/>
      <c r="E235" s="70"/>
      <c r="F235" s="70">
        <f t="shared" si="33"/>
        <v>6</v>
      </c>
      <c r="G235" s="73"/>
      <c r="H235" s="76"/>
      <c r="I235" s="180">
        <f t="shared" ref="I235:N235" si="41">I234</f>
        <v>45.1</v>
      </c>
      <c r="J235" s="481">
        <f t="shared" si="41"/>
        <v>4</v>
      </c>
      <c r="K235" s="482">
        <f t="shared" si="41"/>
        <v>4</v>
      </c>
      <c r="L235" s="482">
        <f t="shared" si="41"/>
        <v>4</v>
      </c>
      <c r="M235" s="482">
        <f t="shared" si="41"/>
        <v>4</v>
      </c>
      <c r="N235" s="483">
        <f t="shared" si="4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hidden="1" outlineLevel="3" x14ac:dyDescent="0.35">
      <c r="A236" s="45"/>
      <c r="B236" s="54"/>
      <c r="C236" s="87">
        <f t="shared" si="40"/>
        <v>4</v>
      </c>
      <c r="D236" s="73"/>
      <c r="E236" s="70"/>
      <c r="F236" s="70">
        <f t="shared" si="33"/>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hidden="1"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hidden="1" outlineLevel="3" x14ac:dyDescent="0.35">
      <c r="A238" s="45"/>
      <c r="B238" s="54"/>
      <c r="C238" s="87">
        <f t="shared" ref="C238:C244" si="4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hidden="1" outlineLevel="3" x14ac:dyDescent="0.35">
      <c r="A239" s="45"/>
      <c r="B239" s="54"/>
      <c r="C239" s="87">
        <f t="shared" si="42"/>
        <v>4</v>
      </c>
      <c r="D239" s="73"/>
      <c r="E239" s="70"/>
      <c r="F239" s="70">
        <f t="shared" si="33"/>
        <v>7</v>
      </c>
      <c r="G239" s="73"/>
      <c r="H239" s="97" t="s">
        <v>271</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hidden="1" outlineLevel="3" x14ac:dyDescent="0.35">
      <c r="A240" s="45"/>
      <c r="B240" s="54"/>
      <c r="C240" s="87">
        <f t="shared" si="42"/>
        <v>4</v>
      </c>
      <c r="D240" s="73"/>
      <c r="E240" s="70"/>
      <c r="F240" s="70">
        <f t="shared" si="33"/>
        <v>7</v>
      </c>
      <c r="G240" s="73"/>
      <c r="H240" s="76"/>
      <c r="I240" s="180">
        <f t="shared" ref="I240:N243" si="43">I239</f>
        <v>30</v>
      </c>
      <c r="J240" s="484">
        <f t="shared" si="43"/>
        <v>1</v>
      </c>
      <c r="K240" s="485">
        <f t="shared" si="43"/>
        <v>1</v>
      </c>
      <c r="L240" s="485">
        <f t="shared" si="43"/>
        <v>1</v>
      </c>
      <c r="M240" s="485">
        <f t="shared" si="43"/>
        <v>1</v>
      </c>
      <c r="N240" s="486">
        <f t="shared" si="4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hidden="1" outlineLevel="3" x14ac:dyDescent="0.35">
      <c r="A241" s="45"/>
      <c r="B241" s="54"/>
      <c r="C241" s="87">
        <f t="shared" si="42"/>
        <v>4</v>
      </c>
      <c r="D241" s="73"/>
      <c r="E241" s="70"/>
      <c r="F241" s="70">
        <f t="shared" si="33"/>
        <v>7</v>
      </c>
      <c r="G241" s="73"/>
      <c r="H241" s="76"/>
      <c r="I241" s="180">
        <f t="shared" si="43"/>
        <v>30</v>
      </c>
      <c r="J241" s="484">
        <f t="shared" si="43"/>
        <v>1</v>
      </c>
      <c r="K241" s="485">
        <f t="shared" si="43"/>
        <v>1</v>
      </c>
      <c r="L241" s="485">
        <f t="shared" si="43"/>
        <v>1</v>
      </c>
      <c r="M241" s="485">
        <f t="shared" si="43"/>
        <v>1</v>
      </c>
      <c r="N241" s="486">
        <f t="shared" si="4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hidden="1" outlineLevel="3" x14ac:dyDescent="0.35">
      <c r="A242" s="45"/>
      <c r="B242" s="54"/>
      <c r="C242" s="87">
        <f t="shared" si="42"/>
        <v>4</v>
      </c>
      <c r="D242" s="73"/>
      <c r="E242" s="70"/>
      <c r="F242" s="70">
        <f t="shared" si="33"/>
        <v>7</v>
      </c>
      <c r="G242" s="73"/>
      <c r="H242" s="76"/>
      <c r="I242" s="180">
        <f t="shared" si="43"/>
        <v>30</v>
      </c>
      <c r="J242" s="484">
        <f t="shared" si="43"/>
        <v>1</v>
      </c>
      <c r="K242" s="485">
        <f t="shared" si="43"/>
        <v>1</v>
      </c>
      <c r="L242" s="485">
        <f t="shared" si="43"/>
        <v>1</v>
      </c>
      <c r="M242" s="485">
        <f t="shared" si="43"/>
        <v>1</v>
      </c>
      <c r="N242" s="486">
        <f t="shared" si="4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hidden="1" outlineLevel="3" x14ac:dyDescent="0.35">
      <c r="A243" s="45"/>
      <c r="B243" s="54"/>
      <c r="C243" s="87">
        <f t="shared" si="42"/>
        <v>4</v>
      </c>
      <c r="D243" s="73"/>
      <c r="E243" s="70"/>
      <c r="F243" s="70">
        <f t="shared" si="33"/>
        <v>7</v>
      </c>
      <c r="G243" s="73"/>
      <c r="H243" s="76"/>
      <c r="I243" s="180">
        <f t="shared" si="43"/>
        <v>30</v>
      </c>
      <c r="J243" s="481">
        <f t="shared" si="43"/>
        <v>1</v>
      </c>
      <c r="K243" s="482">
        <f t="shared" si="43"/>
        <v>1</v>
      </c>
      <c r="L243" s="482">
        <f t="shared" si="43"/>
        <v>1</v>
      </c>
      <c r="M243" s="482">
        <f t="shared" si="43"/>
        <v>1</v>
      </c>
      <c r="N243" s="483">
        <f t="shared" si="4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hidden="1" outlineLevel="3" x14ac:dyDescent="0.35">
      <c r="A244" s="45"/>
      <c r="B244" s="54"/>
      <c r="C244" s="87">
        <f t="shared" si="42"/>
        <v>4</v>
      </c>
      <c r="D244" s="73"/>
      <c r="E244" s="70"/>
      <c r="F244" s="70">
        <f t="shared" si="33"/>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hidden="1"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144</v>
      </c>
      <c r="AO245" s="57"/>
      <c r="AP245" s="45"/>
      <c r="AQ245" s="45"/>
      <c r="AR245" s="45"/>
      <c r="AS245" s="457"/>
      <c r="AT245" s="457"/>
    </row>
    <row r="246" spans="1:46" outlineLevel="1" collapsed="1" x14ac:dyDescent="0.35">
      <c r="A246" s="45"/>
      <c r="B246" s="54"/>
      <c r="C246" s="87">
        <f>INT($C$150)+1</f>
        <v>2</v>
      </c>
      <c r="D246" s="73"/>
      <c r="E246" s="70"/>
      <c r="F246" s="70"/>
      <c r="G246" s="73"/>
      <c r="H246" s="90" t="s">
        <v>272</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hidden="1" customHeight="1" outlineLevel="3" x14ac:dyDescent="0.35">
      <c r="A247" s="45"/>
      <c r="B247" s="54"/>
      <c r="C247" s="87">
        <f>INT($C$150)+3.005</f>
        <v>4.0049999999999999</v>
      </c>
      <c r="D247" s="73" t="s">
        <v>140</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hidden="1"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hidden="1" outlineLevel="2" x14ac:dyDescent="0.35">
      <c r="A249" s="45"/>
      <c r="B249" s="54"/>
      <c r="C249" s="87">
        <f>INT($C$150)+2</f>
        <v>3</v>
      </c>
      <c r="D249" s="73"/>
      <c r="E249" s="70"/>
      <c r="F249" s="70"/>
      <c r="G249" s="73"/>
      <c r="H249" s="76"/>
      <c r="I249" s="76"/>
      <c r="J249" s="95" t="s">
        <v>273</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hidden="1" outlineLevel="2" x14ac:dyDescent="0.35">
      <c r="A250" s="45"/>
      <c r="B250" s="54"/>
      <c r="C250" s="87">
        <f>INT($C$150)+2</f>
        <v>3</v>
      </c>
      <c r="D250" s="73"/>
      <c r="E250" s="70"/>
      <c r="F250" s="70"/>
      <c r="G250" s="73"/>
      <c r="H250" s="109"/>
      <c r="I250" s="109"/>
      <c r="J250" s="139" t="s">
        <v>274</v>
      </c>
      <c r="K250" s="139" t="s">
        <v>275</v>
      </c>
      <c r="L250" s="139" t="s">
        <v>276</v>
      </c>
      <c r="M250" s="139" t="s">
        <v>277</v>
      </c>
      <c r="N250" s="139" t="s">
        <v>278</v>
      </c>
      <c r="O250" s="139" t="s">
        <v>279</v>
      </c>
      <c r="P250" s="139" t="s">
        <v>280</v>
      </c>
      <c r="Q250" s="139" t="s">
        <v>281</v>
      </c>
      <c r="R250" s="139" t="s">
        <v>282</v>
      </c>
      <c r="S250" s="139" t="s">
        <v>283</v>
      </c>
      <c r="T250" s="139" t="s">
        <v>284</v>
      </c>
      <c r="U250" s="139" t="s">
        <v>285</v>
      </c>
      <c r="V250" s="76"/>
      <c r="W250" s="76" t="s">
        <v>356</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hidden="1" outlineLevel="2" x14ac:dyDescent="0.35">
      <c r="A251" s="45"/>
      <c r="B251" s="54"/>
      <c r="C251" s="87">
        <f>INT($C$150)+2</f>
        <v>3</v>
      </c>
      <c r="D251" s="73"/>
      <c r="E251" s="70"/>
      <c r="F251" s="70"/>
      <c r="G251" s="73"/>
      <c r="H251" s="188" t="s">
        <v>286</v>
      </c>
      <c r="I251" s="189" t="s">
        <v>287</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hidden="1" outlineLevel="2" x14ac:dyDescent="0.35">
      <c r="A252" s="45"/>
      <c r="B252" s="54"/>
      <c r="C252" s="87">
        <f>INT($C$150)+2</f>
        <v>3</v>
      </c>
      <c r="D252" s="73"/>
      <c r="E252" s="70"/>
      <c r="F252" s="70"/>
      <c r="G252" s="73"/>
      <c r="H252" s="191"/>
      <c r="I252" s="192" t="s">
        <v>288</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289</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hidden="1" outlineLevel="3" x14ac:dyDescent="0.35">
      <c r="A253" s="45"/>
      <c r="B253" s="54"/>
      <c r="C253" s="87">
        <f>INT($C$150)+3</f>
        <v>4</v>
      </c>
      <c r="D253" s="73"/>
      <c r="E253" s="70"/>
      <c r="F253" s="70"/>
      <c r="G253" s="73"/>
      <c r="H253" s="188" t="s">
        <v>290</v>
      </c>
      <c r="I253" s="189" t="s">
        <v>287</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hidden="1" outlineLevel="3" x14ac:dyDescent="0.35">
      <c r="A254" s="45"/>
      <c r="B254" s="54"/>
      <c r="C254" s="87">
        <f>INT($C$150+3)</f>
        <v>4</v>
      </c>
      <c r="D254" s="73"/>
      <c r="E254" s="70"/>
      <c r="F254" s="70"/>
      <c r="G254" s="73"/>
      <c r="H254" s="191"/>
      <c r="I254" s="192" t="s">
        <v>288</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289</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hidden="1" outlineLevel="3" x14ac:dyDescent="0.35">
      <c r="A255" s="45"/>
      <c r="B255" s="54"/>
      <c r="C255" s="87">
        <f>INT($C$150)+3</f>
        <v>4</v>
      </c>
      <c r="D255" s="73"/>
      <c r="E255" s="70"/>
      <c r="F255" s="70"/>
      <c r="G255" s="73"/>
      <c r="H255" s="188" t="s">
        <v>291</v>
      </c>
      <c r="I255" s="189" t="s">
        <v>287</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hidden="1" outlineLevel="3" x14ac:dyDescent="0.35">
      <c r="A256" s="45"/>
      <c r="B256" s="54"/>
      <c r="C256" s="87">
        <f>INT($C$150+3)</f>
        <v>4</v>
      </c>
      <c r="D256" s="73"/>
      <c r="E256" s="70"/>
      <c r="F256" s="70"/>
      <c r="G256" s="73"/>
      <c r="H256" s="191"/>
      <c r="I256" s="192" t="s">
        <v>288</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289</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hidden="1" outlineLevel="3" x14ac:dyDescent="0.35">
      <c r="A257" s="45"/>
      <c r="B257" s="54"/>
      <c r="C257" s="87">
        <f>INT($C$150)+3</f>
        <v>4</v>
      </c>
      <c r="D257" s="73"/>
      <c r="E257" s="70"/>
      <c r="F257" s="70"/>
      <c r="G257" s="73"/>
      <c r="H257" s="188" t="s">
        <v>292</v>
      </c>
      <c r="I257" s="189" t="s">
        <v>287</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hidden="1" outlineLevel="3" x14ac:dyDescent="0.35">
      <c r="A258" s="45"/>
      <c r="B258" s="54"/>
      <c r="C258" s="87">
        <f>INT($C$150+3)</f>
        <v>4</v>
      </c>
      <c r="D258" s="73"/>
      <c r="E258" s="70"/>
      <c r="F258" s="70"/>
      <c r="G258" s="73"/>
      <c r="H258" s="191"/>
      <c r="I258" s="192" t="s">
        <v>288</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hidden="1" outlineLevel="3" x14ac:dyDescent="0.35">
      <c r="A259" s="45"/>
      <c r="B259" s="54"/>
      <c r="C259" s="87">
        <f>INT($C$150)+3</f>
        <v>4</v>
      </c>
      <c r="D259" s="73"/>
      <c r="E259" s="70"/>
      <c r="F259" s="70"/>
      <c r="G259" s="73"/>
      <c r="H259" s="188" t="s">
        <v>293</v>
      </c>
      <c r="I259" s="189" t="s">
        <v>287</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hidden="1" outlineLevel="3" x14ac:dyDescent="0.35">
      <c r="A260" s="45"/>
      <c r="B260" s="54"/>
      <c r="C260" s="87">
        <f>INT($C$150+3)</f>
        <v>4</v>
      </c>
      <c r="D260" s="73"/>
      <c r="E260" s="70"/>
      <c r="F260" s="70"/>
      <c r="G260" s="73"/>
      <c r="H260" s="191"/>
      <c r="I260" s="192" t="s">
        <v>288</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hidden="1" outlineLevel="3" x14ac:dyDescent="0.35">
      <c r="A261" s="45"/>
      <c r="B261" s="54"/>
      <c r="C261" s="87">
        <f>INT($C$150)+3</f>
        <v>4</v>
      </c>
      <c r="D261" s="73"/>
      <c r="E261" s="70"/>
      <c r="F261" s="70"/>
      <c r="G261" s="73"/>
      <c r="H261" s="188" t="s">
        <v>294</v>
      </c>
      <c r="I261" s="189" t="s">
        <v>287</v>
      </c>
      <c r="J261" s="345">
        <f>J263</f>
        <v>6.2347139254594897E-2</v>
      </c>
      <c r="K261" s="345">
        <f>K263</f>
        <v>2.129873245115288E-2</v>
      </c>
      <c r="L261" s="345">
        <f>L263</f>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hidden="1" outlineLevel="3" x14ac:dyDescent="0.35">
      <c r="A262" s="45"/>
      <c r="B262" s="54"/>
      <c r="C262" s="87">
        <f>INT($C$150+3)</f>
        <v>4</v>
      </c>
      <c r="D262" s="73"/>
      <c r="E262" s="70"/>
      <c r="F262" s="70"/>
      <c r="G262" s="73"/>
      <c r="H262" s="191"/>
      <c r="I262" s="192" t="s">
        <v>288</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hidden="1" outlineLevel="3" x14ac:dyDescent="0.35">
      <c r="A263" s="45"/>
      <c r="B263" s="54"/>
      <c r="C263" s="87">
        <f>INT($C$150)+3</f>
        <v>4</v>
      </c>
      <c r="D263" s="73"/>
      <c r="E263" s="70"/>
      <c r="F263" s="70"/>
      <c r="G263" s="73"/>
      <c r="H263" s="188" t="s">
        <v>295</v>
      </c>
      <c r="I263" s="189" t="s">
        <v>287</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hidden="1" outlineLevel="3" x14ac:dyDescent="0.35">
      <c r="A264" s="45"/>
      <c r="B264" s="54"/>
      <c r="C264" s="87">
        <f>INT($C$150+3)</f>
        <v>4</v>
      </c>
      <c r="D264" s="73"/>
      <c r="E264" s="70"/>
      <c r="F264" s="70"/>
      <c r="G264" s="73"/>
      <c r="H264" s="191"/>
      <c r="I264" s="192" t="s">
        <v>288</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hidden="1" outlineLevel="3" x14ac:dyDescent="0.35">
      <c r="A265" s="45"/>
      <c r="B265" s="54"/>
      <c r="C265" s="87">
        <f>INT($C$150)+3</f>
        <v>4</v>
      </c>
      <c r="D265" s="73"/>
      <c r="E265" s="70"/>
      <c r="F265" s="70"/>
      <c r="G265" s="73"/>
      <c r="H265" s="188" t="s">
        <v>296</v>
      </c>
      <c r="I265" s="189" t="s">
        <v>287</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hidden="1" outlineLevel="3" x14ac:dyDescent="0.35">
      <c r="A266" s="45"/>
      <c r="B266" s="54"/>
      <c r="C266" s="87">
        <f>INT($C$150+3)</f>
        <v>4</v>
      </c>
      <c r="D266" s="73"/>
      <c r="E266" s="70"/>
      <c r="F266" s="70"/>
      <c r="G266" s="73"/>
      <c r="H266" s="191"/>
      <c r="I266" s="192" t="s">
        <v>288</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hidden="1"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144</v>
      </c>
      <c r="AO267" s="57"/>
      <c r="AP267" s="45"/>
      <c r="AQ267" s="45"/>
      <c r="AR267" s="45"/>
      <c r="AS267" s="457"/>
      <c r="AT267" s="457"/>
    </row>
    <row r="268" spans="1:46" ht="5.15" hidden="1"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153</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93</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132</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134</v>
      </c>
      <c r="F277" s="65">
        <v>1</v>
      </c>
      <c r="G277" s="66"/>
      <c r="H277" s="67" t="s">
        <v>222</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137</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138</v>
      </c>
      <c r="C285" s="87">
        <f>INT(MAX($C$287:$C$320))+1</f>
        <v>5</v>
      </c>
      <c r="D285" s="73" t="s">
        <v>139</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collapsed="1" x14ac:dyDescent="0.35">
      <c r="A286" s="45"/>
      <c r="B286" s="54"/>
      <c r="C286" s="87">
        <f>INT($C$276)+1</f>
        <v>2</v>
      </c>
      <c r="D286" s="73"/>
      <c r="E286" s="70"/>
      <c r="F286" s="70"/>
      <c r="G286" s="73"/>
      <c r="H286" s="90" t="s">
        <v>297</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hidden="1" customHeight="1" outlineLevel="3" x14ac:dyDescent="0.35">
      <c r="A287" s="45"/>
      <c r="B287" s="54"/>
      <c r="C287" s="87">
        <f>INT($C$276)+3.005</f>
        <v>4.0049999999999999</v>
      </c>
      <c r="D287" s="73" t="s">
        <v>140</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hidden="1" outlineLevel="3" x14ac:dyDescent="0.35">
      <c r="A288" s="45"/>
      <c r="B288" s="54"/>
      <c r="C288" s="87">
        <f t="shared" ref="C288:C296" si="44">INT($C$276)+3</f>
        <v>4</v>
      </c>
      <c r="D288" s="73"/>
      <c r="E288" s="70"/>
      <c r="F288" s="70"/>
      <c r="G288" s="73"/>
      <c r="H288" s="194" t="s">
        <v>298</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hidden="1" outlineLevel="3" x14ac:dyDescent="0.35">
      <c r="A289" s="45"/>
      <c r="B289" s="54"/>
      <c r="C289" s="87">
        <f t="shared" si="44"/>
        <v>4</v>
      </c>
      <c r="D289" s="73"/>
      <c r="E289" s="70"/>
      <c r="F289" s="70">
        <v>0</v>
      </c>
      <c r="G289" s="73"/>
      <c r="H289" s="195" t="s">
        <v>299</v>
      </c>
      <c r="I289" s="76" t="s">
        <v>300</v>
      </c>
      <c r="J289" s="76"/>
      <c r="K289" s="96" t="s">
        <v>301</v>
      </c>
      <c r="L289" s="96" t="s">
        <v>302</v>
      </c>
      <c r="M289" s="96" t="s">
        <v>303</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hidden="1" outlineLevel="3" x14ac:dyDescent="0.35">
      <c r="A290" s="45"/>
      <c r="B290" s="54"/>
      <c r="C290" s="87">
        <f t="shared" si="44"/>
        <v>4</v>
      </c>
      <c r="D290" s="73"/>
      <c r="E290" s="70"/>
      <c r="F290" s="70">
        <v>1</v>
      </c>
      <c r="G290" s="73"/>
      <c r="H290" s="195" t="s">
        <v>304</v>
      </c>
      <c r="I290" s="76" t="s">
        <v>305</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hidden="1" outlineLevel="3" x14ac:dyDescent="0.35">
      <c r="A291" s="45"/>
      <c r="B291" s="54"/>
      <c r="C291" s="87">
        <f t="shared" si="44"/>
        <v>4</v>
      </c>
      <c r="D291" s="73"/>
      <c r="E291" s="70"/>
      <c r="F291" s="70">
        <v>2</v>
      </c>
      <c r="G291" s="73"/>
      <c r="H291" s="195" t="s">
        <v>306</v>
      </c>
      <c r="I291" s="76" t="s">
        <v>306</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hidden="1" outlineLevel="3" x14ac:dyDescent="0.35">
      <c r="A292" s="45"/>
      <c r="B292" s="54"/>
      <c r="C292" s="87">
        <f t="shared" si="44"/>
        <v>4</v>
      </c>
      <c r="D292" s="73"/>
      <c r="E292" s="70"/>
      <c r="F292" s="70">
        <v>3</v>
      </c>
      <c r="G292" s="73"/>
      <c r="H292" s="195" t="s">
        <v>243</v>
      </c>
      <c r="I292" s="76" t="s">
        <v>307</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hidden="1" outlineLevel="3" x14ac:dyDescent="0.35">
      <c r="A293" s="45"/>
      <c r="B293" s="54"/>
      <c r="C293" s="87">
        <f t="shared" si="44"/>
        <v>4</v>
      </c>
      <c r="D293" s="73"/>
      <c r="E293" s="70"/>
      <c r="F293" s="70">
        <v>4</v>
      </c>
      <c r="G293" s="73"/>
      <c r="H293" s="195" t="s">
        <v>308</v>
      </c>
      <c r="I293" s="76" t="s">
        <v>309</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hidden="1" outlineLevel="3" x14ac:dyDescent="0.35">
      <c r="A294" s="45"/>
      <c r="B294" s="54"/>
      <c r="C294" s="87">
        <f t="shared" si="44"/>
        <v>4</v>
      </c>
      <c r="D294" s="73"/>
      <c r="E294" s="70"/>
      <c r="F294" s="70">
        <v>5</v>
      </c>
      <c r="G294" s="73"/>
      <c r="H294" s="195" t="s">
        <v>310</v>
      </c>
      <c r="I294" s="76" t="s">
        <v>311</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hidden="1" outlineLevel="3" x14ac:dyDescent="0.35">
      <c r="A295" s="45"/>
      <c r="B295" s="54"/>
      <c r="C295" s="87">
        <f t="shared" si="44"/>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hidden="1" outlineLevel="3" x14ac:dyDescent="0.35">
      <c r="A296" s="45"/>
      <c r="B296" s="54"/>
      <c r="C296" s="87">
        <f t="shared" si="44"/>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hidden="1"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144</v>
      </c>
      <c r="AO297" s="57"/>
      <c r="AP297" s="45"/>
      <c r="AQ297" s="45"/>
      <c r="AR297" s="45"/>
      <c r="AS297" s="457"/>
      <c r="AT297" s="457"/>
    </row>
    <row r="298" spans="1:46" outlineLevel="1" collapsed="1" x14ac:dyDescent="0.35">
      <c r="A298" s="45"/>
      <c r="B298" s="54"/>
      <c r="C298" s="87">
        <f>INT($C$276)+1</f>
        <v>2</v>
      </c>
      <c r="D298" s="73"/>
      <c r="E298" s="70"/>
      <c r="F298" s="70"/>
      <c r="G298" s="73"/>
      <c r="H298" s="90" t="s">
        <v>2172</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hidden="1" customHeight="1" outlineLevel="3" x14ac:dyDescent="0.35">
      <c r="A299" s="45"/>
      <c r="B299" s="54"/>
      <c r="C299" s="87">
        <f>INT($C$276)+3.005</f>
        <v>4.0049999999999999</v>
      </c>
      <c r="D299" s="73" t="s">
        <v>140</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hidden="1" outlineLevel="3" x14ac:dyDescent="0.35">
      <c r="A300" s="45"/>
      <c r="B300" s="54"/>
      <c r="C300" s="87">
        <f t="shared" ref="C300:C305" si="45">INT($C$276)+3</f>
        <v>4</v>
      </c>
      <c r="D300" s="73"/>
      <c r="E300" s="70"/>
      <c r="F300" s="70"/>
      <c r="G300" s="73"/>
      <c r="H300" s="194"/>
      <c r="I300" s="76"/>
      <c r="J300" s="277" t="s">
        <v>2177</v>
      </c>
      <c r="K300" s="277" t="s">
        <v>2173</v>
      </c>
      <c r="L300" s="277" t="s">
        <v>2174</v>
      </c>
      <c r="M300" s="277" t="s">
        <v>2999</v>
      </c>
      <c r="N300" s="277" t="s">
        <v>2998</v>
      </c>
      <c r="O300" s="76" t="s">
        <v>2181</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hidden="1" outlineLevel="3" x14ac:dyDescent="0.35">
      <c r="A301" s="45"/>
      <c r="B301" s="54"/>
      <c r="C301" s="87">
        <f t="shared" si="45"/>
        <v>4</v>
      </c>
      <c r="D301" s="73"/>
      <c r="E301" s="70"/>
      <c r="F301" s="70"/>
      <c r="G301" s="73"/>
      <c r="H301" s="76"/>
      <c r="I301" s="76"/>
      <c r="J301" s="96" t="s">
        <v>2178</v>
      </c>
      <c r="K301" s="96" t="s">
        <v>2175</v>
      </c>
      <c r="L301" s="96" t="s">
        <v>2176</v>
      </c>
      <c r="M301" s="96" t="s">
        <v>2996</v>
      </c>
      <c r="N301" s="96" t="s">
        <v>2997</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hidden="1" outlineLevel="3" x14ac:dyDescent="0.35">
      <c r="A302" s="45"/>
      <c r="B302" s="54"/>
      <c r="C302" s="87">
        <f t="shared" si="45"/>
        <v>4</v>
      </c>
      <c r="D302" s="73"/>
      <c r="E302" s="70"/>
      <c r="F302" s="70">
        <v>0</v>
      </c>
      <c r="G302" s="73"/>
      <c r="H302" s="195" t="s">
        <v>2179</v>
      </c>
      <c r="I302" s="76"/>
      <c r="J302" s="97">
        <v>100000</v>
      </c>
      <c r="K302" s="97">
        <v>1000</v>
      </c>
      <c r="L302" s="346">
        <v>2.5000000000000001E-2</v>
      </c>
      <c r="M302" s="97">
        <f>K302/(40*1.15)/0.85</f>
        <v>25.575447570332482</v>
      </c>
      <c r="N302" s="499">
        <f>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hidden="1" outlineLevel="3" x14ac:dyDescent="0.35">
      <c r="A303" s="45"/>
      <c r="B303" s="54"/>
      <c r="C303" s="87">
        <f t="shared" si="45"/>
        <v>4</v>
      </c>
      <c r="D303" s="73"/>
      <c r="E303" s="70"/>
      <c r="F303" s="70">
        <v>1</v>
      </c>
      <c r="G303" s="73"/>
      <c r="H303" s="195" t="s">
        <v>2171</v>
      </c>
      <c r="I303" s="76"/>
      <c r="J303" s="97">
        <v>100000</v>
      </c>
      <c r="K303" s="97">
        <v>1000</v>
      </c>
      <c r="L303" s="346">
        <v>7.4999999999999997E-2</v>
      </c>
      <c r="M303" s="97">
        <f>K303/(40*1.15)/0.85</f>
        <v>25.575447570332482</v>
      </c>
      <c r="N303" s="499">
        <f>L303/(40*1.15)/0.85</f>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hidden="1" outlineLevel="3" x14ac:dyDescent="0.35">
      <c r="A304" s="45"/>
      <c r="B304" s="54"/>
      <c r="C304" s="87">
        <f t="shared" si="45"/>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hidden="1" outlineLevel="3" x14ac:dyDescent="0.35">
      <c r="A305" s="45"/>
      <c r="B305" s="54"/>
      <c r="C305" s="87">
        <f t="shared" si="45"/>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hidden="1"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144</v>
      </c>
      <c r="AO306" s="57"/>
      <c r="AP306" s="45"/>
      <c r="AQ306" s="45"/>
      <c r="AR306" s="45"/>
      <c r="AS306" s="457"/>
      <c r="AT306" s="457"/>
    </row>
    <row r="307" spans="1:46" outlineLevel="1" collapsed="1" x14ac:dyDescent="0.35">
      <c r="A307" s="45"/>
      <c r="B307" s="54"/>
      <c r="C307" s="87">
        <f>INT($C$276)+1</f>
        <v>2</v>
      </c>
      <c r="D307" s="73"/>
      <c r="E307" s="70"/>
      <c r="F307" s="70"/>
      <c r="G307" s="73"/>
      <c r="H307" s="90" t="s">
        <v>312</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hidden="1" customHeight="1" outlineLevel="3" x14ac:dyDescent="0.35">
      <c r="A308" s="45"/>
      <c r="B308" s="54"/>
      <c r="C308" s="87">
        <f>INT($C$276)+3.005</f>
        <v>4.0049999999999999</v>
      </c>
      <c r="D308" s="73" t="s">
        <v>140</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hidden="1" outlineLevel="2" x14ac:dyDescent="0.35">
      <c r="A309" s="45"/>
      <c r="B309" s="54"/>
      <c r="C309" s="87">
        <f>INT($C$276)+2</f>
        <v>3</v>
      </c>
      <c r="D309" s="73"/>
      <c r="E309" s="70"/>
      <c r="F309" s="70"/>
      <c r="G309" s="73"/>
      <c r="H309" s="109"/>
      <c r="I309" s="109"/>
      <c r="J309" s="109"/>
      <c r="K309" s="109"/>
      <c r="L309" s="109" t="s">
        <v>3061</v>
      </c>
      <c r="M309" s="509">
        <f>MATCH($AG$309,$T$309:$AM$309,0)-1</f>
        <v>13</v>
      </c>
      <c r="N309" s="109"/>
      <c r="O309" s="109"/>
      <c r="P309" s="109"/>
      <c r="Q309" s="109"/>
      <c r="R309" s="109"/>
      <c r="S309" s="109"/>
      <c r="T309" s="196" t="s">
        <v>313</v>
      </c>
      <c r="U309" s="196" t="s">
        <v>314</v>
      </c>
      <c r="V309" s="196" t="s">
        <v>315</v>
      </c>
      <c r="W309" s="196" t="s">
        <v>316</v>
      </c>
      <c r="X309" s="196" t="s">
        <v>317</v>
      </c>
      <c r="Y309" s="196" t="s">
        <v>318</v>
      </c>
      <c r="Z309" s="196" t="s">
        <v>319</v>
      </c>
      <c r="AA309" s="196" t="s">
        <v>320</v>
      </c>
      <c r="AB309" s="196" t="s">
        <v>321</v>
      </c>
      <c r="AC309" s="196" t="s">
        <v>322</v>
      </c>
      <c r="AD309" s="196" t="s">
        <v>323</v>
      </c>
      <c r="AE309" s="196" t="s">
        <v>324</v>
      </c>
      <c r="AF309" s="196" t="s">
        <v>325</v>
      </c>
      <c r="AG309" s="196" t="s">
        <v>326</v>
      </c>
      <c r="AH309" s="489"/>
      <c r="AI309" s="489"/>
      <c r="AJ309" s="489"/>
      <c r="AK309" s="489"/>
      <c r="AL309" s="489"/>
      <c r="AM309" s="489"/>
      <c r="AN309" s="73"/>
      <c r="AO309" s="57"/>
      <c r="AP309" s="45"/>
      <c r="AQ309" s="45"/>
      <c r="AR309" s="45"/>
      <c r="AS309" s="457"/>
      <c r="AT309" s="457"/>
    </row>
    <row r="310" spans="1:46" hidden="1"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3018</v>
      </c>
      <c r="U310" s="197" t="s">
        <v>327</v>
      </c>
      <c r="V310" s="197"/>
      <c r="W310" s="197"/>
      <c r="X310" s="197" t="s">
        <v>328</v>
      </c>
      <c r="Y310" s="197" t="s">
        <v>329</v>
      </c>
      <c r="Z310" s="197" t="s">
        <v>330</v>
      </c>
      <c r="AA310" s="197"/>
      <c r="AB310" s="197" t="s">
        <v>331</v>
      </c>
      <c r="AC310" s="197" t="s">
        <v>332</v>
      </c>
      <c r="AD310" s="197" t="s">
        <v>333</v>
      </c>
      <c r="AE310" s="197"/>
      <c r="AF310" s="197"/>
      <c r="AG310" s="197" t="s">
        <v>334</v>
      </c>
      <c r="AH310" s="490"/>
      <c r="AI310" s="490"/>
      <c r="AJ310" s="490"/>
      <c r="AK310" s="490"/>
      <c r="AL310" s="490"/>
      <c r="AM310" s="490"/>
      <c r="AN310" s="73"/>
      <c r="AO310" s="57"/>
      <c r="AP310" s="45"/>
      <c r="AQ310" s="45"/>
      <c r="AR310" s="45"/>
      <c r="AS310" s="457"/>
      <c r="AT310" s="457"/>
    </row>
    <row r="311" spans="1:46" hidden="1" outlineLevel="2" x14ac:dyDescent="0.35">
      <c r="A311" s="45"/>
      <c r="B311" s="54"/>
      <c r="C311" s="87">
        <f>INT($C$276)+2</f>
        <v>3</v>
      </c>
      <c r="D311" s="73"/>
      <c r="E311" s="70"/>
      <c r="F311" s="70"/>
      <c r="G311" s="73"/>
      <c r="H311" s="76" t="s">
        <v>335</v>
      </c>
      <c r="I311" s="76"/>
      <c r="J311" s="76"/>
      <c r="K311" s="76"/>
      <c r="L311" s="76"/>
      <c r="M311" s="76"/>
      <c r="N311" s="76"/>
      <c r="O311" s="76"/>
      <c r="P311" s="76"/>
      <c r="Q311" s="76"/>
      <c r="R311" s="76"/>
      <c r="S311" s="76"/>
      <c r="T311" s="198" t="s">
        <v>3019</v>
      </c>
      <c r="U311" s="198" t="s">
        <v>3017</v>
      </c>
      <c r="V311" s="198" t="s">
        <v>336</v>
      </c>
      <c r="W311" s="198" t="s">
        <v>336</v>
      </c>
      <c r="X311" s="198" t="s">
        <v>337</v>
      </c>
      <c r="Y311" s="198" t="s">
        <v>338</v>
      </c>
      <c r="Z311" s="198" t="s">
        <v>339</v>
      </c>
      <c r="AA311" s="198" t="s">
        <v>340</v>
      </c>
      <c r="AB311" s="198" t="s">
        <v>341</v>
      </c>
      <c r="AC311" s="198" t="s">
        <v>342</v>
      </c>
      <c r="AD311" s="198" t="s">
        <v>342</v>
      </c>
      <c r="AE311" s="198"/>
      <c r="AF311" s="198" t="s">
        <v>343</v>
      </c>
      <c r="AG311" s="198" t="s">
        <v>344</v>
      </c>
      <c r="AH311" s="198"/>
      <c r="AI311" s="198"/>
      <c r="AJ311" s="198"/>
      <c r="AK311" s="198"/>
      <c r="AL311" s="198"/>
      <c r="AM311" s="198"/>
      <c r="AN311" s="73"/>
      <c r="AO311" s="57"/>
      <c r="AP311" s="45"/>
      <c r="AQ311" s="45"/>
      <c r="AR311" s="45"/>
      <c r="AS311" s="457"/>
      <c r="AT311" s="457"/>
    </row>
    <row r="312" spans="1:46" hidden="1" outlineLevel="3" x14ac:dyDescent="0.35">
      <c r="A312" s="45"/>
      <c r="B312" s="54"/>
      <c r="C312" s="87">
        <f>INT($C$276)+3</f>
        <v>4</v>
      </c>
      <c r="D312" s="73"/>
      <c r="E312" s="70"/>
      <c r="F312" s="70"/>
      <c r="G312" s="73"/>
      <c r="H312" s="76" t="s">
        <v>3016</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hidden="1" outlineLevel="3" x14ac:dyDescent="0.35">
      <c r="A313" s="45"/>
      <c r="B313" s="54"/>
      <c r="C313" s="87">
        <f t="shared" ref="C313:C319" si="46">INT($C$276+3)</f>
        <v>4</v>
      </c>
      <c r="D313" s="73"/>
      <c r="E313" s="70"/>
      <c r="F313" s="70"/>
      <c r="G313" s="73"/>
      <c r="H313" s="76" t="s">
        <v>345</v>
      </c>
      <c r="I313" s="76"/>
      <c r="J313" s="76"/>
      <c r="K313" s="76"/>
      <c r="L313" s="76"/>
      <c r="M313" s="76"/>
      <c r="N313" s="76"/>
      <c r="O313" s="76"/>
      <c r="P313" s="76"/>
      <c r="Q313" s="76"/>
      <c r="R313" s="76"/>
      <c r="S313" s="76"/>
      <c r="T313" s="99" t="s">
        <v>346</v>
      </c>
      <c r="U313" s="99" t="s">
        <v>346</v>
      </c>
      <c r="V313" s="99" t="s">
        <v>347</v>
      </c>
      <c r="W313" s="99" t="s">
        <v>347</v>
      </c>
      <c r="X313" s="99" t="s">
        <v>346</v>
      </c>
      <c r="Y313" s="99" t="s">
        <v>346</v>
      </c>
      <c r="Z313" s="99" t="s">
        <v>348</v>
      </c>
      <c r="AA313" s="99" t="s">
        <v>349</v>
      </c>
      <c r="AB313" s="99" t="s">
        <v>346</v>
      </c>
      <c r="AC313" s="99" t="s">
        <v>346</v>
      </c>
      <c r="AD313" s="99" t="s">
        <v>346</v>
      </c>
      <c r="AE313" s="99" t="s">
        <v>346</v>
      </c>
      <c r="AF313" s="99" t="s">
        <v>350</v>
      </c>
      <c r="AG313" s="99" t="s">
        <v>351</v>
      </c>
      <c r="AH313" s="99"/>
      <c r="AI313" s="99"/>
      <c r="AJ313" s="99"/>
      <c r="AK313" s="99"/>
      <c r="AL313" s="99"/>
      <c r="AM313" s="99"/>
      <c r="AN313" s="73"/>
      <c r="AO313" s="57"/>
      <c r="AP313" s="45"/>
      <c r="AQ313" s="45"/>
      <c r="AR313" s="45"/>
      <c r="AS313" s="457"/>
      <c r="AT313" s="457"/>
    </row>
    <row r="314" spans="1:46" hidden="1" outlineLevel="3" x14ac:dyDescent="0.35">
      <c r="A314" s="45"/>
      <c r="B314" s="54"/>
      <c r="C314" s="87">
        <f t="shared" si="46"/>
        <v>4</v>
      </c>
      <c r="D314" s="73"/>
      <c r="E314" s="70"/>
      <c r="F314" s="70"/>
      <c r="G314" s="73"/>
      <c r="H314" s="76" t="s">
        <v>352</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hidden="1" outlineLevel="3" x14ac:dyDescent="0.35">
      <c r="A315" s="45"/>
      <c r="B315" s="54"/>
      <c r="C315" s="87">
        <f t="shared" si="46"/>
        <v>4</v>
      </c>
      <c r="D315" s="73"/>
      <c r="E315" s="70"/>
      <c r="F315" s="70"/>
      <c r="G315" s="73"/>
      <c r="H315" s="76" t="s">
        <v>353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hidden="1" outlineLevel="3" x14ac:dyDescent="0.35">
      <c r="A316" s="45"/>
      <c r="B316" s="54"/>
      <c r="C316" s="87">
        <f t="shared" si="46"/>
        <v>4</v>
      </c>
      <c r="D316" s="73"/>
      <c r="E316" s="70"/>
      <c r="F316" s="70"/>
      <c r="G316" s="73"/>
      <c r="H316" s="76"/>
      <c r="I316" s="76"/>
      <c r="J316" s="76"/>
      <c r="K316" s="76"/>
      <c r="L316" s="76"/>
      <c r="M316" s="76"/>
      <c r="N316" s="76"/>
      <c r="O316" s="76"/>
      <c r="P316" s="76"/>
      <c r="Q316" s="76"/>
      <c r="R316" s="76"/>
      <c r="S316" s="76"/>
      <c r="T316" s="96" t="str">
        <f t="shared" ref="T316:AF316" si="47">INDEX($H$289:$H$297,T315+1,1)</f>
        <v>LW</v>
      </c>
      <c r="U316" s="96" t="str">
        <f t="shared" si="47"/>
        <v>LW</v>
      </c>
      <c r="V316" s="96" t="str">
        <f t="shared" si="47"/>
        <v>head</v>
      </c>
      <c r="W316" s="96" t="str">
        <f t="shared" si="47"/>
        <v>head</v>
      </c>
      <c r="X316" s="96" t="str">
        <f t="shared" si="47"/>
        <v>head</v>
      </c>
      <c r="Y316" s="96" t="str">
        <f t="shared" si="47"/>
        <v>head</v>
      </c>
      <c r="Z316" s="96" t="str">
        <f t="shared" si="47"/>
        <v>head</v>
      </c>
      <c r="AA316" s="96" t="str">
        <f t="shared" si="47"/>
        <v>nyatf</v>
      </c>
      <c r="AB316" s="96" t="str">
        <f t="shared" si="47"/>
        <v>nyatf</v>
      </c>
      <c r="AC316" s="96" t="str">
        <f t="shared" si="47"/>
        <v>head</v>
      </c>
      <c r="AD316" s="96" t="str">
        <f t="shared" si="47"/>
        <v>head</v>
      </c>
      <c r="AE316" s="96" t="str">
        <f t="shared" si="47"/>
        <v>head</v>
      </c>
      <c r="AF316" s="96" t="str">
        <f t="shared" si="47"/>
        <v>CFW</v>
      </c>
      <c r="AG316" s="96" t="str">
        <f>INDEX($H$289:$H$297,AG315+1,1)</f>
        <v>mob</v>
      </c>
      <c r="AH316" s="96"/>
      <c r="AI316" s="96"/>
      <c r="AJ316" s="96"/>
      <c r="AK316" s="96"/>
      <c r="AL316" s="96"/>
      <c r="AM316" s="96"/>
      <c r="AN316" s="73"/>
      <c r="AO316" s="57"/>
      <c r="AP316" s="45"/>
      <c r="AQ316" s="45"/>
      <c r="AR316" s="45"/>
      <c r="AS316" s="457"/>
      <c r="AT316" s="457"/>
    </row>
    <row r="317" spans="1:46" hidden="1" outlineLevel="3" x14ac:dyDescent="0.35">
      <c r="A317" s="45"/>
      <c r="B317" s="54"/>
      <c r="C317" s="87">
        <f t="shared" si="46"/>
        <v>4</v>
      </c>
      <c r="D317" s="73"/>
      <c r="E317" s="70"/>
      <c r="F317" s="70"/>
      <c r="G317" s="73"/>
      <c r="H317" s="76" t="s">
        <v>354</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hidden="1" outlineLevel="3" x14ac:dyDescent="0.35">
      <c r="A318" s="45"/>
      <c r="B318" s="54"/>
      <c r="C318" s="87">
        <f t="shared" si="46"/>
        <v>4</v>
      </c>
      <c r="D318" s="73"/>
      <c r="E318" s="70"/>
      <c r="F318" s="70"/>
      <c r="G318" s="73"/>
      <c r="H318" s="76" t="s">
        <v>355</v>
      </c>
      <c r="I318" s="76"/>
      <c r="J318" s="76"/>
      <c r="K318" s="76"/>
      <c r="L318" s="76"/>
      <c r="M318" s="76"/>
      <c r="N318" s="76"/>
      <c r="O318" s="76"/>
      <c r="P318" s="76"/>
      <c r="Q318" s="76"/>
      <c r="R318" s="76"/>
      <c r="S318" s="76"/>
      <c r="T318" s="200">
        <f t="shared" ref="T318:AF318" si="48">T$314*T$317</f>
        <v>7.909090909090909E-3</v>
      </c>
      <c r="U318" s="200">
        <f t="shared" si="48"/>
        <v>1.0454545454545452E-2</v>
      </c>
      <c r="V318" s="200">
        <f t="shared" si="48"/>
        <v>0.4</v>
      </c>
      <c r="W318" s="200">
        <f t="shared" si="48"/>
        <v>0.4</v>
      </c>
      <c r="X318" s="200">
        <f t="shared" si="48"/>
        <v>0.68909090909090898</v>
      </c>
      <c r="Y318" s="200">
        <f t="shared" si="48"/>
        <v>2.56</v>
      </c>
      <c r="Z318" s="200">
        <f t="shared" si="48"/>
        <v>0.40454545454545454</v>
      </c>
      <c r="AA318" s="200">
        <f t="shared" si="48"/>
        <v>4.9090909090909095E-2</v>
      </c>
      <c r="AB318" s="200">
        <f t="shared" si="48"/>
        <v>1.9454545454545453</v>
      </c>
      <c r="AC318" s="200">
        <f t="shared" si="48"/>
        <v>0.97424999999999995</v>
      </c>
      <c r="AD318" s="200">
        <f t="shared" si="48"/>
        <v>0.625</v>
      </c>
      <c r="AE318" s="200">
        <f t="shared" si="48"/>
        <v>0</v>
      </c>
      <c r="AF318" s="200">
        <f t="shared" si="48"/>
        <v>5.6451612903225812E-2</v>
      </c>
      <c r="AG318" s="200">
        <f>AG314</f>
        <v>14.2</v>
      </c>
      <c r="AH318" s="200"/>
      <c r="AI318" s="200"/>
      <c r="AJ318" s="200"/>
      <c r="AK318" s="200"/>
      <c r="AL318" s="200"/>
      <c r="AM318" s="200"/>
      <c r="AN318" s="73"/>
      <c r="AO318" s="57"/>
      <c r="AP318" s="45"/>
      <c r="AQ318" s="45"/>
      <c r="AR318" s="45"/>
      <c r="AS318" s="457"/>
      <c r="AT318" s="457"/>
    </row>
    <row r="319" spans="1:46" ht="31.5" hidden="1" outlineLevel="3" x14ac:dyDescent="0.35">
      <c r="A319" s="45"/>
      <c r="B319" s="54"/>
      <c r="C319" s="87">
        <f t="shared" si="46"/>
        <v>4</v>
      </c>
      <c r="D319" s="73"/>
      <c r="E319" s="70"/>
      <c r="F319" s="70"/>
      <c r="G319" s="73"/>
      <c r="H319" s="169" t="s">
        <v>356</v>
      </c>
      <c r="I319" s="169"/>
      <c r="J319" s="169"/>
      <c r="K319" s="169"/>
      <c r="L319" s="169"/>
      <c r="M319" s="169"/>
      <c r="N319" s="169"/>
      <c r="O319" s="169"/>
      <c r="P319" s="169"/>
      <c r="Q319" s="169"/>
      <c r="R319" s="169"/>
      <c r="S319" s="169"/>
      <c r="T319" s="201" t="s">
        <v>3020</v>
      </c>
      <c r="U319" s="201" t="s">
        <v>3020</v>
      </c>
      <c r="V319" s="201"/>
      <c r="W319" s="201"/>
      <c r="X319" s="201" t="s">
        <v>3022</v>
      </c>
      <c r="Y319" s="201" t="s">
        <v>357</v>
      </c>
      <c r="Z319" s="201" t="s">
        <v>358</v>
      </c>
      <c r="AA319" s="201" t="s">
        <v>3022</v>
      </c>
      <c r="AB319" s="201" t="s">
        <v>3021</v>
      </c>
      <c r="AC319" s="201"/>
      <c r="AD319" s="201"/>
      <c r="AE319" s="201"/>
      <c r="AF319" s="201" t="s">
        <v>3023</v>
      </c>
      <c r="AG319" s="201"/>
      <c r="AH319" s="491"/>
      <c r="AI319" s="491"/>
      <c r="AJ319" s="491"/>
      <c r="AK319" s="491"/>
      <c r="AL319" s="491"/>
      <c r="AM319" s="491"/>
      <c r="AN319" s="73"/>
      <c r="AO319" s="57"/>
      <c r="AP319" s="45"/>
      <c r="AQ319" s="45"/>
      <c r="AR319" s="45"/>
      <c r="AS319" s="457"/>
      <c r="AT319" s="457"/>
    </row>
    <row r="320" spans="1:46" ht="5.15" hidden="1"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144</v>
      </c>
      <c r="AO320" s="57"/>
      <c r="AP320" s="45"/>
      <c r="AQ320" s="45"/>
      <c r="AR320" s="45"/>
      <c r="AS320" s="457"/>
      <c r="AT320" s="457"/>
    </row>
    <row r="321" spans="1:46" hidden="1"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collapsed="1" x14ac:dyDescent="0.35">
      <c r="A322" s="45"/>
      <c r="B322" s="54"/>
      <c r="C322" s="87">
        <f>INT($C$276)+1</f>
        <v>2</v>
      </c>
      <c r="D322" s="73"/>
      <c r="E322" s="70"/>
      <c r="F322" s="70"/>
      <c r="G322" s="73"/>
      <c r="H322" s="90" t="s">
        <v>359</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hidden="1" customHeight="1" outlineLevel="3" x14ac:dyDescent="0.35">
      <c r="A323" s="45"/>
      <c r="B323" s="54"/>
      <c r="C323" s="87">
        <f>INT($C$276)+3.005</f>
        <v>4.0049999999999999</v>
      </c>
      <c r="D323" s="73" t="s">
        <v>140</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hidden="1" outlineLevel="2" x14ac:dyDescent="0.35">
      <c r="A324" s="45"/>
      <c r="B324" s="54"/>
      <c r="C324" s="87">
        <f>INT($C$276)+2</f>
        <v>3</v>
      </c>
      <c r="D324" s="73"/>
      <c r="E324" s="70"/>
      <c r="F324" s="70"/>
      <c r="G324" s="73"/>
      <c r="H324" s="76"/>
      <c r="I324" s="76"/>
      <c r="J324" s="76"/>
      <c r="K324" s="96" t="s">
        <v>360</v>
      </c>
      <c r="L324" s="95" t="s">
        <v>361</v>
      </c>
      <c r="M324" s="95"/>
      <c r="N324" s="95"/>
      <c r="O324" s="76"/>
      <c r="P324" s="96" t="s">
        <v>362</v>
      </c>
      <c r="Q324" s="95" t="s">
        <v>363</v>
      </c>
      <c r="R324" s="95"/>
      <c r="S324" s="95" t="s">
        <v>364</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hidden="1" outlineLevel="2" x14ac:dyDescent="0.35">
      <c r="A325" s="45"/>
      <c r="B325" s="54"/>
      <c r="C325" s="87">
        <f>INT($C$276)+2</f>
        <v>3</v>
      </c>
      <c r="D325" s="73"/>
      <c r="E325" s="70"/>
      <c r="F325" s="70"/>
      <c r="G325" s="73"/>
      <c r="H325" s="76"/>
      <c r="I325" s="95" t="s">
        <v>365</v>
      </c>
      <c r="J325" s="202"/>
      <c r="K325" s="96" t="s">
        <v>366</v>
      </c>
      <c r="L325" s="95" t="s">
        <v>367</v>
      </c>
      <c r="M325" s="95"/>
      <c r="N325" s="95"/>
      <c r="O325" s="76"/>
      <c r="P325" s="96" t="s">
        <v>368</v>
      </c>
      <c r="Q325" s="76" t="s">
        <v>369</v>
      </c>
      <c r="R325" s="96" t="s">
        <v>370</v>
      </c>
      <c r="S325" s="203"/>
      <c r="T325" s="203" t="str">
        <f t="shared" ref="T325:AG325" si="49">IF(T$310&lt;&gt;"",T$310,T$309)</f>
        <v>Triguard</v>
      </c>
      <c r="U325" s="203" t="str">
        <f t="shared" si="49"/>
        <v>Q Drench</v>
      </c>
      <c r="V325" s="203" t="str">
        <f t="shared" si="49"/>
        <v>Se bullet</v>
      </c>
      <c r="W325" s="203" t="str">
        <f t="shared" si="49"/>
        <v>Co bullet</v>
      </c>
      <c r="X325" s="203" t="str">
        <f t="shared" si="49"/>
        <v>Glanvac 6S</v>
      </c>
      <c r="Y325" s="203" t="str">
        <f t="shared" si="49"/>
        <v>Gudair</v>
      </c>
      <c r="Z325" s="203" t="str">
        <f t="shared" si="49"/>
        <v>Sidney SP</v>
      </c>
      <c r="AA325" s="203" t="str">
        <f t="shared" si="49"/>
        <v>Rings</v>
      </c>
      <c r="AB325" s="203" t="str">
        <f t="shared" si="49"/>
        <v>Meloxicam</v>
      </c>
      <c r="AC325" s="203" t="str">
        <f t="shared" si="49"/>
        <v>Click</v>
      </c>
      <c r="AD325" s="203" t="str">
        <f t="shared" si="49"/>
        <v>Vetrazin</v>
      </c>
      <c r="AE325" s="203" t="str">
        <f t="shared" si="49"/>
        <v>Footrot treatment</v>
      </c>
      <c r="AF325" s="203" t="str">
        <f t="shared" si="49"/>
        <v>Wool packs</v>
      </c>
      <c r="AG325" s="203" t="str">
        <f t="shared" si="49"/>
        <v>Diesel</v>
      </c>
      <c r="AH325" s="203"/>
      <c r="AI325" s="203"/>
      <c r="AJ325" s="203"/>
      <c r="AK325" s="203"/>
      <c r="AL325" s="203"/>
      <c r="AM325" s="203"/>
      <c r="AN325" s="73"/>
      <c r="AO325" s="57"/>
      <c r="AP325" s="45"/>
      <c r="AQ325" s="45"/>
      <c r="AR325" s="45"/>
      <c r="AS325" s="457"/>
      <c r="AT325" s="457"/>
    </row>
    <row r="326" spans="1:46" hidden="1" outlineLevel="3" x14ac:dyDescent="0.35">
      <c r="A326" s="45"/>
      <c r="B326" s="54"/>
      <c r="C326" s="87">
        <f>INT($C$276)+3</f>
        <v>4</v>
      </c>
      <c r="D326" s="73"/>
      <c r="E326" s="70"/>
      <c r="F326" s="70"/>
      <c r="G326" s="73"/>
      <c r="H326" s="204" t="s">
        <v>371</v>
      </c>
      <c r="I326" s="204" t="s">
        <v>372</v>
      </c>
      <c r="J326" s="204"/>
      <c r="K326" s="173" t="s">
        <v>373</v>
      </c>
      <c r="L326" s="173" t="s">
        <v>374</v>
      </c>
      <c r="M326" s="173" t="s">
        <v>375</v>
      </c>
      <c r="N326" s="173" t="s">
        <v>376</v>
      </c>
      <c r="O326" s="205" t="s">
        <v>377</v>
      </c>
      <c r="P326" s="173" t="s">
        <v>378</v>
      </c>
      <c r="Q326" s="99" t="s">
        <v>2240</v>
      </c>
      <c r="R326" s="99" t="s">
        <v>379</v>
      </c>
      <c r="S326" s="205"/>
      <c r="T326" s="173" t="str">
        <f t="shared" ref="T326:AG326" si="50">T316</f>
        <v>LW</v>
      </c>
      <c r="U326" s="173" t="str">
        <f t="shared" si="50"/>
        <v>LW</v>
      </c>
      <c r="V326" s="173" t="str">
        <f t="shared" si="50"/>
        <v>head</v>
      </c>
      <c r="W326" s="173" t="str">
        <f t="shared" si="50"/>
        <v>head</v>
      </c>
      <c r="X326" s="173" t="str">
        <f t="shared" si="50"/>
        <v>head</v>
      </c>
      <c r="Y326" s="173" t="str">
        <f t="shared" si="50"/>
        <v>head</v>
      </c>
      <c r="Z326" s="173" t="str">
        <f t="shared" si="50"/>
        <v>head</v>
      </c>
      <c r="AA326" s="173" t="str">
        <f t="shared" si="50"/>
        <v>nyatf</v>
      </c>
      <c r="AB326" s="173" t="str">
        <f t="shared" si="50"/>
        <v>nyatf</v>
      </c>
      <c r="AC326" s="173" t="str">
        <f t="shared" si="50"/>
        <v>head</v>
      </c>
      <c r="AD326" s="173" t="str">
        <f t="shared" si="50"/>
        <v>head</v>
      </c>
      <c r="AE326" s="173" t="str">
        <f t="shared" si="50"/>
        <v>head</v>
      </c>
      <c r="AF326" s="173" t="str">
        <f t="shared" si="50"/>
        <v>CFW</v>
      </c>
      <c r="AG326" s="173" t="str">
        <f t="shared" si="50"/>
        <v>mob</v>
      </c>
      <c r="AH326" s="492"/>
      <c r="AI326" s="492"/>
      <c r="AJ326" s="492"/>
      <c r="AK326" s="492"/>
      <c r="AL326" s="492"/>
      <c r="AM326" s="492"/>
      <c r="AN326" s="73"/>
      <c r="AO326" s="57"/>
      <c r="AP326" s="45"/>
      <c r="AQ326" s="45"/>
      <c r="AR326" s="45"/>
      <c r="AS326" s="457"/>
      <c r="AT326" s="457"/>
    </row>
    <row r="327" spans="1:46" hidden="1" outlineLevel="3" x14ac:dyDescent="0.35">
      <c r="A327" s="45"/>
      <c r="B327" s="54"/>
      <c r="C327" s="87">
        <f t="shared" ref="C327:C336" si="51">INT($C$276+3)</f>
        <v>4</v>
      </c>
      <c r="D327" s="73"/>
      <c r="E327" s="70"/>
      <c r="F327" s="70"/>
      <c r="G327" s="73"/>
      <c r="H327" s="105" t="s">
        <v>380</v>
      </c>
      <c r="I327" s="99">
        <v>1</v>
      </c>
      <c r="J327" s="184" t="str">
        <f t="shared" ref="J327:J353" si="52">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hidden="1" outlineLevel="3" x14ac:dyDescent="0.35">
      <c r="A328" s="45"/>
      <c r="B328" s="54"/>
      <c r="C328" s="87">
        <f t="shared" si="51"/>
        <v>4</v>
      </c>
      <c r="D328" s="73"/>
      <c r="E328" s="70"/>
      <c r="F328" s="70"/>
      <c r="G328" s="73"/>
      <c r="H328" s="76" t="s">
        <v>381</v>
      </c>
      <c r="I328" s="99">
        <v>1</v>
      </c>
      <c r="J328" s="96" t="str">
        <f t="shared" si="52"/>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hidden="1" outlineLevel="3" x14ac:dyDescent="0.35">
      <c r="A329" s="45"/>
      <c r="B329" s="54"/>
      <c r="C329" s="87">
        <f t="shared" si="51"/>
        <v>4</v>
      </c>
      <c r="D329" s="73"/>
      <c r="E329" s="70"/>
      <c r="F329" s="70"/>
      <c r="G329" s="73"/>
      <c r="H329" s="76" t="s">
        <v>382</v>
      </c>
      <c r="I329" s="99">
        <v>0</v>
      </c>
      <c r="J329" s="96" t="str">
        <f>INDEX($H$289:$H$297,I329+1,1)</f>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hidden="1" outlineLevel="3" x14ac:dyDescent="0.35">
      <c r="A330" s="45"/>
      <c r="B330" s="54"/>
      <c r="C330" s="87">
        <f t="shared" si="51"/>
        <v>4</v>
      </c>
      <c r="D330" s="73"/>
      <c r="E330" s="70"/>
      <c r="F330" s="70"/>
      <c r="G330" s="73"/>
      <c r="H330" s="76" t="s">
        <v>383</v>
      </c>
      <c r="I330" s="99">
        <v>1</v>
      </c>
      <c r="J330" s="96" t="str">
        <f t="shared" si="52"/>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hidden="1" outlineLevel="3" x14ac:dyDescent="0.35">
      <c r="A331" s="45"/>
      <c r="B331" s="54"/>
      <c r="C331" s="87">
        <f t="shared" si="51"/>
        <v>4</v>
      </c>
      <c r="D331" s="73"/>
      <c r="E331" s="70"/>
      <c r="F331" s="70"/>
      <c r="G331" s="73"/>
      <c r="H331" s="76" t="s">
        <v>384</v>
      </c>
      <c r="I331" s="99">
        <v>1</v>
      </c>
      <c r="J331" s="96" t="str">
        <f t="shared" si="52"/>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hidden="1" outlineLevel="3" x14ac:dyDescent="0.35">
      <c r="A332" s="45"/>
      <c r="B332" s="54"/>
      <c r="C332" s="87">
        <f t="shared" si="51"/>
        <v>4</v>
      </c>
      <c r="D332" s="73"/>
      <c r="E332" s="70"/>
      <c r="F332" s="70"/>
      <c r="G332" s="73"/>
      <c r="H332" s="76" t="s">
        <v>385</v>
      </c>
      <c r="I332" s="99">
        <v>1</v>
      </c>
      <c r="J332" s="96" t="str">
        <f t="shared" si="52"/>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hidden="1" outlineLevel="3" x14ac:dyDescent="0.35">
      <c r="A333" s="45"/>
      <c r="B333" s="54"/>
      <c r="C333" s="87">
        <f t="shared" si="51"/>
        <v>4</v>
      </c>
      <c r="D333" s="73"/>
      <c r="E333" s="70"/>
      <c r="F333" s="70"/>
      <c r="G333" s="73"/>
      <c r="H333" s="76" t="s">
        <v>386</v>
      </c>
      <c r="I333" s="99">
        <v>0</v>
      </c>
      <c r="J333" s="96" t="str">
        <f t="shared" si="52"/>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hidden="1" outlineLevel="3" x14ac:dyDescent="0.35">
      <c r="A334" s="45"/>
      <c r="B334" s="54"/>
      <c r="C334" s="87">
        <f t="shared" si="51"/>
        <v>4</v>
      </c>
      <c r="D334" s="73"/>
      <c r="E334" s="70"/>
      <c r="F334" s="70"/>
      <c r="G334" s="73"/>
      <c r="H334" s="76" t="s">
        <v>387</v>
      </c>
      <c r="I334" s="99">
        <v>0</v>
      </c>
      <c r="J334" s="96" t="str">
        <f t="shared" si="52"/>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hidden="1" outlineLevel="3" x14ac:dyDescent="0.35">
      <c r="A335" s="45"/>
      <c r="B335" s="54"/>
      <c r="C335" s="87">
        <f t="shared" si="51"/>
        <v>4</v>
      </c>
      <c r="D335" s="73"/>
      <c r="E335" s="70"/>
      <c r="F335" s="70"/>
      <c r="G335" s="73"/>
      <c r="H335" s="76" t="s">
        <v>388</v>
      </c>
      <c r="I335" s="99">
        <v>0</v>
      </c>
      <c r="J335" s="96" t="str">
        <f t="shared" si="52"/>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hidden="1" outlineLevel="3" x14ac:dyDescent="0.35">
      <c r="A336" s="45"/>
      <c r="B336" s="54"/>
      <c r="C336" s="87">
        <f t="shared" si="51"/>
        <v>4</v>
      </c>
      <c r="D336" s="73"/>
      <c r="E336" s="70"/>
      <c r="F336" s="70"/>
      <c r="G336" s="73"/>
      <c r="H336" s="76" t="s">
        <v>389</v>
      </c>
      <c r="I336" s="99">
        <v>0</v>
      </c>
      <c r="J336" s="96" t="str">
        <f t="shared" si="52"/>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hidden="1" outlineLevel="3" x14ac:dyDescent="0.35">
      <c r="A337" s="45"/>
      <c r="B337" s="54"/>
      <c r="C337" s="87">
        <f>INT($C$276+3)</f>
        <v>4</v>
      </c>
      <c r="D337" s="73"/>
      <c r="E337" s="70"/>
      <c r="F337" s="70"/>
      <c r="G337" s="73"/>
      <c r="H337" s="76" t="s">
        <v>390</v>
      </c>
      <c r="I337" s="99">
        <v>0</v>
      </c>
      <c r="J337" s="96" t="str">
        <f t="shared" si="52"/>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hidden="1" outlineLevel="3" x14ac:dyDescent="0.35">
      <c r="A338" s="45"/>
      <c r="B338" s="54"/>
      <c r="C338" s="87">
        <f>INT($C$276+3)</f>
        <v>4</v>
      </c>
      <c r="D338" s="73"/>
      <c r="E338" s="70"/>
      <c r="F338" s="70"/>
      <c r="G338" s="73"/>
      <c r="H338" s="76" t="s">
        <v>391</v>
      </c>
      <c r="I338" s="99">
        <v>0</v>
      </c>
      <c r="J338" s="96" t="str">
        <f t="shared" si="52"/>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hidden="1" outlineLevel="3" x14ac:dyDescent="0.35">
      <c r="A339" s="45"/>
      <c r="B339" s="54"/>
      <c r="C339" s="87">
        <f>INT($C$276+3)</f>
        <v>4</v>
      </c>
      <c r="D339" s="73"/>
      <c r="E339" s="70"/>
      <c r="F339" s="70"/>
      <c r="G339" s="73"/>
      <c r="H339" s="76" t="s">
        <v>392</v>
      </c>
      <c r="I339" s="99">
        <v>0</v>
      </c>
      <c r="J339" s="96" t="str">
        <f t="shared" si="52"/>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hidden="1" outlineLevel="3" x14ac:dyDescent="0.35">
      <c r="A340" s="45"/>
      <c r="B340" s="54"/>
      <c r="C340" s="87">
        <f t="shared" ref="C340:C360" si="53">INT($C$276+3)</f>
        <v>4</v>
      </c>
      <c r="D340" s="73"/>
      <c r="E340" s="70"/>
      <c r="F340" s="70"/>
      <c r="G340" s="73"/>
      <c r="H340" s="76" t="s">
        <v>393</v>
      </c>
      <c r="I340" s="99">
        <v>0</v>
      </c>
      <c r="J340" s="96" t="str">
        <f t="shared" si="52"/>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hidden="1" outlineLevel="3" x14ac:dyDescent="0.35">
      <c r="A341" s="45"/>
      <c r="B341" s="54"/>
      <c r="C341" s="87">
        <f t="shared" si="53"/>
        <v>4</v>
      </c>
      <c r="D341" s="73"/>
      <c r="E341" s="70"/>
      <c r="F341" s="70"/>
      <c r="G341" s="73"/>
      <c r="H341" s="76" t="s">
        <v>394</v>
      </c>
      <c r="I341" s="99">
        <v>5</v>
      </c>
      <c r="J341" s="96" t="str">
        <f t="shared" si="52"/>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hidden="1" outlineLevel="3" x14ac:dyDescent="0.35">
      <c r="A342" s="45"/>
      <c r="B342" s="54"/>
      <c r="C342" s="87">
        <f t="shared" si="53"/>
        <v>4</v>
      </c>
      <c r="D342" s="73"/>
      <c r="E342" s="70"/>
      <c r="F342" s="70"/>
      <c r="G342" s="73"/>
      <c r="H342" s="76" t="s">
        <v>395</v>
      </c>
      <c r="I342" s="99">
        <v>5</v>
      </c>
      <c r="J342" s="96" t="str">
        <f t="shared" si="52"/>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hidden="1" outlineLevel="3" x14ac:dyDescent="0.35">
      <c r="A343" s="45"/>
      <c r="B343" s="54"/>
      <c r="C343" s="87">
        <f t="shared" si="53"/>
        <v>4</v>
      </c>
      <c r="D343" s="73"/>
      <c r="E343" s="70"/>
      <c r="F343" s="70"/>
      <c r="G343" s="73"/>
      <c r="H343" s="76" t="s">
        <v>396</v>
      </c>
      <c r="I343" s="99">
        <v>0</v>
      </c>
      <c r="J343" s="96" t="str">
        <f t="shared" si="52"/>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hidden="1" outlineLevel="3" x14ac:dyDescent="0.35">
      <c r="A344" s="45"/>
      <c r="B344" s="54"/>
      <c r="C344" s="87">
        <f t="shared" si="53"/>
        <v>4</v>
      </c>
      <c r="D344" s="73"/>
      <c r="E344" s="70"/>
      <c r="F344" s="70"/>
      <c r="G344" s="73"/>
      <c r="H344" s="76" t="s">
        <v>397</v>
      </c>
      <c r="I344" s="99">
        <v>0</v>
      </c>
      <c r="J344" s="96" t="str">
        <f t="shared" si="52"/>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hidden="1" outlineLevel="3" x14ac:dyDescent="0.35">
      <c r="A345" s="45"/>
      <c r="B345" s="54"/>
      <c r="C345" s="87">
        <f t="shared" si="53"/>
        <v>4</v>
      </c>
      <c r="D345" s="73"/>
      <c r="E345" s="70"/>
      <c r="F345" s="70"/>
      <c r="G345" s="73"/>
      <c r="H345" s="76" t="s">
        <v>398</v>
      </c>
      <c r="I345" s="99">
        <v>0</v>
      </c>
      <c r="J345" s="96" t="str">
        <f t="shared" si="52"/>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hidden="1" outlineLevel="3" x14ac:dyDescent="0.35">
      <c r="A346" s="45"/>
      <c r="B346" s="54"/>
      <c r="C346" s="87">
        <f t="shared" si="53"/>
        <v>4</v>
      </c>
      <c r="D346" s="73"/>
      <c r="E346" s="70"/>
      <c r="F346" s="70"/>
      <c r="G346" s="73"/>
      <c r="H346" s="76" t="s">
        <v>399</v>
      </c>
      <c r="I346" s="99">
        <v>1</v>
      </c>
      <c r="J346" s="96" t="str">
        <f t="shared" si="52"/>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hidden="1" outlineLevel="3" x14ac:dyDescent="0.35">
      <c r="A347" s="45"/>
      <c r="B347" s="54"/>
      <c r="C347" s="87">
        <f t="shared" si="53"/>
        <v>4</v>
      </c>
      <c r="D347" s="73"/>
      <c r="E347" s="70"/>
      <c r="F347" s="70"/>
      <c r="G347" s="73"/>
      <c r="H347" s="76" t="s">
        <v>400</v>
      </c>
      <c r="I347" s="99">
        <v>1</v>
      </c>
      <c r="J347" s="96" t="str">
        <f t="shared" si="52"/>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hidden="1" outlineLevel="3" x14ac:dyDescent="0.35">
      <c r="A348" s="45"/>
      <c r="B348" s="54"/>
      <c r="C348" s="87">
        <f t="shared" si="53"/>
        <v>4</v>
      </c>
      <c r="D348" s="73"/>
      <c r="E348" s="70"/>
      <c r="F348" s="70"/>
      <c r="G348" s="73"/>
      <c r="H348" s="76" t="s">
        <v>401</v>
      </c>
      <c r="I348" s="99">
        <v>0</v>
      </c>
      <c r="J348" s="96" t="str">
        <f t="shared" si="52"/>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hidden="1" outlineLevel="3" x14ac:dyDescent="0.35">
      <c r="A349" s="45"/>
      <c r="B349" s="54"/>
      <c r="C349" s="87">
        <f t="shared" si="53"/>
        <v>4</v>
      </c>
      <c r="D349" s="73"/>
      <c r="E349" s="70"/>
      <c r="F349" s="70"/>
      <c r="G349" s="73"/>
      <c r="H349" s="76" t="s">
        <v>402</v>
      </c>
      <c r="I349" s="99">
        <v>1</v>
      </c>
      <c r="J349" s="96" t="str">
        <f t="shared" si="52"/>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hidden="1" outlineLevel="3" x14ac:dyDescent="0.35">
      <c r="A350" s="45"/>
      <c r="B350" s="54"/>
      <c r="C350" s="87">
        <f t="shared" si="53"/>
        <v>4</v>
      </c>
      <c r="D350" s="73"/>
      <c r="E350" s="70"/>
      <c r="F350" s="70"/>
      <c r="G350" s="73"/>
      <c r="H350" s="76" t="s">
        <v>403</v>
      </c>
      <c r="I350" s="99">
        <v>0</v>
      </c>
      <c r="J350" s="96" t="str">
        <f t="shared" si="52"/>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hidden="1" outlineLevel="3" x14ac:dyDescent="0.35">
      <c r="A351" s="45"/>
      <c r="B351" s="54"/>
      <c r="C351" s="87">
        <f t="shared" si="53"/>
        <v>4</v>
      </c>
      <c r="D351" s="73"/>
      <c r="E351" s="70"/>
      <c r="F351" s="70"/>
      <c r="G351" s="73"/>
      <c r="H351" s="76" t="s">
        <v>404</v>
      </c>
      <c r="I351" s="99">
        <v>2</v>
      </c>
      <c r="J351" s="96" t="str">
        <f t="shared" si="52"/>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hidden="1" outlineLevel="3" x14ac:dyDescent="0.35">
      <c r="A352" s="45"/>
      <c r="B352" s="54"/>
      <c r="C352" s="87">
        <f t="shared" si="53"/>
        <v>4</v>
      </c>
      <c r="D352" s="73"/>
      <c r="E352" s="70"/>
      <c r="F352" s="70"/>
      <c r="G352" s="73"/>
      <c r="H352" s="76" t="s">
        <v>2370</v>
      </c>
      <c r="I352" s="99">
        <v>2</v>
      </c>
      <c r="J352" s="96" t="str">
        <f t="shared" si="52"/>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hidden="1" outlineLevel="3" x14ac:dyDescent="0.35">
      <c r="A353" s="45"/>
      <c r="B353" s="54"/>
      <c r="C353" s="87">
        <f t="shared" si="53"/>
        <v>4</v>
      </c>
      <c r="D353" s="73"/>
      <c r="E353" s="70"/>
      <c r="F353" s="70"/>
      <c r="G353" s="73"/>
      <c r="H353" s="76" t="s">
        <v>2371</v>
      </c>
      <c r="I353" s="99">
        <v>2</v>
      </c>
      <c r="J353" s="96" t="str">
        <f t="shared" si="52"/>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hidden="1"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144</v>
      </c>
      <c r="AO354" s="57"/>
      <c r="AP354" s="45"/>
      <c r="AQ354" s="45"/>
      <c r="AR354" s="45"/>
      <c r="AS354" s="457"/>
      <c r="AT354" s="457"/>
    </row>
    <row r="355" spans="1:46" hidden="1" outlineLevel="3" x14ac:dyDescent="0.35">
      <c r="A355" s="45"/>
      <c r="B355" s="54"/>
      <c r="C355" s="87">
        <f t="shared" si="53"/>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hidden="1" outlineLevel="3" x14ac:dyDescent="0.35">
      <c r="A356" s="45"/>
      <c r="B356" s="54"/>
      <c r="C356" s="87">
        <f t="shared" si="53"/>
        <v>4</v>
      </c>
      <c r="D356" s="73"/>
      <c r="E356" s="70"/>
      <c r="F356" s="70"/>
      <c r="G356" s="73"/>
      <c r="H356" s="225" t="s">
        <v>362</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hidden="1"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144</v>
      </c>
      <c r="AO357" s="57"/>
      <c r="AP357" s="45"/>
      <c r="AQ357" s="45"/>
      <c r="AR357" s="45"/>
      <c r="AS357" s="457"/>
      <c r="AT357" s="457"/>
    </row>
    <row r="358" spans="1:46" hidden="1" outlineLevel="3" x14ac:dyDescent="0.35">
      <c r="A358" s="45"/>
      <c r="B358" s="54"/>
      <c r="C358" s="87">
        <f t="shared" si="53"/>
        <v>4</v>
      </c>
      <c r="D358" s="73"/>
      <c r="E358" s="70"/>
      <c r="F358" s="70"/>
      <c r="G358" s="73"/>
      <c r="H358" s="217" t="s">
        <v>405</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hidden="1" outlineLevel="3" x14ac:dyDescent="0.35">
      <c r="A359" s="45"/>
      <c r="B359" s="54"/>
      <c r="C359" s="87">
        <f t="shared" si="53"/>
        <v>4</v>
      </c>
      <c r="D359" s="73"/>
      <c r="E359" s="70"/>
      <c r="F359" s="70"/>
      <c r="G359" s="73"/>
      <c r="H359" s="109" t="s">
        <v>406</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hidden="1" outlineLevel="3" x14ac:dyDescent="0.35">
      <c r="A360" s="45"/>
      <c r="B360" s="54"/>
      <c r="C360" s="87">
        <f t="shared" si="53"/>
        <v>4</v>
      </c>
      <c r="D360" s="73"/>
      <c r="E360" s="70"/>
      <c r="F360" s="70"/>
      <c r="G360" s="73"/>
      <c r="H360" s="225" t="s">
        <v>407</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hidden="1"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144</v>
      </c>
      <c r="AO361" s="57"/>
      <c r="AP361" s="45"/>
      <c r="AQ361" s="45"/>
      <c r="AR361" s="45"/>
      <c r="AS361" s="457"/>
      <c r="AT361" s="457"/>
    </row>
    <row r="362" spans="1:46" ht="5.15" hidden="1"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153</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93</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132</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134</v>
      </c>
      <c r="F371" s="65">
        <v>1</v>
      </c>
      <c r="G371" s="66"/>
      <c r="H371" s="67" t="s">
        <v>408</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2183</v>
      </c>
      <c r="K374" s="235"/>
      <c r="L374" s="235"/>
      <c r="M374" s="72" t="s">
        <v>409</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410</v>
      </c>
      <c r="K375" s="236" t="s">
        <v>411</v>
      </c>
      <c r="L375" s="236" t="s">
        <v>412</v>
      </c>
      <c r="M375" s="72" t="s">
        <v>413</v>
      </c>
      <c r="N375" s="281" t="s">
        <v>301</v>
      </c>
      <c r="O375" s="282"/>
      <c r="P375" s="281" t="s">
        <v>302</v>
      </c>
      <c r="Q375" s="282"/>
      <c r="R375" s="281" t="s">
        <v>414</v>
      </c>
      <c r="S375" s="282"/>
      <c r="T375" s="281" t="s">
        <v>303</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2182</v>
      </c>
      <c r="I376" s="72"/>
      <c r="J376" s="72">
        <v>0</v>
      </c>
      <c r="K376" s="72">
        <v>1</v>
      </c>
      <c r="L376" s="72">
        <v>2</v>
      </c>
      <c r="M376" s="72" t="s">
        <v>415</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137</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138</v>
      </c>
      <c r="C379" s="87">
        <f>INT(MAX($C$381:$C$404))+1</f>
        <v>5</v>
      </c>
      <c r="D379" s="73" t="s">
        <v>139</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416</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140</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417</v>
      </c>
      <c r="I382" s="97" t="b">
        <v>0</v>
      </c>
      <c r="J382" s="76"/>
      <c r="K382" s="76"/>
      <c r="L382" s="76"/>
      <c r="M382" s="76"/>
      <c r="N382" s="237" t="s">
        <v>2716</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136</v>
      </c>
      <c r="J383" s="237" t="s">
        <v>418</v>
      </c>
      <c r="K383" s="95"/>
      <c r="L383" s="95"/>
      <c r="M383" s="96" t="s">
        <v>2858</v>
      </c>
      <c r="N383" s="96" t="s">
        <v>419</v>
      </c>
      <c r="O383" s="239" t="s">
        <v>420</v>
      </c>
      <c r="P383" s="96" t="s">
        <v>419</v>
      </c>
      <c r="Q383" s="239" t="s">
        <v>420</v>
      </c>
      <c r="R383" s="96" t="s">
        <v>419</v>
      </c>
      <c r="S383" s="239" t="s">
        <v>420</v>
      </c>
      <c r="T383" s="96" t="s">
        <v>419</v>
      </c>
      <c r="U383" s="239" t="s">
        <v>420</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421</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422</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54">INT($C$370)+3</f>
        <v>4</v>
      </c>
      <c r="D386" s="73"/>
      <c r="E386" s="70"/>
      <c r="F386" s="70"/>
      <c r="G386" s="73"/>
      <c r="H386" s="291" t="s">
        <v>423</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54"/>
        <v>4</v>
      </c>
      <c r="D387" s="73"/>
      <c r="E387" s="70"/>
      <c r="F387" s="70"/>
      <c r="G387" s="73"/>
      <c r="H387" s="291" t="s">
        <v>2298</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54"/>
        <v>4</v>
      </c>
      <c r="D388" s="73"/>
      <c r="E388" s="70"/>
      <c r="F388" s="70"/>
      <c r="G388" s="73"/>
      <c r="H388" s="291" t="s">
        <v>424</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54"/>
        <v>4</v>
      </c>
      <c r="D389" s="73"/>
      <c r="E389" s="70"/>
      <c r="F389" s="70"/>
      <c r="G389" s="73"/>
      <c r="H389" s="291" t="s">
        <v>425</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54"/>
        <v>4</v>
      </c>
      <c r="D390" s="73"/>
      <c r="E390" s="70"/>
      <c r="F390" s="70"/>
      <c r="G390" s="73"/>
      <c r="H390" s="291" t="s">
        <v>426</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54"/>
        <v>4</v>
      </c>
      <c r="D391" s="73"/>
      <c r="E391" s="70"/>
      <c r="F391" s="70"/>
      <c r="G391" s="73"/>
      <c r="H391" s="291" t="s">
        <v>3251</v>
      </c>
      <c r="I391" s="96">
        <v>7</v>
      </c>
      <c r="J391" s="79" t="b">
        <v>1</v>
      </c>
      <c r="K391" s="79" t="b">
        <v>1</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54"/>
        <v>4</v>
      </c>
      <c r="D392" s="73"/>
      <c r="E392" s="70"/>
      <c r="F392" s="70"/>
      <c r="G392" s="73"/>
      <c r="H392" s="291"/>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54"/>
        <v>4</v>
      </c>
      <c r="D393" s="73"/>
      <c r="E393" s="70"/>
      <c r="F393" s="70"/>
      <c r="G393" s="73"/>
      <c r="H393" s="291" t="s">
        <v>427</v>
      </c>
      <c r="I393" s="96">
        <v>9</v>
      </c>
      <c r="J393" s="79" t="b">
        <v>1</v>
      </c>
      <c r="K393" s="79" t="b">
        <v>0</v>
      </c>
      <c r="L393" s="79" t="b">
        <v>1</v>
      </c>
      <c r="M393" s="79">
        <v>3</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54"/>
        <v>4</v>
      </c>
      <c r="D394" s="73"/>
      <c r="E394" s="70"/>
      <c r="F394" s="70"/>
      <c r="G394" s="73"/>
      <c r="H394" s="291" t="s">
        <v>428</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54"/>
        <v>4</v>
      </c>
      <c r="D395" s="73"/>
      <c r="E395" s="70"/>
      <c r="F395" s="70"/>
      <c r="G395" s="73"/>
      <c r="H395" s="291" t="s">
        <v>429</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54"/>
        <v>4</v>
      </c>
      <c r="D396" s="73"/>
      <c r="E396" s="70"/>
      <c r="F396" s="70"/>
      <c r="G396" s="73"/>
      <c r="H396" s="291" t="s">
        <v>430</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54"/>
        <v>4</v>
      </c>
      <c r="D397" s="73"/>
      <c r="E397" s="70"/>
      <c r="F397" s="70"/>
      <c r="G397" s="73"/>
      <c r="H397" s="291" t="s">
        <v>2922</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54"/>
        <v>4</v>
      </c>
      <c r="D398" s="73"/>
      <c r="E398" s="70"/>
      <c r="F398" s="70"/>
      <c r="G398" s="73"/>
      <c r="H398" s="291" t="s">
        <v>2185</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54"/>
        <v>4</v>
      </c>
      <c r="D399" s="73"/>
      <c r="E399" s="70"/>
      <c r="F399" s="70"/>
      <c r="G399" s="73"/>
      <c r="H399" s="291" t="s">
        <v>2259</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54"/>
        <v>4</v>
      </c>
      <c r="D400" s="73"/>
      <c r="E400" s="70"/>
      <c r="F400" s="70"/>
      <c r="G400" s="73"/>
      <c r="H400" s="291" t="s">
        <v>2299</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54"/>
        <v>4</v>
      </c>
      <c r="D401" s="73"/>
      <c r="E401" s="70"/>
      <c r="F401" s="70"/>
      <c r="G401" s="73"/>
      <c r="H401" s="291" t="s">
        <v>2857</v>
      </c>
      <c r="I401" s="96">
        <v>17</v>
      </c>
      <c r="J401" s="79" t="b">
        <v>1</v>
      </c>
      <c r="K401" s="79" t="b">
        <v>0</v>
      </c>
      <c r="L401" s="79" t="b">
        <v>1</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54"/>
        <v>4</v>
      </c>
      <c r="D402" s="73"/>
      <c r="E402" s="70"/>
      <c r="F402" s="70"/>
      <c r="G402" s="73"/>
      <c r="H402" s="291" t="s">
        <v>3246</v>
      </c>
      <c r="I402" s="96">
        <v>18</v>
      </c>
      <c r="J402" s="79" t="b">
        <v>1</v>
      </c>
      <c r="K402" s="79" t="b">
        <v>0</v>
      </c>
      <c r="L402" s="79" t="b">
        <v>1</v>
      </c>
      <c r="M402" s="79">
        <v>3</v>
      </c>
      <c r="N402" s="311">
        <v>0</v>
      </c>
      <c r="O402" s="311">
        <v>0</v>
      </c>
      <c r="P402" s="99">
        <v>0</v>
      </c>
      <c r="Q402" s="99">
        <v>0</v>
      </c>
      <c r="R402" s="311">
        <v>0</v>
      </c>
      <c r="S402" s="311">
        <v>0</v>
      </c>
      <c r="T402" s="311">
        <v>0</v>
      </c>
      <c r="U402" s="311">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54"/>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54"/>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153</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30"/>
  <sheetViews>
    <sheetView topLeftCell="A3" zoomScale="80" zoomScaleNormal="80" workbookViewId="0">
      <pane xSplit="9" ySplit="36" topLeftCell="J217" activePane="bottomRight" state="frozen"/>
      <selection activeCell="A3" sqref="A3"/>
      <selection pane="topRight" activeCell="J3" sqref="J3"/>
      <selection pane="bottomLeft" activeCell="A39" sqref="A39"/>
      <selection pane="bottomRight" activeCell="K230" sqref="K230"/>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collapsed="1"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132</v>
      </c>
      <c r="F6" s="60">
        <v>2</v>
      </c>
      <c r="G6" s="61"/>
      <c r="H6" s="62" t="s">
        <v>432</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collapsed="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138</v>
      </c>
      <c r="C9" s="47">
        <f>INT($C$6)+1.005</f>
        <v>2.0049999999999999</v>
      </c>
      <c r="D9" s="73" t="s">
        <v>140</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142</v>
      </c>
      <c r="I11" s="310">
        <v>45440.684739120399</v>
      </c>
      <c r="J11" s="618" t="s">
        <v>3260</v>
      </c>
      <c r="K11" s="619"/>
      <c r="L11" s="619"/>
      <c r="M11" s="619"/>
      <c r="N11" s="619"/>
      <c r="O11" s="619"/>
      <c r="P11" s="619"/>
      <c r="Q11" s="619"/>
      <c r="R11" s="619"/>
      <c r="S11" s="619"/>
      <c r="T11" s="619"/>
      <c r="U11" s="619"/>
      <c r="V11" s="619"/>
      <c r="W11" s="619"/>
      <c r="X11" s="619"/>
      <c r="Y11" s="619"/>
      <c r="Z11" s="386"/>
      <c r="AA11" s="386"/>
      <c r="AB11" s="387"/>
      <c r="AC11" s="323"/>
      <c r="AD11" s="76"/>
      <c r="AE11" s="76"/>
      <c r="AF11" s="76"/>
      <c r="AG11" s="76"/>
      <c r="AH11" s="73"/>
      <c r="AI11" s="57"/>
      <c r="AJ11" s="45"/>
      <c r="AK11" s="45"/>
      <c r="AL11" s="45"/>
    </row>
    <row r="12" spans="1:38" ht="45" customHeight="1" outlineLevel="1" collapsed="1" x14ac:dyDescent="0.35">
      <c r="A12" s="45"/>
      <c r="B12" s="54"/>
      <c r="C12" s="47">
        <f>INT($C$6)+1.045</f>
        <v>2.0449999999999999</v>
      </c>
      <c r="D12" s="73"/>
      <c r="E12" s="70"/>
      <c r="F12" s="70"/>
      <c r="G12" s="73"/>
      <c r="H12" s="76" t="s">
        <v>143</v>
      </c>
      <c r="I12" s="278">
        <v>45429.319456944402</v>
      </c>
      <c r="J12" s="620" t="s">
        <v>3253</v>
      </c>
      <c r="K12" s="621"/>
      <c r="L12" s="621"/>
      <c r="M12" s="621"/>
      <c r="N12" s="621"/>
      <c r="O12" s="621"/>
      <c r="P12" s="621"/>
      <c r="Q12" s="621"/>
      <c r="R12" s="621"/>
      <c r="S12" s="621"/>
      <c r="T12" s="621"/>
      <c r="U12" s="621"/>
      <c r="V12" s="621"/>
      <c r="W12" s="621"/>
      <c r="X12" s="621"/>
      <c r="Y12" s="621"/>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INT(MAX($C$39:$C$1519))+1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132</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collapsed="1" x14ac:dyDescent="0.35">
      <c r="A30" s="45"/>
      <c r="B30" s="54"/>
      <c r="C30" s="47">
        <f>INT($C$29)+1.02</f>
        <v>2.02</v>
      </c>
      <c r="D30" s="58"/>
      <c r="E30" s="59" t="s">
        <v>134</v>
      </c>
      <c r="F30" s="65">
        <v>1</v>
      </c>
      <c r="G30" s="66"/>
      <c r="H30" s="243" t="s">
        <v>2993</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hidden="1"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433</v>
      </c>
      <c r="L33" s="246"/>
      <c r="M33" s="246"/>
      <c r="N33" s="246"/>
      <c r="O33" s="246"/>
      <c r="P33" s="246"/>
      <c r="Q33" s="72"/>
      <c r="R33" s="72"/>
      <c r="S33" s="72"/>
      <c r="T33" s="72"/>
      <c r="U33" s="247" t="s">
        <v>434</v>
      </c>
      <c r="V33" s="246"/>
      <c r="W33" s="246"/>
      <c r="X33" s="246"/>
      <c r="Y33" s="246"/>
      <c r="Z33" s="246"/>
      <c r="AA33" s="246"/>
      <c r="AB33" s="246"/>
      <c r="AC33" s="246"/>
      <c r="AD33" s="248"/>
      <c r="AE33" s="72"/>
      <c r="AF33" s="247" t="s">
        <v>435</v>
      </c>
      <c r="AG33" s="249"/>
      <c r="AH33" s="55"/>
      <c r="AI33" s="57"/>
      <c r="AJ33" s="45"/>
      <c r="AK33" s="45"/>
      <c r="AL33" s="45"/>
    </row>
    <row r="34" spans="1:38" ht="28" outlineLevel="1" x14ac:dyDescent="0.35">
      <c r="A34" s="45"/>
      <c r="B34" s="54"/>
      <c r="C34" s="47">
        <f>INT($C$29)+2</f>
        <v>3</v>
      </c>
      <c r="D34" s="55"/>
      <c r="E34" s="70"/>
      <c r="F34" s="70"/>
      <c r="G34" s="55"/>
      <c r="H34" s="72"/>
      <c r="I34" s="72"/>
      <c r="J34" s="72"/>
      <c r="K34" s="246" t="s">
        <v>436</v>
      </c>
      <c r="L34" s="246"/>
      <c r="M34" s="246" t="s">
        <v>437</v>
      </c>
      <c r="N34" s="246"/>
      <c r="O34" s="246"/>
      <c r="P34" s="246"/>
      <c r="Q34" s="72"/>
      <c r="R34" s="72"/>
      <c r="S34" s="72"/>
      <c r="T34" s="72"/>
      <c r="U34" s="247" t="s">
        <v>438</v>
      </c>
      <c r="V34" s="246"/>
      <c r="W34" s="246"/>
      <c r="X34" s="246"/>
      <c r="Y34" s="246" t="s">
        <v>439</v>
      </c>
      <c r="Z34" s="246"/>
      <c r="AA34" s="72" t="s">
        <v>440</v>
      </c>
      <c r="AB34" s="72" t="s">
        <v>441</v>
      </c>
      <c r="AC34" s="72"/>
      <c r="AD34" s="72"/>
      <c r="AE34" s="72"/>
      <c r="AF34" s="247" t="s">
        <v>442</v>
      </c>
      <c r="AG34" s="249"/>
      <c r="AH34" s="55"/>
      <c r="AI34" s="57"/>
      <c r="AJ34" s="45"/>
      <c r="AK34" s="45"/>
      <c r="AL34" s="45"/>
    </row>
    <row r="35" spans="1:38" ht="15" customHeight="1" outlineLevel="1" x14ac:dyDescent="0.35">
      <c r="A35" s="45"/>
      <c r="B35" s="54"/>
      <c r="C35" s="47">
        <f>INT($C$29)+2</f>
        <v>3</v>
      </c>
      <c r="D35" s="55"/>
      <c r="E35" s="70"/>
      <c r="F35" s="70" t="s">
        <v>443</v>
      </c>
      <c r="G35" s="55"/>
      <c r="H35" s="72" t="s">
        <v>444</v>
      </c>
      <c r="I35" s="72" t="s">
        <v>445</v>
      </c>
      <c r="J35" s="72"/>
      <c r="K35" s="72" t="s">
        <v>446</v>
      </c>
      <c r="L35" s="72" t="s">
        <v>447</v>
      </c>
      <c r="M35" s="72" t="s">
        <v>448</v>
      </c>
      <c r="N35" s="72" t="s">
        <v>449</v>
      </c>
      <c r="O35" s="250" t="s">
        <v>450</v>
      </c>
      <c r="P35" s="72" t="s">
        <v>451</v>
      </c>
      <c r="Q35" s="72"/>
      <c r="R35" s="72" t="s">
        <v>452</v>
      </c>
      <c r="S35" s="72" t="s">
        <v>453</v>
      </c>
      <c r="T35" s="72"/>
      <c r="U35" s="251" t="s">
        <v>454</v>
      </c>
      <c r="V35" s="72" t="s">
        <v>455</v>
      </c>
      <c r="W35" s="72" t="s">
        <v>2246</v>
      </c>
      <c r="X35" s="72" t="s">
        <v>456</v>
      </c>
      <c r="Y35" s="72" t="s">
        <v>457</v>
      </c>
      <c r="Z35" s="72" t="s">
        <v>458</v>
      </c>
      <c r="AA35" s="72" t="s">
        <v>459</v>
      </c>
      <c r="AB35" s="72" t="s">
        <v>460</v>
      </c>
      <c r="AC35" s="72"/>
      <c r="AD35" s="72" t="s">
        <v>461</v>
      </c>
      <c r="AE35" s="72"/>
      <c r="AF35" s="247" t="s">
        <v>462</v>
      </c>
      <c r="AG35" s="249"/>
      <c r="AH35" s="55"/>
      <c r="AI35" s="57"/>
      <c r="AJ35" s="45"/>
      <c r="AK35" s="45"/>
      <c r="AL35" s="45"/>
    </row>
    <row r="36" spans="1:38" ht="11.5" customHeight="1" outlineLevel="1" collapsed="1" x14ac:dyDescent="0.35">
      <c r="A36" s="45"/>
      <c r="B36" s="54" t="s">
        <v>137</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463</v>
      </c>
      <c r="AG36" s="252" t="s">
        <v>464</v>
      </c>
      <c r="AH36" s="55"/>
      <c r="AI36" s="57"/>
      <c r="AJ36" s="45"/>
      <c r="AK36" s="45"/>
      <c r="AL36" s="45"/>
    </row>
    <row r="37" spans="1:38" hidden="1" outlineLevel="4" x14ac:dyDescent="0.35">
      <c r="A37" s="45"/>
      <c r="B37" s="54"/>
      <c r="C37" s="47">
        <f>INT(MAX($C$39:$C$1519))+1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138</v>
      </c>
      <c r="C38" s="47">
        <f>INT(MAX($C$39:$C$1519))+1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hidden="1" customHeight="1" outlineLevel="2" x14ac:dyDescent="0.3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465</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466</v>
      </c>
      <c r="AF41" s="76">
        <v>-2</v>
      </c>
      <c r="AG41" s="97"/>
      <c r="AH41" s="73"/>
      <c r="AI41" s="57"/>
      <c r="AJ41" s="45"/>
      <c r="AK41" s="45"/>
      <c r="AL41" s="45"/>
    </row>
    <row r="42" spans="1:38" outlineLevel="1" collapsed="1" x14ac:dyDescent="0.35">
      <c r="A42" s="45"/>
      <c r="B42" s="54"/>
      <c r="C42" s="47">
        <f t="shared" si="0"/>
        <v>3</v>
      </c>
      <c r="D42" s="73"/>
      <c r="E42" s="70"/>
      <c r="F42" s="70"/>
      <c r="G42" s="73"/>
      <c r="H42" s="253" t="s">
        <v>467</v>
      </c>
      <c r="I42" s="96"/>
      <c r="J42" s="96"/>
      <c r="K42" s="76"/>
      <c r="L42" s="76"/>
      <c r="M42" s="76"/>
      <c r="N42" s="76"/>
      <c r="O42" s="76"/>
      <c r="P42" s="76"/>
      <c r="Q42" s="76"/>
      <c r="R42" s="76"/>
      <c r="S42" s="76"/>
      <c r="T42" s="76"/>
      <c r="U42" s="254"/>
      <c r="V42" s="254"/>
      <c r="W42" s="254"/>
      <c r="X42" s="254"/>
      <c r="Y42" s="254"/>
      <c r="Z42" s="254"/>
      <c r="AA42" s="254"/>
      <c r="AB42" s="254"/>
      <c r="AC42" s="76"/>
      <c r="AD42" s="76"/>
      <c r="AE42" s="76" t="s">
        <v>468</v>
      </c>
      <c r="AF42" s="76">
        <f>1-SUM(AG42:AH42)</f>
        <v>1</v>
      </c>
      <c r="AG42" s="97">
        <v>0</v>
      </c>
      <c r="AH42" s="73"/>
      <c r="AI42" s="57"/>
      <c r="AJ42" s="45"/>
      <c r="AK42" s="45"/>
      <c r="AL42" s="45"/>
    </row>
    <row r="43" spans="1:38" hidden="1" outlineLevel="2" x14ac:dyDescent="0.35">
      <c r="A43" s="45"/>
      <c r="B43" s="54"/>
      <c r="C43" s="47">
        <f t="shared" si="0"/>
        <v>3</v>
      </c>
      <c r="D43" s="73"/>
      <c r="E43" s="70"/>
      <c r="F43" s="70"/>
      <c r="G43" s="73"/>
      <c r="H43" s="136" t="s">
        <v>469</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35">
      <c r="A44" s="45"/>
      <c r="B44" s="54"/>
      <c r="C44" s="47">
        <f t="shared" si="0"/>
        <v>3</v>
      </c>
      <c r="D44" s="73"/>
      <c r="E44" s="70"/>
      <c r="F44" s="70"/>
      <c r="G44" s="73"/>
      <c r="H44" s="136" t="s">
        <v>3013</v>
      </c>
      <c r="I44" s="96" t="s">
        <v>705</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35">
      <c r="A45" s="45"/>
      <c r="B45" s="54"/>
      <c r="C45" s="47">
        <f t="shared" si="0"/>
        <v>3</v>
      </c>
      <c r="D45" s="73"/>
      <c r="E45" s="70"/>
      <c r="F45" s="70"/>
      <c r="G45" s="73"/>
      <c r="H45" s="136" t="s">
        <v>2995</v>
      </c>
      <c r="I45" s="96" t="s">
        <v>705</v>
      </c>
      <c r="J45" s="96"/>
      <c r="K45" s="76"/>
      <c r="L45" s="76"/>
      <c r="M45" s="76"/>
      <c r="N45" s="76"/>
      <c r="O45" s="76"/>
      <c r="P45" s="76"/>
      <c r="Q45" s="76"/>
      <c r="R45" s="76"/>
      <c r="S45" s="76"/>
      <c r="T45" s="76"/>
      <c r="U45" s="500">
        <f t="shared" ref="U45:AB45" si="1">3.058*U44/(U$362*U$368)</f>
        <v>27.53301320528211</v>
      </c>
      <c r="V45" s="501">
        <f t="shared" si="1"/>
        <v>36.710684273709482</v>
      </c>
      <c r="W45" s="501">
        <f t="shared" si="1"/>
        <v>36.037655062024804</v>
      </c>
      <c r="X45" s="501">
        <f t="shared" si="1"/>
        <v>36.710684273709482</v>
      </c>
      <c r="Y45" s="501">
        <f t="shared" si="1"/>
        <v>44.052821128451377</v>
      </c>
      <c r="Z45" s="501">
        <f t="shared" si="1"/>
        <v>42.829131652661061</v>
      </c>
      <c r="AA45" s="501">
        <f t="shared" si="1"/>
        <v>42.829131652661061</v>
      </c>
      <c r="AB45" s="501">
        <f t="shared" si="1"/>
        <v>48.947579031612641</v>
      </c>
      <c r="AC45" s="76"/>
      <c r="AD45" s="97" t="s">
        <v>3012</v>
      </c>
      <c r="AE45" s="76"/>
      <c r="AF45" s="97">
        <v>1</v>
      </c>
      <c r="AG45" s="97">
        <v>1</v>
      </c>
      <c r="AH45" s="73"/>
      <c r="AI45" s="57"/>
      <c r="AJ45" s="45"/>
      <c r="AK45" s="45"/>
      <c r="AL45" s="45"/>
    </row>
    <row r="46" spans="1:38" hidden="1" outlineLevel="2" x14ac:dyDescent="0.35">
      <c r="A46" s="45"/>
      <c r="B46" s="54"/>
      <c r="C46" s="47">
        <f t="shared" ref="C46:C101" si="2">INT($C$29)+2</f>
        <v>3</v>
      </c>
      <c r="D46" s="73"/>
      <c r="E46" s="70"/>
      <c r="F46" s="70"/>
      <c r="G46" s="73"/>
      <c r="H46" s="136" t="s">
        <v>470</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35">
      <c r="A47" s="45"/>
      <c r="B47" s="54"/>
      <c r="C47" s="47">
        <f t="shared" si="2"/>
        <v>3</v>
      </c>
      <c r="D47" s="73"/>
      <c r="E47" s="70"/>
      <c r="F47" s="70"/>
      <c r="G47" s="73"/>
      <c r="H47" s="136" t="s">
        <v>471</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472</v>
      </c>
      <c r="AE47" s="76"/>
      <c r="AF47" s="97">
        <v>1</v>
      </c>
      <c r="AG47" s="97">
        <v>1</v>
      </c>
      <c r="AH47" s="73"/>
      <c r="AI47" s="57"/>
      <c r="AJ47" s="45"/>
      <c r="AK47" s="45"/>
      <c r="AL47" s="45"/>
    </row>
    <row r="48" spans="1:38" hidden="1" outlineLevel="2" x14ac:dyDescent="0.35">
      <c r="A48" s="45"/>
      <c r="B48" s="54"/>
      <c r="C48" s="47">
        <f t="shared" si="2"/>
        <v>3</v>
      </c>
      <c r="D48" s="73"/>
      <c r="E48" s="70"/>
      <c r="F48" s="70"/>
      <c r="G48" s="73"/>
      <c r="H48" s="136" t="s">
        <v>473</v>
      </c>
      <c r="I48" s="96" t="s">
        <v>474</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472</v>
      </c>
      <c r="AE48" s="76"/>
      <c r="AF48" s="97">
        <v>1</v>
      </c>
      <c r="AG48" s="97">
        <v>1</v>
      </c>
      <c r="AH48" s="73"/>
      <c r="AI48" s="57"/>
      <c r="AJ48" s="45"/>
      <c r="AK48" s="45"/>
      <c r="AL48" s="45"/>
    </row>
    <row r="49" spans="1:38" hidden="1" outlineLevel="2" x14ac:dyDescent="0.35">
      <c r="A49" s="45"/>
      <c r="B49" s="54"/>
      <c r="C49" s="47">
        <f t="shared" si="2"/>
        <v>3</v>
      </c>
      <c r="D49" s="73"/>
      <c r="E49" s="70"/>
      <c r="F49" s="70"/>
      <c r="G49" s="73"/>
      <c r="H49" s="136" t="s">
        <v>475</v>
      </c>
      <c r="I49" s="96" t="s">
        <v>474</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472</v>
      </c>
      <c r="AE49" s="76"/>
      <c r="AF49" s="97">
        <v>1</v>
      </c>
      <c r="AG49" s="97">
        <v>1</v>
      </c>
      <c r="AH49" s="73"/>
      <c r="AI49" s="57"/>
      <c r="AJ49" s="45"/>
      <c r="AK49" s="45"/>
      <c r="AL49" s="45"/>
    </row>
    <row r="50" spans="1:38" hidden="1" outlineLevel="2" x14ac:dyDescent="0.35">
      <c r="A50" s="45"/>
      <c r="B50" s="54"/>
      <c r="C50" s="47">
        <f t="shared" si="2"/>
        <v>3</v>
      </c>
      <c r="D50" s="73"/>
      <c r="E50" s="70"/>
      <c r="F50" s="70"/>
      <c r="G50" s="73"/>
      <c r="H50" s="136" t="s">
        <v>476</v>
      </c>
      <c r="I50" s="96" t="s">
        <v>477</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35">
      <c r="A51" s="45"/>
      <c r="B51" s="54"/>
      <c r="C51" s="47">
        <f t="shared" si="2"/>
        <v>3</v>
      </c>
      <c r="D51" s="73"/>
      <c r="E51" s="70"/>
      <c r="F51" s="70"/>
      <c r="G51" s="73"/>
      <c r="H51" s="136" t="s">
        <v>478</v>
      </c>
      <c r="I51" s="96" t="s">
        <v>1434</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35">
      <c r="A52" s="45"/>
      <c r="B52" s="54"/>
      <c r="C52" s="47">
        <f t="shared" si="2"/>
        <v>3</v>
      </c>
      <c r="D52" s="73"/>
      <c r="E52" s="70"/>
      <c r="F52" s="70"/>
      <c r="G52" s="73"/>
      <c r="H52" s="76" t="s">
        <v>3003</v>
      </c>
      <c r="I52" s="96" t="s">
        <v>97</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hidden="1" outlineLevel="2" x14ac:dyDescent="0.35">
      <c r="A53" s="45"/>
      <c r="B53" s="54"/>
      <c r="C53" s="47">
        <f t="shared" si="2"/>
        <v>3</v>
      </c>
      <c r="D53" s="73"/>
      <c r="E53" s="70"/>
      <c r="F53" s="70"/>
      <c r="G53" s="73"/>
      <c r="H53" s="76" t="s">
        <v>3004</v>
      </c>
      <c r="I53" s="96" t="s">
        <v>97</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hidden="1" outlineLevel="2" x14ac:dyDescent="0.35">
      <c r="A54" s="45"/>
      <c r="B54" s="54"/>
      <c r="C54" s="47">
        <f t="shared" si="2"/>
        <v>3</v>
      </c>
      <c r="D54" s="73"/>
      <c r="E54" s="70"/>
      <c r="F54" s="70"/>
      <c r="G54" s="73"/>
      <c r="H54" s="76" t="s">
        <v>3005</v>
      </c>
      <c r="I54" s="96" t="s">
        <v>97</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hidden="1" outlineLevel="2" x14ac:dyDescent="0.35">
      <c r="A55" s="45"/>
      <c r="B55" s="54"/>
      <c r="C55" s="47">
        <f t="shared" si="2"/>
        <v>3</v>
      </c>
      <c r="D55" s="73"/>
      <c r="E55" s="70"/>
      <c r="F55" s="70"/>
      <c r="G55" s="73"/>
      <c r="H55" s="76" t="s">
        <v>3006</v>
      </c>
      <c r="I55" s="96" t="s">
        <v>97</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hidden="1" outlineLevel="2" x14ac:dyDescent="0.35">
      <c r="A56" s="45"/>
      <c r="B56" s="54"/>
      <c r="C56" s="47">
        <f t="shared" si="2"/>
        <v>3</v>
      </c>
      <c r="D56" s="73"/>
      <c r="E56" s="70"/>
      <c r="F56" s="70"/>
      <c r="G56" s="73"/>
      <c r="H56" s="76" t="s">
        <v>3007</v>
      </c>
      <c r="I56" s="96" t="s">
        <v>97</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hidden="1" outlineLevel="2" x14ac:dyDescent="0.35">
      <c r="A57" s="45"/>
      <c r="B57" s="54"/>
      <c r="C57" s="47">
        <f t="shared" si="2"/>
        <v>3</v>
      </c>
      <c r="D57" s="73"/>
      <c r="E57" s="70"/>
      <c r="F57" s="70"/>
      <c r="G57" s="73"/>
      <c r="H57" s="76" t="s">
        <v>3008</v>
      </c>
      <c r="I57" s="96" t="s">
        <v>97</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hidden="1" outlineLevel="2" x14ac:dyDescent="0.35">
      <c r="A58" s="45"/>
      <c r="B58" s="54"/>
      <c r="C58" s="47">
        <f t="shared" si="2"/>
        <v>3</v>
      </c>
      <c r="D58" s="73"/>
      <c r="E58" s="70"/>
      <c r="F58" s="70"/>
      <c r="G58" s="73"/>
      <c r="H58" s="76" t="s">
        <v>2562</v>
      </c>
      <c r="I58" s="96" t="s">
        <v>97</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2321</v>
      </c>
      <c r="AE58" s="76"/>
      <c r="AF58" s="97">
        <v>1</v>
      </c>
      <c r="AG58" s="97">
        <v>1</v>
      </c>
      <c r="AH58" s="73"/>
      <c r="AI58" s="57"/>
      <c r="AJ58" s="45"/>
      <c r="AK58" s="45"/>
      <c r="AL58" s="45"/>
    </row>
    <row r="59" spans="1:38" hidden="1" outlineLevel="2" x14ac:dyDescent="0.35">
      <c r="A59" s="45"/>
      <c r="B59" s="54"/>
      <c r="C59" s="47">
        <f t="shared" si="2"/>
        <v>3</v>
      </c>
      <c r="D59" s="73"/>
      <c r="E59" s="70"/>
      <c r="F59" s="70"/>
      <c r="G59" s="73"/>
      <c r="H59" s="76" t="s">
        <v>2588</v>
      </c>
      <c r="I59" s="96" t="s">
        <v>97</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2589</v>
      </c>
      <c r="AE59" s="76"/>
      <c r="AF59" s="97">
        <v>1</v>
      </c>
      <c r="AG59" s="97">
        <v>1</v>
      </c>
      <c r="AH59" s="73"/>
      <c r="AI59" s="57"/>
      <c r="AJ59" s="45"/>
      <c r="AK59" s="45"/>
      <c r="AL59" s="45"/>
    </row>
    <row r="60" spans="1:38" hidden="1" outlineLevel="2" x14ac:dyDescent="0.35">
      <c r="A60" s="45"/>
      <c r="B60" s="54"/>
      <c r="C60" s="47">
        <f t="shared" si="2"/>
        <v>3</v>
      </c>
      <c r="D60" s="73"/>
      <c r="E60" s="70"/>
      <c r="F60" s="70"/>
      <c r="G60" s="73"/>
      <c r="H60" s="76" t="s">
        <v>2764</v>
      </c>
      <c r="I60" s="96" t="s">
        <v>2406</v>
      </c>
      <c r="J60" s="96"/>
      <c r="K60" s="76"/>
      <c r="L60" s="76"/>
      <c r="M60" s="76"/>
      <c r="N60" s="76"/>
      <c r="O60" s="76"/>
      <c r="P60" s="76"/>
      <c r="Q60" s="76"/>
      <c r="R60" s="76"/>
      <c r="S60" s="76"/>
      <c r="T60" s="76"/>
      <c r="U60" s="265">
        <v>40</v>
      </c>
      <c r="V60" s="265">
        <v>40</v>
      </c>
      <c r="W60" s="265">
        <v>40</v>
      </c>
      <c r="X60" s="384">
        <f>Y60</f>
        <v>40</v>
      </c>
      <c r="Y60" s="265">
        <v>40</v>
      </c>
      <c r="Z60" s="384">
        <f>Y60</f>
        <v>40</v>
      </c>
      <c r="AA60" s="384">
        <f>Z60</f>
        <v>40</v>
      </c>
      <c r="AB60" s="384">
        <f>AA60</f>
        <v>40</v>
      </c>
      <c r="AC60" s="76"/>
      <c r="AD60" s="97" t="s">
        <v>2559</v>
      </c>
      <c r="AE60" s="76"/>
      <c r="AF60" s="97">
        <v>1</v>
      </c>
      <c r="AG60" s="97">
        <v>1</v>
      </c>
      <c r="AH60" s="73"/>
      <c r="AI60" s="57"/>
      <c r="AJ60" s="45"/>
      <c r="AK60" s="45"/>
      <c r="AL60" s="45"/>
    </row>
    <row r="61" spans="1:38" hidden="1" outlineLevel="2" x14ac:dyDescent="0.35">
      <c r="A61" s="45"/>
      <c r="B61" s="54"/>
      <c r="C61" s="47">
        <f t="shared" si="2"/>
        <v>3</v>
      </c>
      <c r="D61" s="73"/>
      <c r="E61" s="70"/>
      <c r="F61" s="70"/>
      <c r="G61" s="73"/>
      <c r="H61" s="76" t="s">
        <v>479</v>
      </c>
      <c r="I61" s="96" t="s">
        <v>97</v>
      </c>
      <c r="J61" s="385" t="s">
        <v>2303</v>
      </c>
      <c r="K61" s="76"/>
      <c r="L61" s="76"/>
      <c r="M61" s="76"/>
      <c r="N61" s="76"/>
      <c r="O61" s="76"/>
      <c r="P61" s="76"/>
      <c r="Q61" s="76"/>
      <c r="R61" s="76"/>
      <c r="S61" s="76"/>
      <c r="T61" s="76"/>
      <c r="U61" s="123">
        <v>0.8</v>
      </c>
      <c r="V61" s="123">
        <v>0.88</v>
      </c>
      <c r="W61" s="123">
        <v>0.9</v>
      </c>
      <c r="X61" s="257">
        <f>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hidden="1" outlineLevel="2" x14ac:dyDescent="0.35">
      <c r="A62" s="45"/>
      <c r="B62" s="54"/>
      <c r="C62" s="47">
        <f t="shared" si="2"/>
        <v>3</v>
      </c>
      <c r="D62" s="73"/>
      <c r="E62" s="70"/>
      <c r="F62" s="70"/>
      <c r="G62" s="73"/>
      <c r="H62" s="76" t="s">
        <v>480</v>
      </c>
      <c r="I62" s="96" t="s">
        <v>97</v>
      </c>
      <c r="J62" s="96"/>
      <c r="K62" s="76"/>
      <c r="L62" s="76"/>
      <c r="M62" s="76"/>
      <c r="N62" s="76"/>
      <c r="O62" s="76"/>
      <c r="P62" s="76"/>
      <c r="Q62" s="76"/>
      <c r="R62" s="76"/>
      <c r="S62" s="76"/>
      <c r="T62" s="76"/>
      <c r="U62" s="123">
        <v>0.55000000000000004</v>
      </c>
      <c r="V62" s="123">
        <v>0.65</v>
      </c>
      <c r="W62" s="123">
        <v>0.65</v>
      </c>
      <c r="X62" s="257">
        <f>Y62</f>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hidden="1" outlineLevel="2" x14ac:dyDescent="0.35">
      <c r="A63" s="45"/>
      <c r="B63" s="54"/>
      <c r="C63" s="47">
        <f t="shared" si="2"/>
        <v>3</v>
      </c>
      <c r="D63" s="73"/>
      <c r="E63" s="70"/>
      <c r="F63" s="70"/>
      <c r="G63" s="73"/>
      <c r="H63" s="76" t="s">
        <v>481</v>
      </c>
      <c r="I63" s="96" t="s">
        <v>97</v>
      </c>
      <c r="J63" s="96"/>
      <c r="K63" s="76"/>
      <c r="L63" s="76"/>
      <c r="M63" s="76"/>
      <c r="N63" s="76"/>
      <c r="O63" s="76"/>
      <c r="P63" s="76"/>
      <c r="Q63" s="76"/>
      <c r="R63" s="76"/>
      <c r="S63" s="76"/>
      <c r="T63" s="76"/>
      <c r="U63" s="123">
        <v>0.4</v>
      </c>
      <c r="V63" s="123">
        <v>0.5</v>
      </c>
      <c r="W63" s="123">
        <v>0.5</v>
      </c>
      <c r="X63" s="257">
        <f>Y63</f>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hidden="1" outlineLevel="2" x14ac:dyDescent="0.35">
      <c r="A64" s="45"/>
      <c r="B64" s="54"/>
      <c r="C64" s="47">
        <f t="shared" si="2"/>
        <v>3</v>
      </c>
      <c r="D64" s="73"/>
      <c r="E64" s="70"/>
      <c r="F64" s="70"/>
      <c r="G64" s="73"/>
      <c r="H64" s="136" t="s">
        <v>2294</v>
      </c>
      <c r="I64" s="96" t="s">
        <v>97</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2763</v>
      </c>
      <c r="AE64" s="76"/>
      <c r="AF64" s="97">
        <v>1</v>
      </c>
      <c r="AG64" s="97">
        <v>1</v>
      </c>
      <c r="AH64" s="73"/>
      <c r="AI64" s="57"/>
      <c r="AJ64" s="45"/>
      <c r="AK64" s="45"/>
      <c r="AL64" s="45"/>
    </row>
    <row r="65" spans="1:38" hidden="1" outlineLevel="2" x14ac:dyDescent="0.35">
      <c r="A65" s="45"/>
      <c r="B65" s="54"/>
      <c r="C65" s="47">
        <f t="shared" si="2"/>
        <v>3</v>
      </c>
      <c r="D65" s="73"/>
      <c r="E65" s="70"/>
      <c r="F65" s="70"/>
      <c r="G65" s="73"/>
      <c r="H65" s="136" t="s">
        <v>2762</v>
      </c>
      <c r="I65" s="96" t="s">
        <v>97</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2763</v>
      </c>
      <c r="AE65" s="76"/>
      <c r="AF65" s="97">
        <v>1</v>
      </c>
      <c r="AG65" s="97">
        <v>1</v>
      </c>
      <c r="AH65" s="73"/>
      <c r="AI65" s="57"/>
      <c r="AJ65" s="45"/>
      <c r="AK65" s="45"/>
      <c r="AL65" s="45"/>
    </row>
    <row r="66" spans="1:38" hidden="1" outlineLevel="2" x14ac:dyDescent="0.35">
      <c r="A66" s="45"/>
      <c r="B66" s="54"/>
      <c r="C66" s="47">
        <f t="shared" si="2"/>
        <v>3</v>
      </c>
      <c r="D66" s="73"/>
      <c r="E66" s="70"/>
      <c r="F66" s="70"/>
      <c r="G66" s="73"/>
      <c r="H66" s="136" t="s">
        <v>2296</v>
      </c>
      <c r="I66" s="96" t="s">
        <v>97</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2763</v>
      </c>
      <c r="AE66" s="76"/>
      <c r="AF66" s="97">
        <v>1</v>
      </c>
      <c r="AG66" s="97">
        <v>1</v>
      </c>
      <c r="AH66" s="73"/>
      <c r="AI66" s="57"/>
      <c r="AJ66" s="45"/>
      <c r="AK66" s="45"/>
      <c r="AL66" s="45"/>
    </row>
    <row r="67" spans="1:38" hidden="1" outlineLevel="2" x14ac:dyDescent="0.35">
      <c r="A67" s="45"/>
      <c r="B67" s="54"/>
      <c r="C67" s="47">
        <f t="shared" si="2"/>
        <v>3</v>
      </c>
      <c r="D67" s="73"/>
      <c r="E67" s="70"/>
      <c r="F67" s="70"/>
      <c r="G67" s="73"/>
      <c r="H67" s="136" t="s">
        <v>2295</v>
      </c>
      <c r="I67" s="96" t="s">
        <v>2258</v>
      </c>
      <c r="J67" s="96"/>
      <c r="K67" s="76"/>
      <c r="L67" s="76"/>
      <c r="M67" s="76"/>
      <c r="N67" s="76"/>
      <c r="O67" s="76"/>
      <c r="P67" s="76"/>
      <c r="Q67" s="76"/>
      <c r="R67" s="76"/>
      <c r="S67" s="76"/>
      <c r="T67" s="76"/>
      <c r="U67" s="265">
        <f>0.15*U$66</f>
        <v>1.7999999999999999E-2</v>
      </c>
      <c r="V67" s="265">
        <f t="shared" ref="V67:AB67" si="6">0.15*V$66</f>
        <v>1.7999999999999999E-2</v>
      </c>
      <c r="W67" s="265">
        <f t="shared" si="6"/>
        <v>1.7999999999999999E-2</v>
      </c>
      <c r="X67" s="265">
        <f t="shared" si="6"/>
        <v>1.7999999999999999E-2</v>
      </c>
      <c r="Y67" s="265">
        <f t="shared" si="6"/>
        <v>1.7999999999999999E-2</v>
      </c>
      <c r="Z67" s="265">
        <f t="shared" si="6"/>
        <v>1.7999999999999999E-2</v>
      </c>
      <c r="AA67" s="265">
        <f t="shared" si="6"/>
        <v>1.7999999999999999E-2</v>
      </c>
      <c r="AB67" s="265">
        <f t="shared" si="6"/>
        <v>1.7999999999999999E-2</v>
      </c>
      <c r="AC67" s="76"/>
      <c r="AD67" s="97" t="s">
        <v>2782</v>
      </c>
      <c r="AE67" s="76"/>
      <c r="AF67" s="97">
        <v>1</v>
      </c>
      <c r="AG67" s="97">
        <v>1</v>
      </c>
      <c r="AH67" s="73"/>
      <c r="AI67" s="57"/>
      <c r="AJ67" s="45"/>
      <c r="AK67" s="45"/>
      <c r="AL67" s="45"/>
    </row>
    <row r="68" spans="1:38" hidden="1"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35">
      <c r="A69" s="45"/>
      <c r="B69" s="54"/>
      <c r="C69" s="47">
        <f t="shared" si="2"/>
        <v>3</v>
      </c>
      <c r="D69" s="73"/>
      <c r="E69" s="70"/>
      <c r="F69" s="70"/>
      <c r="G69" s="73"/>
      <c r="H69" s="76" t="s">
        <v>2244</v>
      </c>
      <c r="I69" s="96" t="s">
        <v>97</v>
      </c>
      <c r="J69" s="385" t="s">
        <v>2302</v>
      </c>
      <c r="K69" s="76"/>
      <c r="L69" s="76"/>
      <c r="M69" s="76"/>
      <c r="N69" s="76"/>
      <c r="O69" s="76"/>
      <c r="P69" s="76"/>
      <c r="Q69" s="76"/>
      <c r="R69" s="76"/>
      <c r="S69" s="76"/>
      <c r="T69" s="76"/>
      <c r="U69" s="123">
        <v>0</v>
      </c>
      <c r="V69" s="258">
        <f t="shared" ref="V69:AB76" si="7">U69</f>
        <v>0</v>
      </c>
      <c r="W69" s="258">
        <f t="shared" si="7"/>
        <v>0</v>
      </c>
      <c r="X69" s="257">
        <f t="shared" si="7"/>
        <v>0</v>
      </c>
      <c r="Y69" s="257">
        <f t="shared" si="7"/>
        <v>0</v>
      </c>
      <c r="Z69" s="257">
        <f t="shared" si="7"/>
        <v>0</v>
      </c>
      <c r="AA69" s="257">
        <f t="shared" si="7"/>
        <v>0</v>
      </c>
      <c r="AB69" s="257">
        <f t="shared" si="7"/>
        <v>0</v>
      </c>
      <c r="AC69" s="76"/>
      <c r="AD69" s="76"/>
      <c r="AE69" s="76"/>
      <c r="AF69" s="97">
        <v>1</v>
      </c>
      <c r="AG69" s="97">
        <v>1</v>
      </c>
      <c r="AH69" s="73"/>
      <c r="AI69" s="57"/>
      <c r="AJ69" s="45"/>
      <c r="AK69" s="45"/>
      <c r="AL69" s="45"/>
    </row>
    <row r="70" spans="1:38" hidden="1" outlineLevel="2" x14ac:dyDescent="0.35">
      <c r="A70" s="45"/>
      <c r="B70" s="54"/>
      <c r="C70" s="47">
        <f t="shared" si="2"/>
        <v>3</v>
      </c>
      <c r="D70" s="73"/>
      <c r="E70" s="70"/>
      <c r="F70" s="70">
        <v>0</v>
      </c>
      <c r="G70" s="73"/>
      <c r="H70" s="76" t="s">
        <v>2611</v>
      </c>
      <c r="I70" s="96" t="s">
        <v>97</v>
      </c>
      <c r="J70" s="96"/>
      <c r="K70" s="76"/>
      <c r="L70" s="76"/>
      <c r="M70" s="76"/>
      <c r="N70" s="76"/>
      <c r="O70" s="76"/>
      <c r="P70" s="76"/>
      <c r="Q70" s="76"/>
      <c r="R70" s="76"/>
      <c r="S70" s="76"/>
      <c r="T70" s="76"/>
      <c r="U70" s="259">
        <f>0.96^$F70*(1-0.96)/(1-0.96^$T$68)*($F70&lt;$T$68)*(1-$U$69)</f>
        <v>0.16093178091915078</v>
      </c>
      <c r="V70" s="258">
        <f t="shared" si="7"/>
        <v>0.16093178091915078</v>
      </c>
      <c r="W70" s="258">
        <f t="shared" si="7"/>
        <v>0.16093178091915078</v>
      </c>
      <c r="X70" s="257">
        <f t="shared" si="7"/>
        <v>0.16093178091915078</v>
      </c>
      <c r="Y70" s="257">
        <f t="shared" si="7"/>
        <v>0.16093178091915078</v>
      </c>
      <c r="Z70" s="257">
        <f t="shared" si="7"/>
        <v>0.16093178091915078</v>
      </c>
      <c r="AA70" s="257">
        <f t="shared" si="7"/>
        <v>0.16093178091915078</v>
      </c>
      <c r="AB70" s="257">
        <f t="shared" si="7"/>
        <v>0.16093178091915078</v>
      </c>
      <c r="AC70" s="76"/>
      <c r="AD70" s="76"/>
      <c r="AE70" s="76"/>
      <c r="AF70" s="97">
        <v>1</v>
      </c>
      <c r="AG70" s="97">
        <v>1</v>
      </c>
      <c r="AH70" s="73"/>
      <c r="AI70" s="57"/>
      <c r="AJ70" s="45"/>
      <c r="AK70" s="45"/>
      <c r="AL70" s="45"/>
    </row>
    <row r="71" spans="1:38" hidden="1" outlineLevel="2" x14ac:dyDescent="0.35">
      <c r="A71" s="45"/>
      <c r="B71" s="54"/>
      <c r="C71" s="47">
        <f t="shared" si="2"/>
        <v>3</v>
      </c>
      <c r="D71" s="73"/>
      <c r="E71" s="70"/>
      <c r="F71" s="70">
        <v>1</v>
      </c>
      <c r="G71" s="73"/>
      <c r="H71" s="76" t="s">
        <v>482</v>
      </c>
      <c r="I71" s="96" t="s">
        <v>97</v>
      </c>
      <c r="J71" s="96"/>
      <c r="K71" s="76"/>
      <c r="L71" s="76"/>
      <c r="M71" s="76"/>
      <c r="N71" s="76"/>
      <c r="O71" s="76"/>
      <c r="P71" s="76"/>
      <c r="Q71" s="76"/>
      <c r="R71" s="76"/>
      <c r="S71" s="76"/>
      <c r="T71" s="76"/>
      <c r="U71" s="259">
        <f t="shared" ref="U71:U76" si="8">0.96^$F71*(1-0.96)/(1-0.96^$T$68)*($F71&lt;$T$68)*(1-$U$69)</f>
        <v>0.15449450968238473</v>
      </c>
      <c r="V71" s="258">
        <f t="shared" si="7"/>
        <v>0.15449450968238473</v>
      </c>
      <c r="W71" s="258">
        <f t="shared" si="7"/>
        <v>0.15449450968238473</v>
      </c>
      <c r="X71" s="257">
        <f t="shared" si="7"/>
        <v>0.15449450968238473</v>
      </c>
      <c r="Y71" s="257">
        <f t="shared" si="7"/>
        <v>0.15449450968238473</v>
      </c>
      <c r="Z71" s="257">
        <f t="shared" si="7"/>
        <v>0.15449450968238473</v>
      </c>
      <c r="AA71" s="257">
        <f t="shared" si="7"/>
        <v>0.15449450968238473</v>
      </c>
      <c r="AB71" s="257">
        <f t="shared" si="7"/>
        <v>0.15449450968238473</v>
      </c>
      <c r="AC71" s="76"/>
      <c r="AD71" s="76"/>
      <c r="AE71" s="76"/>
      <c r="AF71" s="97">
        <v>1</v>
      </c>
      <c r="AG71" s="97">
        <v>1</v>
      </c>
      <c r="AH71" s="73"/>
      <c r="AI71" s="57"/>
      <c r="AJ71" s="45"/>
      <c r="AK71" s="45"/>
      <c r="AL71" s="45"/>
    </row>
    <row r="72" spans="1:38" hidden="1" outlineLevel="2" x14ac:dyDescent="0.35">
      <c r="A72" s="45"/>
      <c r="B72" s="54"/>
      <c r="C72" s="47">
        <f t="shared" si="2"/>
        <v>3</v>
      </c>
      <c r="D72" s="73"/>
      <c r="E72" s="70"/>
      <c r="F72" s="70">
        <v>2</v>
      </c>
      <c r="G72" s="73"/>
      <c r="H72" s="76" t="s">
        <v>483</v>
      </c>
      <c r="I72" s="96" t="s">
        <v>97</v>
      </c>
      <c r="J72" s="96"/>
      <c r="K72" s="76"/>
      <c r="L72" s="76"/>
      <c r="M72" s="76"/>
      <c r="N72" s="76"/>
      <c r="O72" s="76"/>
      <c r="P72" s="76"/>
      <c r="Q72" s="76"/>
      <c r="R72" s="76"/>
      <c r="S72" s="76"/>
      <c r="T72" s="76"/>
      <c r="U72" s="259">
        <f t="shared" si="8"/>
        <v>0.14831472929508935</v>
      </c>
      <c r="V72" s="258">
        <f t="shared" si="7"/>
        <v>0.14831472929508935</v>
      </c>
      <c r="W72" s="258">
        <f t="shared" si="7"/>
        <v>0.14831472929508935</v>
      </c>
      <c r="X72" s="257">
        <f t="shared" si="7"/>
        <v>0.14831472929508935</v>
      </c>
      <c r="Y72" s="257">
        <f t="shared" si="7"/>
        <v>0.14831472929508935</v>
      </c>
      <c r="Z72" s="257">
        <f t="shared" si="7"/>
        <v>0.14831472929508935</v>
      </c>
      <c r="AA72" s="257">
        <f t="shared" si="7"/>
        <v>0.14831472929508935</v>
      </c>
      <c r="AB72" s="257">
        <f t="shared" si="7"/>
        <v>0.14831472929508935</v>
      </c>
      <c r="AC72" s="76"/>
      <c r="AD72" s="76"/>
      <c r="AE72" s="76"/>
      <c r="AF72" s="97">
        <v>1</v>
      </c>
      <c r="AG72" s="97">
        <v>1</v>
      </c>
      <c r="AH72" s="73"/>
      <c r="AI72" s="57"/>
      <c r="AJ72" s="45"/>
      <c r="AK72" s="45"/>
      <c r="AL72" s="45"/>
    </row>
    <row r="73" spans="1:38" hidden="1" outlineLevel="2" x14ac:dyDescent="0.35">
      <c r="A73" s="45"/>
      <c r="B73" s="54"/>
      <c r="C73" s="47">
        <f t="shared" si="2"/>
        <v>3</v>
      </c>
      <c r="D73" s="73"/>
      <c r="E73" s="70"/>
      <c r="F73" s="70">
        <v>3</v>
      </c>
      <c r="G73" s="73"/>
      <c r="H73" s="76" t="s">
        <v>484</v>
      </c>
      <c r="I73" s="96" t="s">
        <v>97</v>
      </c>
      <c r="J73" s="96"/>
      <c r="K73" s="76"/>
      <c r="L73" s="76"/>
      <c r="M73" s="76"/>
      <c r="N73" s="76"/>
      <c r="O73" s="76"/>
      <c r="P73" s="76"/>
      <c r="Q73" s="76"/>
      <c r="R73" s="76"/>
      <c r="S73" s="76"/>
      <c r="T73" s="76"/>
      <c r="U73" s="259">
        <f t="shared" si="8"/>
        <v>0.14238214012328579</v>
      </c>
      <c r="V73" s="258">
        <f t="shared" si="7"/>
        <v>0.14238214012328579</v>
      </c>
      <c r="W73" s="258">
        <f t="shared" si="7"/>
        <v>0.14238214012328579</v>
      </c>
      <c r="X73" s="257">
        <f t="shared" si="7"/>
        <v>0.14238214012328579</v>
      </c>
      <c r="Y73" s="257">
        <f t="shared" si="7"/>
        <v>0.14238214012328579</v>
      </c>
      <c r="Z73" s="257">
        <f t="shared" si="7"/>
        <v>0.14238214012328579</v>
      </c>
      <c r="AA73" s="257">
        <f t="shared" si="7"/>
        <v>0.14238214012328579</v>
      </c>
      <c r="AB73" s="257">
        <f t="shared" si="7"/>
        <v>0.14238214012328579</v>
      </c>
      <c r="AC73" s="76"/>
      <c r="AD73" s="76"/>
      <c r="AE73" s="76"/>
      <c r="AF73" s="97">
        <v>1</v>
      </c>
      <c r="AG73" s="97">
        <v>1</v>
      </c>
      <c r="AH73" s="73"/>
      <c r="AI73" s="57"/>
      <c r="AJ73" s="45"/>
      <c r="AK73" s="45"/>
      <c r="AL73" s="45"/>
    </row>
    <row r="74" spans="1:38" hidden="1" outlineLevel="2" x14ac:dyDescent="0.35">
      <c r="A74" s="45"/>
      <c r="B74" s="54"/>
      <c r="C74" s="47">
        <f t="shared" si="2"/>
        <v>3</v>
      </c>
      <c r="D74" s="73"/>
      <c r="E74" s="70"/>
      <c r="F74" s="70">
        <v>4</v>
      </c>
      <c r="G74" s="73"/>
      <c r="H74" s="76" t="s">
        <v>485</v>
      </c>
      <c r="I74" s="96" t="s">
        <v>97</v>
      </c>
      <c r="J74" s="96"/>
      <c r="K74" s="76"/>
      <c r="L74" s="76"/>
      <c r="M74" s="76"/>
      <c r="N74" s="76"/>
      <c r="O74" s="76"/>
      <c r="P74" s="76"/>
      <c r="Q74" s="76"/>
      <c r="R74" s="76"/>
      <c r="S74" s="76"/>
      <c r="T74" s="76"/>
      <c r="U74" s="259">
        <f t="shared" si="8"/>
        <v>0.13668685451835433</v>
      </c>
      <c r="V74" s="258">
        <f t="shared" si="7"/>
        <v>0.13668685451835433</v>
      </c>
      <c r="W74" s="258">
        <f t="shared" si="7"/>
        <v>0.13668685451835433</v>
      </c>
      <c r="X74" s="257">
        <f t="shared" si="7"/>
        <v>0.13668685451835433</v>
      </c>
      <c r="Y74" s="257">
        <f t="shared" si="7"/>
        <v>0.13668685451835433</v>
      </c>
      <c r="Z74" s="257">
        <f t="shared" si="7"/>
        <v>0.13668685451835433</v>
      </c>
      <c r="AA74" s="257">
        <f t="shared" si="7"/>
        <v>0.13668685451835433</v>
      </c>
      <c r="AB74" s="257">
        <f t="shared" si="7"/>
        <v>0.13668685451835433</v>
      </c>
      <c r="AC74" s="76"/>
      <c r="AD74" s="76"/>
      <c r="AE74" s="76"/>
      <c r="AF74" s="97">
        <v>1</v>
      </c>
      <c r="AG74" s="97">
        <v>1</v>
      </c>
      <c r="AH74" s="73"/>
      <c r="AI74" s="57"/>
      <c r="AJ74" s="45"/>
      <c r="AK74" s="45"/>
      <c r="AL74" s="45"/>
    </row>
    <row r="75" spans="1:38" hidden="1" outlineLevel="2" x14ac:dyDescent="0.35">
      <c r="A75" s="45"/>
      <c r="B75" s="54"/>
      <c r="C75" s="47">
        <f t="shared" si="2"/>
        <v>3</v>
      </c>
      <c r="D75" s="73"/>
      <c r="E75" s="70"/>
      <c r="F75" s="70">
        <v>5</v>
      </c>
      <c r="G75" s="73"/>
      <c r="H75" s="76" t="s">
        <v>486</v>
      </c>
      <c r="I75" s="96" t="s">
        <v>97</v>
      </c>
      <c r="J75" s="96"/>
      <c r="K75" s="76"/>
      <c r="L75" s="76"/>
      <c r="M75" s="76"/>
      <c r="N75" s="76"/>
      <c r="O75" s="76"/>
      <c r="P75" s="76"/>
      <c r="Q75" s="76"/>
      <c r="R75" s="76"/>
      <c r="S75" s="76"/>
      <c r="T75" s="76"/>
      <c r="U75" s="259">
        <f t="shared" si="8"/>
        <v>0.13121938033762018</v>
      </c>
      <c r="V75" s="258">
        <f t="shared" si="7"/>
        <v>0.13121938033762018</v>
      </c>
      <c r="W75" s="258">
        <f t="shared" si="7"/>
        <v>0.13121938033762018</v>
      </c>
      <c r="X75" s="257">
        <f t="shared" si="7"/>
        <v>0.13121938033762018</v>
      </c>
      <c r="Y75" s="257">
        <f t="shared" si="7"/>
        <v>0.13121938033762018</v>
      </c>
      <c r="Z75" s="257">
        <f t="shared" si="7"/>
        <v>0.13121938033762018</v>
      </c>
      <c r="AA75" s="257">
        <f t="shared" si="7"/>
        <v>0.13121938033762018</v>
      </c>
      <c r="AB75" s="257">
        <f t="shared" si="7"/>
        <v>0.13121938033762018</v>
      </c>
      <c r="AC75" s="76"/>
      <c r="AD75" s="76"/>
      <c r="AE75" s="76"/>
      <c r="AF75" s="97">
        <v>1</v>
      </c>
      <c r="AG75" s="97">
        <v>1</v>
      </c>
      <c r="AH75" s="73"/>
      <c r="AI75" s="57"/>
      <c r="AJ75" s="45"/>
      <c r="AK75" s="45"/>
      <c r="AL75" s="45"/>
    </row>
    <row r="76" spans="1:38" hidden="1" outlineLevel="2" x14ac:dyDescent="0.35">
      <c r="A76" s="45"/>
      <c r="B76" s="54"/>
      <c r="C76" s="47">
        <f t="shared" si="2"/>
        <v>3</v>
      </c>
      <c r="D76" s="73"/>
      <c r="E76" s="70"/>
      <c r="F76" s="70">
        <v>6</v>
      </c>
      <c r="G76" s="73"/>
      <c r="H76" s="76" t="s">
        <v>487</v>
      </c>
      <c r="I76" s="96" t="s">
        <v>97</v>
      </c>
      <c r="J76" s="96"/>
      <c r="K76" s="76"/>
      <c r="L76" s="76"/>
      <c r="M76" s="76"/>
      <c r="N76" s="76"/>
      <c r="O76" s="76"/>
      <c r="P76" s="76"/>
      <c r="Q76" s="76"/>
      <c r="R76" s="76"/>
      <c r="S76" s="76"/>
      <c r="T76" s="76"/>
      <c r="U76" s="259">
        <f t="shared" si="8"/>
        <v>0.12597060512411537</v>
      </c>
      <c r="V76" s="258">
        <f t="shared" si="7"/>
        <v>0.12597060512411537</v>
      </c>
      <c r="W76" s="258">
        <f t="shared" si="7"/>
        <v>0.12597060512411537</v>
      </c>
      <c r="X76" s="257">
        <f t="shared" si="7"/>
        <v>0.12597060512411537</v>
      </c>
      <c r="Y76" s="257">
        <f t="shared" si="7"/>
        <v>0.12597060512411537</v>
      </c>
      <c r="Z76" s="257">
        <f t="shared" si="7"/>
        <v>0.12597060512411537</v>
      </c>
      <c r="AA76" s="257">
        <f t="shared" si="7"/>
        <v>0.12597060512411537</v>
      </c>
      <c r="AB76" s="257">
        <f t="shared" si="7"/>
        <v>0.12597060512411537</v>
      </c>
      <c r="AC76" s="76"/>
      <c r="AD76" s="76"/>
      <c r="AE76" s="76"/>
      <c r="AF76" s="97">
        <v>1</v>
      </c>
      <c r="AG76" s="97">
        <v>1</v>
      </c>
      <c r="AH76" s="73"/>
      <c r="AI76" s="57"/>
      <c r="AJ76" s="45"/>
      <c r="AK76" s="45"/>
      <c r="AL76" s="45"/>
    </row>
    <row r="77" spans="1:38" outlineLevel="1" collapsed="1" x14ac:dyDescent="0.35">
      <c r="A77" s="45"/>
      <c r="B77" s="54"/>
      <c r="C77" s="47">
        <f t="shared" si="2"/>
        <v>3</v>
      </c>
      <c r="D77" s="73"/>
      <c r="E77" s="70"/>
      <c r="F77" s="70"/>
      <c r="G77" s="73"/>
      <c r="H77" s="253" t="s">
        <v>2994</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35">
      <c r="A78" s="45"/>
      <c r="B78" s="54"/>
      <c r="C78" s="47">
        <f t="shared" si="2"/>
        <v>3</v>
      </c>
      <c r="D78" s="73"/>
      <c r="E78" s="70"/>
      <c r="F78" s="70"/>
      <c r="G78" s="73"/>
      <c r="H78" s="76" t="s">
        <v>488</v>
      </c>
      <c r="I78" s="96" t="s">
        <v>489</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35">
      <c r="A79" s="45"/>
      <c r="B79" s="54"/>
      <c r="C79" s="47">
        <f t="shared" si="2"/>
        <v>3</v>
      </c>
      <c r="D79" s="73"/>
      <c r="E79" s="70"/>
      <c r="F79" s="70"/>
      <c r="G79" s="73"/>
      <c r="H79" s="76" t="s">
        <v>490</v>
      </c>
      <c r="I79" s="96" t="s">
        <v>489</v>
      </c>
      <c r="J79" s="96"/>
      <c r="K79" s="76"/>
      <c r="L79" s="76"/>
      <c r="M79" s="76"/>
      <c r="N79" s="76"/>
      <c r="O79" s="76"/>
      <c r="P79" s="76"/>
      <c r="Q79" s="76"/>
      <c r="R79" s="76"/>
      <c r="S79" s="76"/>
      <c r="T79" s="76"/>
      <c r="U79" s="260">
        <f t="shared" ref="U79:AB80" si="9">U78</f>
        <v>13</v>
      </c>
      <c r="V79" s="260">
        <f t="shared" si="9"/>
        <v>13</v>
      </c>
      <c r="W79" s="260">
        <f t="shared" si="9"/>
        <v>13</v>
      </c>
      <c r="X79" s="260">
        <f t="shared" si="9"/>
        <v>13</v>
      </c>
      <c r="Y79" s="260">
        <f t="shared" si="9"/>
        <v>13</v>
      </c>
      <c r="Z79" s="260">
        <f t="shared" si="9"/>
        <v>13</v>
      </c>
      <c r="AA79" s="260">
        <f t="shared" si="9"/>
        <v>13</v>
      </c>
      <c r="AB79" s="260">
        <f t="shared" si="9"/>
        <v>13</v>
      </c>
      <c r="AC79" s="76"/>
      <c r="AD79" s="76"/>
      <c r="AE79" s="76"/>
      <c r="AF79" s="97">
        <v>1</v>
      </c>
      <c r="AG79" s="97">
        <v>1</v>
      </c>
      <c r="AH79" s="73"/>
      <c r="AI79" s="57"/>
      <c r="AJ79" s="45"/>
      <c r="AK79" s="45"/>
      <c r="AL79" s="45"/>
    </row>
    <row r="80" spans="1:38" hidden="1" outlineLevel="2" x14ac:dyDescent="0.35">
      <c r="A80" s="45"/>
      <c r="B80" s="54"/>
      <c r="C80" s="47">
        <f t="shared" si="2"/>
        <v>3</v>
      </c>
      <c r="D80" s="73"/>
      <c r="E80" s="70"/>
      <c r="F80" s="70"/>
      <c r="G80" s="73"/>
      <c r="H80" s="76" t="s">
        <v>491</v>
      </c>
      <c r="I80" s="96" t="s">
        <v>489</v>
      </c>
      <c r="J80" s="96"/>
      <c r="K80" s="76"/>
      <c r="L80" s="76"/>
      <c r="M80" s="76"/>
      <c r="N80" s="76"/>
      <c r="O80" s="76"/>
      <c r="P80" s="76"/>
      <c r="Q80" s="76"/>
      <c r="R80" s="76"/>
      <c r="S80" s="76"/>
      <c r="T80" s="76"/>
      <c r="U80" s="260">
        <f t="shared" si="9"/>
        <v>13</v>
      </c>
      <c r="V80" s="260">
        <f t="shared" si="9"/>
        <v>13</v>
      </c>
      <c r="W80" s="260">
        <f t="shared" si="9"/>
        <v>13</v>
      </c>
      <c r="X80" s="260">
        <f t="shared" si="9"/>
        <v>13</v>
      </c>
      <c r="Y80" s="260">
        <f t="shared" si="9"/>
        <v>13</v>
      </c>
      <c r="Z80" s="260">
        <f t="shared" si="9"/>
        <v>13</v>
      </c>
      <c r="AA80" s="260">
        <f t="shared" si="9"/>
        <v>13</v>
      </c>
      <c r="AB80" s="260">
        <f t="shared" si="9"/>
        <v>13</v>
      </c>
      <c r="AC80" s="76"/>
      <c r="AD80" s="76"/>
      <c r="AE80" s="76"/>
      <c r="AF80" s="97">
        <v>1</v>
      </c>
      <c r="AG80" s="97">
        <v>1</v>
      </c>
      <c r="AH80" s="73"/>
      <c r="AI80" s="57"/>
      <c r="AJ80" s="45"/>
      <c r="AK80" s="45"/>
      <c r="AL80" s="45"/>
    </row>
    <row r="81" spans="1:38" hidden="1" outlineLevel="2" x14ac:dyDescent="0.35">
      <c r="A81" s="45"/>
      <c r="B81" s="54"/>
      <c r="C81" s="47">
        <f t="shared" si="2"/>
        <v>3</v>
      </c>
      <c r="D81" s="73"/>
      <c r="E81" s="70"/>
      <c r="F81" s="70"/>
      <c r="G81" s="73"/>
      <c r="H81" s="76" t="s">
        <v>492</v>
      </c>
      <c r="I81" s="96" t="s">
        <v>489</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35">
      <c r="A82" s="45"/>
      <c r="B82" s="54"/>
      <c r="C82" s="47">
        <f t="shared" si="2"/>
        <v>3</v>
      </c>
      <c r="D82" s="73"/>
      <c r="E82" s="70"/>
      <c r="F82" s="70"/>
      <c r="G82" s="73"/>
      <c r="H82" s="76" t="s">
        <v>493</v>
      </c>
      <c r="I82" s="96" t="s">
        <v>489</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35">
      <c r="A83" s="45"/>
      <c r="B83" s="54"/>
      <c r="C83" s="47">
        <f t="shared" si="2"/>
        <v>3</v>
      </c>
      <c r="D83" s="73"/>
      <c r="E83" s="70"/>
      <c r="F83" s="70"/>
      <c r="G83" s="73"/>
      <c r="H83" s="76" t="s">
        <v>494</v>
      </c>
      <c r="I83" s="96" t="s">
        <v>489</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35">
      <c r="A84" s="45"/>
      <c r="B84" s="54"/>
      <c r="C84" s="47">
        <f t="shared" si="2"/>
        <v>3</v>
      </c>
      <c r="D84" s="73"/>
      <c r="E84" s="70"/>
      <c r="F84" s="70"/>
      <c r="G84" s="73"/>
      <c r="H84" s="76" t="s">
        <v>495</v>
      </c>
      <c r="I84" s="96" t="s">
        <v>489</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35">
      <c r="A85" s="45"/>
      <c r="B85" s="54"/>
      <c r="C85" s="47">
        <f t="shared" si="2"/>
        <v>3</v>
      </c>
      <c r="D85" s="73"/>
      <c r="E85" s="70"/>
      <c r="F85" s="70"/>
      <c r="G85" s="73"/>
      <c r="H85" s="76" t="s">
        <v>2315</v>
      </c>
      <c r="I85" s="96" t="s">
        <v>489</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35">
      <c r="A86" s="45"/>
      <c r="B86" s="54"/>
      <c r="C86" s="47">
        <f t="shared" si="2"/>
        <v>3</v>
      </c>
      <c r="D86" s="73"/>
      <c r="E86" s="70"/>
      <c r="F86" s="70"/>
      <c r="G86" s="73"/>
      <c r="H86" s="76" t="s">
        <v>2327</v>
      </c>
      <c r="I86" s="96" t="s">
        <v>489</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35">
      <c r="A87" s="45"/>
      <c r="B87" s="54"/>
      <c r="C87" s="47">
        <f t="shared" si="2"/>
        <v>3</v>
      </c>
      <c r="D87" s="73"/>
      <c r="E87" s="70"/>
      <c r="F87" s="70"/>
      <c r="G87" s="73"/>
      <c r="H87" s="76" t="s">
        <v>490</v>
      </c>
      <c r="I87" s="96" t="s">
        <v>489</v>
      </c>
      <c r="J87" s="96"/>
      <c r="K87" s="76"/>
      <c r="L87" s="76"/>
      <c r="M87" s="76"/>
      <c r="N87" s="76"/>
      <c r="O87" s="76"/>
      <c r="P87" s="76"/>
      <c r="Q87" s="76"/>
      <c r="R87" s="76"/>
      <c r="S87" s="76"/>
      <c r="T87" s="76"/>
      <c r="U87" s="260">
        <f t="shared" ref="U87:AB87" si="10">U86</f>
        <v>0</v>
      </c>
      <c r="V87" s="260">
        <f t="shared" si="10"/>
        <v>0</v>
      </c>
      <c r="W87" s="260">
        <f t="shared" si="10"/>
        <v>0</v>
      </c>
      <c r="X87" s="260">
        <f t="shared" si="10"/>
        <v>0</v>
      </c>
      <c r="Y87" s="260">
        <f t="shared" si="10"/>
        <v>0</v>
      </c>
      <c r="Z87" s="260">
        <f t="shared" si="10"/>
        <v>0</v>
      </c>
      <c r="AA87" s="260">
        <f t="shared" si="10"/>
        <v>0</v>
      </c>
      <c r="AB87" s="260">
        <f t="shared" si="10"/>
        <v>0</v>
      </c>
      <c r="AC87" s="76"/>
      <c r="AD87" s="76"/>
      <c r="AE87" s="76"/>
      <c r="AF87" s="97">
        <v>1</v>
      </c>
      <c r="AG87" s="97">
        <v>1</v>
      </c>
      <c r="AH87" s="73"/>
      <c r="AI87" s="57"/>
      <c r="AJ87" s="45"/>
      <c r="AK87" s="45"/>
      <c r="AL87" s="45"/>
    </row>
    <row r="88" spans="1:38" hidden="1" outlineLevel="2" x14ac:dyDescent="0.35">
      <c r="A88" s="45"/>
      <c r="B88" s="54"/>
      <c r="C88" s="47">
        <f t="shared" si="2"/>
        <v>3</v>
      </c>
      <c r="D88" s="73"/>
      <c r="E88" s="70"/>
      <c r="F88" s="70"/>
      <c r="G88" s="73"/>
      <c r="H88" s="76" t="s">
        <v>491</v>
      </c>
      <c r="I88" s="96" t="s">
        <v>489</v>
      </c>
      <c r="J88" s="96"/>
      <c r="K88" s="76"/>
      <c r="L88" s="76"/>
      <c r="M88" s="76"/>
      <c r="N88" s="76"/>
      <c r="O88" s="76"/>
      <c r="P88" s="76"/>
      <c r="Q88" s="76"/>
      <c r="R88" s="76"/>
      <c r="S88" s="76"/>
      <c r="T88" s="76"/>
      <c r="U88" s="260">
        <f t="shared" ref="U88:AB88" si="11">U87</f>
        <v>0</v>
      </c>
      <c r="V88" s="260">
        <f t="shared" si="11"/>
        <v>0</v>
      </c>
      <c r="W88" s="260">
        <f t="shared" si="11"/>
        <v>0</v>
      </c>
      <c r="X88" s="260">
        <f t="shared" si="11"/>
        <v>0</v>
      </c>
      <c r="Y88" s="260">
        <f t="shared" si="11"/>
        <v>0</v>
      </c>
      <c r="Z88" s="260">
        <f t="shared" si="11"/>
        <v>0</v>
      </c>
      <c r="AA88" s="260">
        <f t="shared" si="11"/>
        <v>0</v>
      </c>
      <c r="AB88" s="260">
        <f t="shared" si="11"/>
        <v>0</v>
      </c>
      <c r="AC88" s="76"/>
      <c r="AD88" s="76"/>
      <c r="AE88" s="76"/>
      <c r="AF88" s="97">
        <v>1</v>
      </c>
      <c r="AG88" s="97">
        <v>1</v>
      </c>
      <c r="AH88" s="73"/>
      <c r="AI88" s="57"/>
      <c r="AJ88" s="45"/>
      <c r="AK88" s="45"/>
      <c r="AL88" s="45"/>
    </row>
    <row r="89" spans="1:38" hidden="1" outlineLevel="2" x14ac:dyDescent="0.35">
      <c r="A89" s="45"/>
      <c r="B89" s="54"/>
      <c r="C89" s="47">
        <f t="shared" si="2"/>
        <v>3</v>
      </c>
      <c r="D89" s="73"/>
      <c r="E89" s="70"/>
      <c r="F89" s="70"/>
      <c r="G89" s="73"/>
      <c r="H89" s="76" t="s">
        <v>492</v>
      </c>
      <c r="I89" s="96" t="s">
        <v>489</v>
      </c>
      <c r="J89" s="96"/>
      <c r="K89" s="76"/>
      <c r="L89" s="76"/>
      <c r="M89" s="76"/>
      <c r="N89" s="76"/>
      <c r="O89" s="76"/>
      <c r="P89" s="76"/>
      <c r="Q89" s="76"/>
      <c r="R89" s="76"/>
      <c r="S89" s="76"/>
      <c r="T89" s="76"/>
      <c r="U89" s="260">
        <f>U78</f>
        <v>13</v>
      </c>
      <c r="V89" s="260">
        <f t="shared" ref="V89:AB89" si="12">V78</f>
        <v>13</v>
      </c>
      <c r="W89" s="260">
        <f t="shared" si="12"/>
        <v>13</v>
      </c>
      <c r="X89" s="260">
        <f t="shared" si="12"/>
        <v>13</v>
      </c>
      <c r="Y89" s="260">
        <f t="shared" si="12"/>
        <v>13</v>
      </c>
      <c r="Z89" s="260">
        <f t="shared" si="12"/>
        <v>13</v>
      </c>
      <c r="AA89" s="260">
        <f t="shared" si="12"/>
        <v>13</v>
      </c>
      <c r="AB89" s="260">
        <f t="shared" si="12"/>
        <v>13</v>
      </c>
      <c r="AC89" s="76"/>
      <c r="AD89" s="76"/>
      <c r="AE89" s="76"/>
      <c r="AF89" s="97">
        <v>1</v>
      </c>
      <c r="AG89" s="97">
        <v>1</v>
      </c>
      <c r="AH89" s="73"/>
      <c r="AI89" s="57"/>
      <c r="AJ89" s="45"/>
      <c r="AK89" s="45"/>
      <c r="AL89" s="45"/>
    </row>
    <row r="90" spans="1:38" hidden="1" outlineLevel="2" x14ac:dyDescent="0.35">
      <c r="A90" s="45"/>
      <c r="B90" s="54"/>
      <c r="C90" s="47">
        <f t="shared" si="2"/>
        <v>3</v>
      </c>
      <c r="D90" s="73"/>
      <c r="E90" s="70"/>
      <c r="F90" s="70"/>
      <c r="G90" s="73"/>
      <c r="H90" s="76" t="s">
        <v>493</v>
      </c>
      <c r="I90" s="96" t="s">
        <v>489</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35">
      <c r="A91" s="45"/>
      <c r="B91" s="54"/>
      <c r="C91" s="47">
        <f t="shared" si="2"/>
        <v>3</v>
      </c>
      <c r="D91" s="73"/>
      <c r="E91" s="70"/>
      <c r="F91" s="70"/>
      <c r="G91" s="73"/>
      <c r="H91" s="76" t="s">
        <v>494</v>
      </c>
      <c r="I91" s="96" t="s">
        <v>489</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35">
      <c r="A92" s="45"/>
      <c r="B92" s="54"/>
      <c r="C92" s="47">
        <f t="shared" si="2"/>
        <v>3</v>
      </c>
      <c r="D92" s="73"/>
      <c r="E92" s="70"/>
      <c r="F92" s="70"/>
      <c r="G92" s="73"/>
      <c r="H92" s="76" t="s">
        <v>495</v>
      </c>
      <c r="I92" s="96" t="s">
        <v>489</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35">
      <c r="A93" s="45"/>
      <c r="B93" s="54"/>
      <c r="C93" s="47">
        <f t="shared" si="2"/>
        <v>3</v>
      </c>
      <c r="D93" s="73"/>
      <c r="E93" s="70"/>
      <c r="F93" s="70"/>
      <c r="G93" s="73"/>
      <c r="H93" s="76" t="s">
        <v>2315</v>
      </c>
      <c r="I93" s="96" t="s">
        <v>489</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35">
      <c r="A94" s="45"/>
      <c r="B94" s="54"/>
      <c r="C94" s="47">
        <f t="shared" si="2"/>
        <v>3</v>
      </c>
      <c r="D94" s="73"/>
      <c r="E94" s="70"/>
      <c r="F94" s="70"/>
      <c r="G94" s="73"/>
      <c r="H94" s="76" t="s">
        <v>496</v>
      </c>
      <c r="I94" s="96" t="s">
        <v>97</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497</v>
      </c>
      <c r="AE94" s="76"/>
      <c r="AF94" s="97">
        <v>1</v>
      </c>
      <c r="AG94" s="97">
        <v>1</v>
      </c>
      <c r="AH94" s="73"/>
      <c r="AI94" s="57"/>
      <c r="AJ94" s="45"/>
      <c r="AK94" s="45"/>
      <c r="AL94" s="45"/>
    </row>
    <row r="95" spans="1:38" hidden="1"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35">
      <c r="A96" s="45"/>
      <c r="B96" s="54"/>
      <c r="C96" s="47">
        <f t="shared" si="2"/>
        <v>3</v>
      </c>
      <c r="D96" s="73"/>
      <c r="E96" s="70"/>
      <c r="F96" s="70"/>
      <c r="G96" s="73"/>
      <c r="H96" s="253" t="s">
        <v>498</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35">
      <c r="A97" s="45"/>
      <c r="B97" s="54"/>
      <c r="C97" s="47">
        <f t="shared" si="2"/>
        <v>3</v>
      </c>
      <c r="D97" s="73"/>
      <c r="E97" s="70"/>
      <c r="F97" s="70"/>
      <c r="G97" s="73"/>
      <c r="H97" s="136" t="s">
        <v>499</v>
      </c>
      <c r="I97" s="96" t="s">
        <v>2261</v>
      </c>
      <c r="J97" s="96"/>
      <c r="K97" s="76"/>
      <c r="L97" s="76"/>
      <c r="M97" s="76"/>
      <c r="N97" s="76"/>
      <c r="O97" s="76"/>
      <c r="P97" s="76"/>
      <c r="Q97" s="76"/>
      <c r="R97" s="76"/>
      <c r="S97" s="76"/>
      <c r="T97" s="76"/>
      <c r="U97" s="118">
        <v>0.45</v>
      </c>
      <c r="V97" s="118">
        <v>0.45</v>
      </c>
      <c r="W97" s="118">
        <v>0.45</v>
      </c>
      <c r="X97" s="313">
        <f t="shared" ref="X97:AB100" si="13">W97</f>
        <v>0.45</v>
      </c>
      <c r="Y97" s="313">
        <f t="shared" si="13"/>
        <v>0.45</v>
      </c>
      <c r="Z97" s="313">
        <f t="shared" si="13"/>
        <v>0.45</v>
      </c>
      <c r="AA97" s="313">
        <f t="shared" si="13"/>
        <v>0.45</v>
      </c>
      <c r="AB97" s="313">
        <f t="shared" si="13"/>
        <v>0.45</v>
      </c>
      <c r="AC97" s="76"/>
      <c r="AD97" s="76"/>
      <c r="AE97" s="76"/>
      <c r="AF97" s="97">
        <v>1</v>
      </c>
      <c r="AG97" s="97">
        <v>1</v>
      </c>
      <c r="AH97" s="73"/>
      <c r="AI97" s="57"/>
      <c r="AJ97" s="45"/>
      <c r="AK97" s="45"/>
      <c r="AL97" s="45"/>
    </row>
    <row r="98" spans="1:38" hidden="1" outlineLevel="2" x14ac:dyDescent="0.35">
      <c r="A98" s="45"/>
      <c r="B98" s="54"/>
      <c r="C98" s="47">
        <f t="shared" si="2"/>
        <v>3</v>
      </c>
      <c r="D98" s="73"/>
      <c r="E98" s="70"/>
      <c r="F98" s="70"/>
      <c r="G98" s="73"/>
      <c r="H98" s="136" t="s">
        <v>500</v>
      </c>
      <c r="I98" s="96" t="s">
        <v>2262</v>
      </c>
      <c r="J98" s="96"/>
      <c r="K98" s="76"/>
      <c r="L98" s="76"/>
      <c r="M98" s="76"/>
      <c r="N98" s="76"/>
      <c r="O98" s="76"/>
      <c r="P98" s="76"/>
      <c r="Q98" s="76"/>
      <c r="R98" s="76"/>
      <c r="S98" s="76"/>
      <c r="T98" s="76"/>
      <c r="U98" s="118">
        <v>0.15</v>
      </c>
      <c r="V98" s="118">
        <v>0.15</v>
      </c>
      <c r="W98" s="118">
        <v>0.15</v>
      </c>
      <c r="X98" s="313">
        <f t="shared" si="13"/>
        <v>0.15</v>
      </c>
      <c r="Y98" s="313">
        <f t="shared" si="13"/>
        <v>0.15</v>
      </c>
      <c r="Z98" s="313">
        <f t="shared" si="13"/>
        <v>0.15</v>
      </c>
      <c r="AA98" s="313">
        <f t="shared" si="13"/>
        <v>0.15</v>
      </c>
      <c r="AB98" s="313">
        <f t="shared" si="13"/>
        <v>0.15</v>
      </c>
      <c r="AC98" s="76"/>
      <c r="AD98" s="76"/>
      <c r="AE98" s="76"/>
      <c r="AF98" s="97">
        <v>1</v>
      </c>
      <c r="AG98" s="97">
        <v>1</v>
      </c>
      <c r="AH98" s="73"/>
      <c r="AI98" s="57"/>
      <c r="AJ98" s="45"/>
      <c r="AK98" s="45"/>
      <c r="AL98" s="45"/>
    </row>
    <row r="99" spans="1:38" hidden="1" outlineLevel="2" x14ac:dyDescent="0.35">
      <c r="A99" s="45"/>
      <c r="B99" s="54"/>
      <c r="C99" s="47">
        <f t="shared" si="2"/>
        <v>3</v>
      </c>
      <c r="D99" s="73"/>
      <c r="E99" s="70"/>
      <c r="F99" s="70"/>
      <c r="G99" s="73"/>
      <c r="H99" s="136" t="s">
        <v>501</v>
      </c>
      <c r="I99" s="96"/>
      <c r="J99" s="96"/>
      <c r="K99" s="76"/>
      <c r="L99" s="76"/>
      <c r="M99" s="76"/>
      <c r="N99" s="76"/>
      <c r="O99" s="76"/>
      <c r="P99" s="76"/>
      <c r="Q99" s="76"/>
      <c r="R99" s="76"/>
      <c r="S99" s="76"/>
      <c r="T99" s="76"/>
      <c r="U99" s="97">
        <v>17</v>
      </c>
      <c r="V99" s="97">
        <v>19</v>
      </c>
      <c r="W99" s="97">
        <v>19</v>
      </c>
      <c r="X99" s="262">
        <f t="shared" si="13"/>
        <v>19</v>
      </c>
      <c r="Y99" s="262">
        <f t="shared" si="13"/>
        <v>19</v>
      </c>
      <c r="Z99" s="262">
        <f t="shared" si="13"/>
        <v>19</v>
      </c>
      <c r="AA99" s="262">
        <f t="shared" si="13"/>
        <v>19</v>
      </c>
      <c r="AB99" s="262">
        <f t="shared" si="13"/>
        <v>19</v>
      </c>
      <c r="AC99" s="76"/>
      <c r="AD99" s="76"/>
      <c r="AE99" s="76"/>
      <c r="AF99" s="97">
        <v>1</v>
      </c>
      <c r="AG99" s="97">
        <v>1</v>
      </c>
      <c r="AH99" s="73"/>
      <c r="AI99" s="57"/>
      <c r="AJ99" s="45"/>
      <c r="AK99" s="45"/>
      <c r="AL99" s="45"/>
    </row>
    <row r="100" spans="1:38" hidden="1" outlineLevel="2" x14ac:dyDescent="0.35">
      <c r="A100" s="45"/>
      <c r="B100" s="54"/>
      <c r="C100" s="47">
        <f t="shared" si="2"/>
        <v>3</v>
      </c>
      <c r="D100" s="73"/>
      <c r="E100" s="70"/>
      <c r="F100" s="70"/>
      <c r="G100" s="73"/>
      <c r="H100" s="136" t="s">
        <v>502</v>
      </c>
      <c r="I100" s="96" t="s">
        <v>474</v>
      </c>
      <c r="J100" s="96"/>
      <c r="K100" s="76"/>
      <c r="L100" s="76"/>
      <c r="M100" s="76"/>
      <c r="N100" s="76"/>
      <c r="O100" s="76"/>
      <c r="P100" s="76"/>
      <c r="Q100" s="76"/>
      <c r="R100" s="76"/>
      <c r="S100" s="76"/>
      <c r="T100" s="76"/>
      <c r="U100" s="97">
        <v>2.5</v>
      </c>
      <c r="V100" s="97">
        <v>2.5</v>
      </c>
      <c r="W100" s="97">
        <v>2.5</v>
      </c>
      <c r="X100" s="262">
        <f t="shared" si="13"/>
        <v>2.5</v>
      </c>
      <c r="Y100" s="262">
        <f t="shared" si="13"/>
        <v>2.5</v>
      </c>
      <c r="Z100" s="262">
        <f t="shared" si="13"/>
        <v>2.5</v>
      </c>
      <c r="AA100" s="262">
        <f t="shared" si="13"/>
        <v>2.5</v>
      </c>
      <c r="AB100" s="262">
        <f t="shared" si="13"/>
        <v>2.5</v>
      </c>
      <c r="AC100" s="76"/>
      <c r="AD100" s="76"/>
      <c r="AE100" s="76"/>
      <c r="AF100" s="97">
        <v>1</v>
      </c>
      <c r="AG100" s="97">
        <v>1</v>
      </c>
      <c r="AH100" s="73"/>
      <c r="AI100" s="57"/>
      <c r="AJ100" s="45"/>
      <c r="AK100" s="45"/>
      <c r="AL100" s="45"/>
    </row>
    <row r="101" spans="1:38" hidden="1"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35">
      <c r="A102" s="45"/>
      <c r="B102" s="54"/>
      <c r="C102" s="47">
        <f>INT($C$29)+1</f>
        <v>2</v>
      </c>
      <c r="D102" s="73"/>
      <c r="E102" s="70"/>
      <c r="F102" s="263" t="s">
        <v>503</v>
      </c>
      <c r="G102" s="73"/>
      <c r="H102" s="253" t="s">
        <v>504</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505</v>
      </c>
      <c r="F103" s="70" t="s">
        <v>506</v>
      </c>
      <c r="G103" s="73"/>
      <c r="H103" s="76" t="s">
        <v>507</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35">
      <c r="A104" s="45"/>
      <c r="B104" s="54"/>
      <c r="C104" s="47">
        <f>INT($C$29)+2</f>
        <v>3</v>
      </c>
      <c r="D104" s="73"/>
      <c r="E104" s="70"/>
      <c r="F104" s="70" t="s">
        <v>508</v>
      </c>
      <c r="G104" s="73"/>
      <c r="H104" s="76" t="s">
        <v>509</v>
      </c>
      <c r="I104" s="96" t="s">
        <v>510</v>
      </c>
      <c r="J104" s="96"/>
      <c r="K104" s="97">
        <v>1.5699999999999999E-2</v>
      </c>
      <c r="L104" s="97">
        <v>1.5699999999999999E-2</v>
      </c>
      <c r="M104" s="97">
        <v>1.15E-2</v>
      </c>
      <c r="N104" s="97">
        <v>1.15E-2</v>
      </c>
      <c r="O104" s="97">
        <v>1.15E-2</v>
      </c>
      <c r="P104" s="97">
        <v>1.15E-2</v>
      </c>
      <c r="Q104" s="76"/>
      <c r="R104" s="76" t="s">
        <v>511</v>
      </c>
      <c r="S104" s="76" t="s">
        <v>511</v>
      </c>
      <c r="T104" s="76"/>
      <c r="U104" s="260">
        <f>INDEX($K104:$Q104,1,U$43)</f>
        <v>1.5699999999999999E-2</v>
      </c>
      <c r="V104" s="260">
        <f t="shared" ref="V104:AB107" si="14">INDEX($K104:$Q104,1,V$43)</f>
        <v>1.5699999999999999E-2</v>
      </c>
      <c r="W104" s="260">
        <f t="shared" si="14"/>
        <v>1.5699999999999999E-2</v>
      </c>
      <c r="X104" s="260">
        <f t="shared" si="14"/>
        <v>1.5699999999999999E-2</v>
      </c>
      <c r="Y104" s="260">
        <f t="shared" si="14"/>
        <v>1.5699999999999999E-2</v>
      </c>
      <c r="Z104" s="260">
        <f t="shared" si="14"/>
        <v>1.5699999999999999E-2</v>
      </c>
      <c r="AA104" s="260">
        <f t="shared" si="14"/>
        <v>1.5699999999999999E-2</v>
      </c>
      <c r="AB104" s="260">
        <f t="shared" si="14"/>
        <v>1.5699999999999999E-2</v>
      </c>
      <c r="AC104" s="76"/>
      <c r="AD104" s="76"/>
      <c r="AE104" s="76"/>
      <c r="AF104" s="97">
        <v>1</v>
      </c>
      <c r="AG104" s="97">
        <v>1</v>
      </c>
      <c r="AH104" s="73"/>
      <c r="AI104" s="57"/>
      <c r="AJ104" s="45"/>
      <c r="AK104" s="45"/>
      <c r="AL104" s="45"/>
    </row>
    <row r="105" spans="1:38" hidden="1" outlineLevel="2" x14ac:dyDescent="0.35">
      <c r="A105" s="45"/>
      <c r="B105" s="54"/>
      <c r="C105" s="47">
        <f>INT($C$29)+2</f>
        <v>3</v>
      </c>
      <c r="D105" s="73"/>
      <c r="E105" s="70"/>
      <c r="F105" s="70" t="s">
        <v>512</v>
      </c>
      <c r="G105" s="73"/>
      <c r="H105" s="76" t="s">
        <v>513</v>
      </c>
      <c r="I105" s="96" t="s">
        <v>514</v>
      </c>
      <c r="J105" s="96"/>
      <c r="K105" s="97">
        <v>0.27</v>
      </c>
      <c r="L105" s="97">
        <v>0.27</v>
      </c>
      <c r="M105" s="97">
        <v>0.27</v>
      </c>
      <c r="N105" s="97">
        <v>0.27</v>
      </c>
      <c r="O105" s="97">
        <v>0.27</v>
      </c>
      <c r="P105" s="97">
        <v>0.27</v>
      </c>
      <c r="Q105" s="76"/>
      <c r="R105" s="76" t="s">
        <v>515</v>
      </c>
      <c r="S105" s="76" t="s">
        <v>515</v>
      </c>
      <c r="T105" s="76"/>
      <c r="U105" s="260">
        <f>INDEX($K105:$Q105,1,U$43)</f>
        <v>0.27</v>
      </c>
      <c r="V105" s="260">
        <f t="shared" si="14"/>
        <v>0.27</v>
      </c>
      <c r="W105" s="260">
        <f t="shared" si="14"/>
        <v>0.27</v>
      </c>
      <c r="X105" s="260">
        <f t="shared" si="14"/>
        <v>0.27</v>
      </c>
      <c r="Y105" s="260">
        <f t="shared" si="14"/>
        <v>0.27</v>
      </c>
      <c r="Z105" s="260">
        <f t="shared" si="14"/>
        <v>0.27</v>
      </c>
      <c r="AA105" s="260">
        <f t="shared" si="14"/>
        <v>0.27</v>
      </c>
      <c r="AB105" s="260">
        <f t="shared" si="14"/>
        <v>0.27</v>
      </c>
      <c r="AC105" s="76"/>
      <c r="AD105" s="76"/>
      <c r="AE105" s="76"/>
      <c r="AF105" s="97">
        <v>1</v>
      </c>
      <c r="AG105" s="97">
        <v>1</v>
      </c>
      <c r="AH105" s="73"/>
      <c r="AI105" s="57"/>
      <c r="AJ105" s="45"/>
      <c r="AK105" s="45"/>
      <c r="AL105" s="45"/>
    </row>
    <row r="106" spans="1:38" hidden="1" outlineLevel="2" x14ac:dyDescent="0.35">
      <c r="A106" s="45"/>
      <c r="B106" s="54"/>
      <c r="C106" s="47">
        <f>INT($C$29)+2</f>
        <v>3</v>
      </c>
      <c r="D106" s="73"/>
      <c r="E106" s="70"/>
      <c r="F106" s="70" t="s">
        <v>516</v>
      </c>
      <c r="G106" s="73"/>
      <c r="H106" s="264" t="s">
        <v>517</v>
      </c>
      <c r="I106" s="96" t="s">
        <v>514</v>
      </c>
      <c r="J106" s="96"/>
      <c r="K106" s="97">
        <v>0.4</v>
      </c>
      <c r="L106" s="97">
        <v>0.4</v>
      </c>
      <c r="M106" s="97">
        <v>0.4</v>
      </c>
      <c r="N106" s="97">
        <v>0.4</v>
      </c>
      <c r="O106" s="97">
        <v>0.4</v>
      </c>
      <c r="P106" s="97">
        <v>0.4</v>
      </c>
      <c r="Q106" s="76"/>
      <c r="R106" s="76" t="s">
        <v>518</v>
      </c>
      <c r="S106" s="76" t="s">
        <v>518</v>
      </c>
      <c r="T106" s="76"/>
      <c r="U106" s="260">
        <f>INDEX($K106:$Q106,1,U$43)</f>
        <v>0.4</v>
      </c>
      <c r="V106" s="260">
        <f t="shared" si="14"/>
        <v>0.4</v>
      </c>
      <c r="W106" s="260">
        <f t="shared" si="14"/>
        <v>0.4</v>
      </c>
      <c r="X106" s="260">
        <f t="shared" si="14"/>
        <v>0.4</v>
      </c>
      <c r="Y106" s="260">
        <f t="shared" si="14"/>
        <v>0.4</v>
      </c>
      <c r="Z106" s="260">
        <f t="shared" si="14"/>
        <v>0.4</v>
      </c>
      <c r="AA106" s="260">
        <f t="shared" si="14"/>
        <v>0.4</v>
      </c>
      <c r="AB106" s="260">
        <f t="shared" si="14"/>
        <v>0.4</v>
      </c>
      <c r="AC106" s="76"/>
      <c r="AD106" s="76"/>
      <c r="AE106" s="76"/>
      <c r="AF106" s="97">
        <v>1</v>
      </c>
      <c r="AG106" s="97">
        <v>1</v>
      </c>
      <c r="AH106" s="73"/>
      <c r="AI106" s="57"/>
      <c r="AJ106" s="45"/>
      <c r="AK106" s="45"/>
      <c r="AL106" s="45"/>
    </row>
    <row r="107" spans="1:38" hidden="1" outlineLevel="2" x14ac:dyDescent="0.35">
      <c r="A107" s="45"/>
      <c r="B107" s="54"/>
      <c r="C107" s="47">
        <f>INT($C$29)+2</f>
        <v>3</v>
      </c>
      <c r="D107" s="73"/>
      <c r="E107" s="70"/>
      <c r="F107" s="70" t="s">
        <v>519</v>
      </c>
      <c r="G107" s="73"/>
      <c r="H107" s="264" t="s">
        <v>520</v>
      </c>
      <c r="I107" s="96" t="s">
        <v>514</v>
      </c>
      <c r="J107" s="96"/>
      <c r="K107" s="97">
        <v>0.6</v>
      </c>
      <c r="L107" s="97">
        <v>0.6</v>
      </c>
      <c r="M107" s="97">
        <v>1</v>
      </c>
      <c r="N107" s="97">
        <v>1</v>
      </c>
      <c r="O107" s="97">
        <v>1</v>
      </c>
      <c r="P107" s="97">
        <v>1</v>
      </c>
      <c r="Q107" s="76"/>
      <c r="R107" s="76" t="s">
        <v>521</v>
      </c>
      <c r="S107" s="76" t="s">
        <v>522</v>
      </c>
      <c r="T107" s="76"/>
      <c r="U107" s="260">
        <f>INDEX($K107:$Q107,1,U$43)</f>
        <v>0.6</v>
      </c>
      <c r="V107" s="260">
        <f t="shared" si="14"/>
        <v>0.6</v>
      </c>
      <c r="W107" s="260">
        <f t="shared" si="14"/>
        <v>0.6</v>
      </c>
      <c r="X107" s="260">
        <f t="shared" si="14"/>
        <v>0.6</v>
      </c>
      <c r="Y107" s="260">
        <f t="shared" si="14"/>
        <v>0.6</v>
      </c>
      <c r="Z107" s="260">
        <f t="shared" si="14"/>
        <v>0.6</v>
      </c>
      <c r="AA107" s="260">
        <f t="shared" si="14"/>
        <v>0.6</v>
      </c>
      <c r="AB107" s="260">
        <f t="shared" si="14"/>
        <v>0.6</v>
      </c>
      <c r="AC107" s="76"/>
      <c r="AD107" s="76"/>
      <c r="AE107" s="76"/>
      <c r="AF107" s="97">
        <v>1</v>
      </c>
      <c r="AG107" s="97">
        <v>1</v>
      </c>
      <c r="AH107" s="73"/>
      <c r="AI107" s="57"/>
      <c r="AJ107" s="45"/>
      <c r="AK107" s="45"/>
      <c r="AL107" s="45"/>
    </row>
    <row r="108" spans="1:38" hidden="1" outlineLevel="2" collapsed="1" x14ac:dyDescent="0.35">
      <c r="A108" s="45"/>
      <c r="B108" s="54"/>
      <c r="C108" s="47">
        <f>INT($C$29)+2</f>
        <v>3</v>
      </c>
      <c r="D108" s="73"/>
      <c r="E108" s="70"/>
      <c r="F108" s="70" t="s">
        <v>523</v>
      </c>
      <c r="G108" s="73"/>
      <c r="H108" s="76" t="s">
        <v>2805</v>
      </c>
      <c r="I108" s="96" t="s">
        <v>1740</v>
      </c>
      <c r="J108" s="96"/>
      <c r="K108" s="344">
        <v>0.15</v>
      </c>
      <c r="L108" s="344">
        <v>0.15</v>
      </c>
      <c r="M108" s="344">
        <v>0.15</v>
      </c>
      <c r="N108" s="344">
        <v>0.15</v>
      </c>
      <c r="O108" s="344">
        <v>0.15</v>
      </c>
      <c r="P108" s="344">
        <v>0.15</v>
      </c>
      <c r="Q108" s="76"/>
      <c r="R108" s="76" t="s">
        <v>524</v>
      </c>
      <c r="S108" s="76" t="s">
        <v>524</v>
      </c>
      <c r="T108" s="76"/>
      <c r="U108" s="273">
        <v>0.19</v>
      </c>
      <c r="V108" s="273">
        <v>0.19</v>
      </c>
      <c r="W108" s="273">
        <v>0.19</v>
      </c>
      <c r="X108" s="273">
        <v>0.25</v>
      </c>
      <c r="Y108" s="273">
        <v>0.25</v>
      </c>
      <c r="Z108" s="273">
        <v>0.25</v>
      </c>
      <c r="AA108" s="273">
        <v>0.25</v>
      </c>
      <c r="AB108" s="273">
        <v>0.25</v>
      </c>
      <c r="AC108" s="76"/>
      <c r="AD108" s="97" t="s">
        <v>2297</v>
      </c>
      <c r="AE108" s="76"/>
      <c r="AF108" s="97">
        <v>1</v>
      </c>
      <c r="AG108" s="97">
        <v>1</v>
      </c>
      <c r="AH108" s="73"/>
      <c r="AI108" s="57"/>
      <c r="AJ108" s="45"/>
      <c r="AK108" s="45"/>
      <c r="AL108" s="45"/>
    </row>
    <row r="109" spans="1:38" hidden="1" outlineLevel="3" x14ac:dyDescent="0.35">
      <c r="A109" s="45"/>
      <c r="B109" s="54"/>
      <c r="C109" s="47">
        <f>INT($C$29)+3</f>
        <v>4</v>
      </c>
      <c r="D109" s="73"/>
      <c r="E109" s="70"/>
      <c r="F109" s="70" t="s">
        <v>525</v>
      </c>
      <c r="G109" s="73"/>
      <c r="H109" s="76" t="s">
        <v>526</v>
      </c>
      <c r="I109" s="96" t="s">
        <v>514</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35">
      <c r="A110" s="45"/>
      <c r="B110" s="54"/>
      <c r="C110" s="47">
        <f t="shared" ref="C110:C125" si="15">INT($C$29)+3</f>
        <v>4</v>
      </c>
      <c r="D110" s="73"/>
      <c r="E110" s="70"/>
      <c r="F110" s="70" t="s">
        <v>527</v>
      </c>
      <c r="G110" s="73"/>
      <c r="H110" s="76" t="s">
        <v>528</v>
      </c>
      <c r="I110" s="96" t="s">
        <v>2258</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472</v>
      </c>
      <c r="AE110" s="76"/>
      <c r="AF110" s="97">
        <v>1</v>
      </c>
      <c r="AG110" s="97">
        <v>1</v>
      </c>
      <c r="AH110" s="73"/>
      <c r="AI110" s="57"/>
      <c r="AJ110" s="45"/>
      <c r="AK110" s="45"/>
      <c r="AL110" s="45"/>
    </row>
    <row r="111" spans="1:38" hidden="1" outlineLevel="2" x14ac:dyDescent="0.35">
      <c r="A111" s="45"/>
      <c r="B111" s="54"/>
      <c r="C111" s="47">
        <f t="shared" si="15"/>
        <v>4</v>
      </c>
      <c r="D111" s="73"/>
      <c r="E111" s="70"/>
      <c r="F111" s="70" t="s">
        <v>2957</v>
      </c>
      <c r="G111" s="73"/>
      <c r="H111" s="76" t="s">
        <v>2958</v>
      </c>
      <c r="I111" s="96" t="s">
        <v>514</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2959</v>
      </c>
      <c r="AE111" s="76"/>
      <c r="AF111" s="97">
        <v>1</v>
      </c>
      <c r="AG111" s="97">
        <v>1</v>
      </c>
      <c r="AH111" s="73"/>
      <c r="AI111" s="57"/>
      <c r="AJ111" s="45"/>
      <c r="AK111" s="45"/>
      <c r="AL111" s="45"/>
    </row>
    <row r="112" spans="1:38" hidden="1" outlineLevel="2" x14ac:dyDescent="0.35">
      <c r="A112" s="45"/>
      <c r="B112" s="54"/>
      <c r="C112" s="47">
        <f t="shared" si="15"/>
        <v>4</v>
      </c>
      <c r="D112" s="73"/>
      <c r="E112" s="70"/>
      <c r="F112" s="70" t="s">
        <v>2960</v>
      </c>
      <c r="G112" s="73" t="s">
        <v>139</v>
      </c>
      <c r="H112" s="76" t="s">
        <v>2961</v>
      </c>
      <c r="I112" s="96" t="s">
        <v>514</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2959</v>
      </c>
      <c r="AE112" s="76"/>
      <c r="AF112" s="97">
        <v>1</v>
      </c>
      <c r="AG112" s="97">
        <v>1</v>
      </c>
      <c r="AH112" s="73"/>
      <c r="AI112" s="57"/>
      <c r="AJ112" s="45"/>
      <c r="AK112" s="45"/>
      <c r="AL112" s="45"/>
    </row>
    <row r="113" spans="1:38" hidden="1" outlineLevel="2" x14ac:dyDescent="0.35">
      <c r="A113" s="45"/>
      <c r="B113" s="54"/>
      <c r="C113" s="47">
        <f t="shared" si="15"/>
        <v>4</v>
      </c>
      <c r="D113" s="73"/>
      <c r="E113" s="70"/>
      <c r="F113" s="70" t="s">
        <v>2962</v>
      </c>
      <c r="G113" s="73" t="s">
        <v>139</v>
      </c>
      <c r="H113" s="76" t="s">
        <v>2963</v>
      </c>
      <c r="I113" s="96" t="s">
        <v>514</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2964</v>
      </c>
      <c r="AE113" s="76"/>
      <c r="AF113" s="97">
        <v>1</v>
      </c>
      <c r="AG113" s="97">
        <v>1</v>
      </c>
      <c r="AH113" s="73"/>
      <c r="AI113" s="57"/>
      <c r="AJ113" s="45"/>
      <c r="AK113" s="45"/>
      <c r="AL113" s="45"/>
    </row>
    <row r="114" spans="1:38" hidden="1" outlineLevel="2" x14ac:dyDescent="0.35">
      <c r="A114" s="45"/>
      <c r="B114" s="54"/>
      <c r="C114" s="47">
        <f t="shared" si="15"/>
        <v>4</v>
      </c>
      <c r="D114" s="73"/>
      <c r="E114" s="70"/>
      <c r="F114" s="70" t="s">
        <v>2965</v>
      </c>
      <c r="G114" s="73" t="s">
        <v>139</v>
      </c>
      <c r="H114" s="76" t="s">
        <v>2966</v>
      </c>
      <c r="I114" s="96" t="s">
        <v>514</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35">
      <c r="A115" s="45"/>
      <c r="B115" s="54"/>
      <c r="C115" s="47">
        <f t="shared" si="15"/>
        <v>4</v>
      </c>
      <c r="D115" s="73"/>
      <c r="E115" s="70"/>
      <c r="F115" s="70" t="s">
        <v>2967</v>
      </c>
      <c r="G115" s="73" t="s">
        <v>139</v>
      </c>
      <c r="H115" s="76" t="s">
        <v>2968</v>
      </c>
      <c r="I115" s="96" t="s">
        <v>514</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35">
      <c r="A116" s="45"/>
      <c r="B116" s="54"/>
      <c r="C116" s="47">
        <f t="shared" si="15"/>
        <v>4</v>
      </c>
      <c r="D116" s="73"/>
      <c r="E116" s="70"/>
      <c r="F116" s="70" t="s">
        <v>2969</v>
      </c>
      <c r="G116" s="73" t="s">
        <v>139</v>
      </c>
      <c r="H116" s="76" t="s">
        <v>2970</v>
      </c>
      <c r="I116" s="96" t="s">
        <v>514</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35">
      <c r="A117" s="45"/>
      <c r="B117" s="54"/>
      <c r="C117" s="47">
        <f t="shared" si="15"/>
        <v>4</v>
      </c>
      <c r="D117" s="73"/>
      <c r="E117" s="70"/>
      <c r="F117" s="70" t="s">
        <v>2971</v>
      </c>
      <c r="G117" s="73" t="s">
        <v>139</v>
      </c>
      <c r="H117" s="76" t="s">
        <v>2972</v>
      </c>
      <c r="I117" s="96" t="s">
        <v>514</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35">
      <c r="A118" s="45"/>
      <c r="B118" s="54"/>
      <c r="C118" s="47">
        <f t="shared" si="15"/>
        <v>4</v>
      </c>
      <c r="D118" s="73"/>
      <c r="E118" s="70"/>
      <c r="F118" s="70" t="s">
        <v>2973</v>
      </c>
      <c r="G118" s="73" t="s">
        <v>139</v>
      </c>
      <c r="H118" s="76" t="s">
        <v>2974</v>
      </c>
      <c r="I118" s="96" t="s">
        <v>514</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35">
      <c r="A119" s="45"/>
      <c r="B119" s="54"/>
      <c r="C119" s="47">
        <f t="shared" si="15"/>
        <v>4</v>
      </c>
      <c r="D119" s="73"/>
      <c r="E119" s="70"/>
      <c r="F119" s="70" t="s">
        <v>2975</v>
      </c>
      <c r="G119" s="73" t="s">
        <v>139</v>
      </c>
      <c r="H119" s="76" t="s">
        <v>2976</v>
      </c>
      <c r="I119" s="96" t="s">
        <v>514</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35">
      <c r="A120" s="45"/>
      <c r="B120" s="54"/>
      <c r="C120" s="47">
        <f t="shared" si="15"/>
        <v>4</v>
      </c>
      <c r="D120" s="73"/>
      <c r="E120" s="70"/>
      <c r="F120" s="70" t="s">
        <v>2977</v>
      </c>
      <c r="G120" s="73" t="s">
        <v>139</v>
      </c>
      <c r="H120" s="76" t="s">
        <v>2978</v>
      </c>
      <c r="I120" s="96" t="s">
        <v>514</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35">
      <c r="A121" s="45"/>
      <c r="B121" s="54"/>
      <c r="C121" s="47">
        <f t="shared" si="15"/>
        <v>4</v>
      </c>
      <c r="D121" s="73"/>
      <c r="E121" s="70"/>
      <c r="F121" s="70" t="s">
        <v>2979</v>
      </c>
      <c r="G121" s="73" t="s">
        <v>139</v>
      </c>
      <c r="H121" s="76" t="s">
        <v>2980</v>
      </c>
      <c r="I121" s="96" t="s">
        <v>514</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35">
      <c r="A122" s="45"/>
      <c r="B122" s="54"/>
      <c r="C122" s="47">
        <f t="shared" si="15"/>
        <v>4</v>
      </c>
      <c r="D122" s="73"/>
      <c r="E122" s="70"/>
      <c r="F122" s="70" t="s">
        <v>2981</v>
      </c>
      <c r="G122" s="73" t="s">
        <v>139</v>
      </c>
      <c r="H122" s="76" t="s">
        <v>2982</v>
      </c>
      <c r="I122" s="96" t="s">
        <v>514</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35">
      <c r="A123" s="45"/>
      <c r="B123" s="54"/>
      <c r="C123" s="47">
        <f t="shared" si="15"/>
        <v>4</v>
      </c>
      <c r="D123" s="73"/>
      <c r="E123" s="70"/>
      <c r="F123" s="70" t="s">
        <v>2983</v>
      </c>
      <c r="G123" s="73" t="s">
        <v>139</v>
      </c>
      <c r="H123" s="76" t="s">
        <v>2984</v>
      </c>
      <c r="I123" s="96" t="s">
        <v>514</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35">
      <c r="A124" s="45"/>
      <c r="B124" s="54"/>
      <c r="C124" s="47">
        <f t="shared" si="15"/>
        <v>4</v>
      </c>
      <c r="D124" s="73"/>
      <c r="E124" s="70"/>
      <c r="F124" s="70" t="s">
        <v>2985</v>
      </c>
      <c r="G124" s="73" t="s">
        <v>139</v>
      </c>
      <c r="H124" s="76" t="s">
        <v>2986</v>
      </c>
      <c r="I124" s="96" t="s">
        <v>514</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35">
      <c r="A125" s="45"/>
      <c r="B125" s="54"/>
      <c r="C125" s="47">
        <f t="shared" si="15"/>
        <v>4</v>
      </c>
      <c r="D125" s="73"/>
      <c r="E125" s="70"/>
      <c r="F125" s="70" t="s">
        <v>2987</v>
      </c>
      <c r="G125" s="73" t="s">
        <v>139</v>
      </c>
      <c r="H125" s="76" t="s">
        <v>2988</v>
      </c>
      <c r="I125" s="96" t="s">
        <v>514</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35">
      <c r="A126" s="45"/>
      <c r="B126" s="54"/>
      <c r="C126" s="47">
        <f>INT($C$29)+1</f>
        <v>2</v>
      </c>
      <c r="D126" s="73"/>
      <c r="E126" s="70"/>
      <c r="F126" s="263" t="s">
        <v>529</v>
      </c>
      <c r="G126" s="73"/>
      <c r="H126" s="253" t="s">
        <v>530</v>
      </c>
      <c r="I126" s="96"/>
      <c r="J126" s="96" t="s">
        <v>531</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532</v>
      </c>
      <c r="F127" s="70" t="s">
        <v>533</v>
      </c>
      <c r="G127" s="73"/>
      <c r="H127" s="76" t="s">
        <v>507</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35">
      <c r="A128" s="45"/>
      <c r="B128" s="54"/>
      <c r="C128" s="47">
        <f t="shared" ref="C128:C145" si="16">INT($C$29)+2</f>
        <v>3</v>
      </c>
      <c r="D128" s="73"/>
      <c r="E128" s="70"/>
      <c r="F128" s="70" t="s">
        <v>534</v>
      </c>
      <c r="G128" s="73"/>
      <c r="H128" s="76" t="s">
        <v>535</v>
      </c>
      <c r="I128" s="96" t="s">
        <v>536</v>
      </c>
      <c r="J128" s="96"/>
      <c r="K128" s="97">
        <v>0.04</v>
      </c>
      <c r="L128" s="97">
        <v>0.05</v>
      </c>
      <c r="M128" s="97">
        <v>2.5000000000000001E-2</v>
      </c>
      <c r="N128" s="97">
        <v>2.5000000000000001E-2</v>
      </c>
      <c r="O128" s="97">
        <v>2.5000000000000001E-2</v>
      </c>
      <c r="P128" s="97">
        <v>2.5000000000000001E-2</v>
      </c>
      <c r="Q128" s="76"/>
      <c r="R128" s="76" t="s">
        <v>2322</v>
      </c>
      <c r="S128" s="76" t="s">
        <v>524</v>
      </c>
      <c r="T128" s="76"/>
      <c r="U128" s="260">
        <f t="shared" ref="U128:AB142" si="17">INDEX($K128:$Q128,1,U$43)</f>
        <v>0.04</v>
      </c>
      <c r="V128" s="260">
        <f t="shared" si="17"/>
        <v>0.04</v>
      </c>
      <c r="W128" s="260">
        <f t="shared" si="17"/>
        <v>0.04</v>
      </c>
      <c r="X128" s="260">
        <f t="shared" si="17"/>
        <v>0.05</v>
      </c>
      <c r="Y128" s="260">
        <f t="shared" si="17"/>
        <v>0.05</v>
      </c>
      <c r="Z128" s="260">
        <f t="shared" si="17"/>
        <v>0.05</v>
      </c>
      <c r="AA128" s="260">
        <f t="shared" si="17"/>
        <v>0.05</v>
      </c>
      <c r="AB128" s="260">
        <f t="shared" si="17"/>
        <v>0.05</v>
      </c>
      <c r="AC128" s="76"/>
      <c r="AD128" s="76"/>
      <c r="AE128" s="76"/>
      <c r="AF128" s="97">
        <v>1</v>
      </c>
      <c r="AG128" s="97">
        <v>1</v>
      </c>
      <c r="AH128" s="73"/>
      <c r="AI128" s="57"/>
      <c r="AJ128" s="45"/>
      <c r="AK128" s="45"/>
      <c r="AL128" s="45"/>
    </row>
    <row r="129" spans="1:38" hidden="1" outlineLevel="2" x14ac:dyDescent="0.35">
      <c r="A129" s="45"/>
      <c r="B129" s="54"/>
      <c r="C129" s="47">
        <f t="shared" si="16"/>
        <v>3</v>
      </c>
      <c r="D129" s="73"/>
      <c r="E129" s="70"/>
      <c r="F129" s="70" t="s">
        <v>537</v>
      </c>
      <c r="G129" s="73"/>
      <c r="H129" s="76" t="s">
        <v>538</v>
      </c>
      <c r="I129" s="96" t="s">
        <v>514</v>
      </c>
      <c r="J129" s="96"/>
      <c r="K129" s="97">
        <v>1.7</v>
      </c>
      <c r="L129" s="97">
        <v>1.7</v>
      </c>
      <c r="M129" s="97">
        <v>1.7</v>
      </c>
      <c r="N129" s="97">
        <v>1.7</v>
      </c>
      <c r="O129" s="97">
        <v>1.7</v>
      </c>
      <c r="P129" s="97">
        <v>1.7</v>
      </c>
      <c r="Q129" s="76"/>
      <c r="R129" s="76" t="s">
        <v>524</v>
      </c>
      <c r="S129" s="76" t="s">
        <v>524</v>
      </c>
      <c r="T129" s="76"/>
      <c r="U129" s="260">
        <f t="shared" si="17"/>
        <v>1.7</v>
      </c>
      <c r="V129" s="260">
        <f t="shared" si="17"/>
        <v>1.7</v>
      </c>
      <c r="W129" s="260">
        <f t="shared" si="17"/>
        <v>1.7</v>
      </c>
      <c r="X129" s="260">
        <f t="shared" si="17"/>
        <v>1.7</v>
      </c>
      <c r="Y129" s="260">
        <f t="shared" si="17"/>
        <v>1.7</v>
      </c>
      <c r="Z129" s="260">
        <f t="shared" si="17"/>
        <v>1.7</v>
      </c>
      <c r="AA129" s="260">
        <f t="shared" si="17"/>
        <v>1.7</v>
      </c>
      <c r="AB129" s="260">
        <f t="shared" si="17"/>
        <v>1.7</v>
      </c>
      <c r="AC129" s="76"/>
      <c r="AD129" s="76"/>
      <c r="AE129" s="76"/>
      <c r="AF129" s="97">
        <v>1</v>
      </c>
      <c r="AG129" s="97">
        <v>1</v>
      </c>
      <c r="AH129" s="73"/>
      <c r="AI129" s="57"/>
      <c r="AJ129" s="45"/>
      <c r="AK129" s="45"/>
      <c r="AL129" s="45"/>
    </row>
    <row r="130" spans="1:38" hidden="1" outlineLevel="2" x14ac:dyDescent="0.35">
      <c r="A130" s="45"/>
      <c r="B130" s="54"/>
      <c r="C130" s="47">
        <f t="shared" si="16"/>
        <v>3</v>
      </c>
      <c r="D130" s="73"/>
      <c r="E130" s="70"/>
      <c r="F130" s="70" t="s">
        <v>539</v>
      </c>
      <c r="G130" s="73"/>
      <c r="H130" s="76" t="s">
        <v>540</v>
      </c>
      <c r="I130" s="96" t="s">
        <v>541</v>
      </c>
      <c r="J130" s="96"/>
      <c r="K130" s="97">
        <v>0.5</v>
      </c>
      <c r="L130" s="97">
        <v>0.5</v>
      </c>
      <c r="M130" s="97">
        <v>0.22</v>
      </c>
      <c r="N130" s="97">
        <v>0.22</v>
      </c>
      <c r="O130" s="97">
        <v>0.22</v>
      </c>
      <c r="P130" s="97">
        <v>0.22</v>
      </c>
      <c r="Q130" s="76"/>
      <c r="R130" s="76" t="s">
        <v>524</v>
      </c>
      <c r="S130" s="76" t="s">
        <v>524</v>
      </c>
      <c r="T130" s="76"/>
      <c r="U130" s="260">
        <f t="shared" si="17"/>
        <v>0.5</v>
      </c>
      <c r="V130" s="260">
        <f t="shared" si="17"/>
        <v>0.5</v>
      </c>
      <c r="W130" s="260">
        <f t="shared" si="17"/>
        <v>0.5</v>
      </c>
      <c r="X130" s="260">
        <f t="shared" si="17"/>
        <v>0.5</v>
      </c>
      <c r="Y130" s="260">
        <f t="shared" si="17"/>
        <v>0.5</v>
      </c>
      <c r="Z130" s="260">
        <f t="shared" si="17"/>
        <v>0.5</v>
      </c>
      <c r="AA130" s="260">
        <f t="shared" si="17"/>
        <v>0.5</v>
      </c>
      <c r="AB130" s="260">
        <f t="shared" si="17"/>
        <v>0.5</v>
      </c>
      <c r="AC130" s="76"/>
      <c r="AD130" s="76"/>
      <c r="AE130" s="76"/>
      <c r="AF130" s="97">
        <v>1</v>
      </c>
      <c r="AG130" s="97">
        <v>1</v>
      </c>
      <c r="AH130" s="73"/>
      <c r="AI130" s="57"/>
      <c r="AJ130" s="45"/>
      <c r="AK130" s="45"/>
      <c r="AL130" s="45"/>
    </row>
    <row r="131" spans="1:38" hidden="1" outlineLevel="2" x14ac:dyDescent="0.35">
      <c r="A131" s="45"/>
      <c r="B131" s="54"/>
      <c r="C131" s="47">
        <f t="shared" si="16"/>
        <v>3</v>
      </c>
      <c r="D131" s="73"/>
      <c r="E131" s="70"/>
      <c r="F131" s="70" t="s">
        <v>542</v>
      </c>
      <c r="G131" s="73"/>
      <c r="H131" s="76" t="s">
        <v>540</v>
      </c>
      <c r="I131" s="96" t="s">
        <v>543</v>
      </c>
      <c r="J131" s="96"/>
      <c r="K131" s="97">
        <v>25</v>
      </c>
      <c r="L131" s="97">
        <v>25</v>
      </c>
      <c r="M131" s="97">
        <v>60</v>
      </c>
      <c r="N131" s="97">
        <v>60</v>
      </c>
      <c r="O131" s="97">
        <v>60</v>
      </c>
      <c r="P131" s="97">
        <v>60</v>
      </c>
      <c r="Q131" s="76"/>
      <c r="R131" s="76" t="s">
        <v>524</v>
      </c>
      <c r="S131" s="76" t="s">
        <v>524</v>
      </c>
      <c r="T131" s="76"/>
      <c r="U131" s="260">
        <f t="shared" si="17"/>
        <v>25</v>
      </c>
      <c r="V131" s="260">
        <f t="shared" si="17"/>
        <v>25</v>
      </c>
      <c r="W131" s="260">
        <f t="shared" si="17"/>
        <v>25</v>
      </c>
      <c r="X131" s="260">
        <f t="shared" si="17"/>
        <v>25</v>
      </c>
      <c r="Y131" s="260">
        <f t="shared" si="17"/>
        <v>25</v>
      </c>
      <c r="Z131" s="260">
        <f t="shared" si="17"/>
        <v>25</v>
      </c>
      <c r="AA131" s="260">
        <f t="shared" si="17"/>
        <v>25</v>
      </c>
      <c r="AB131" s="260">
        <f t="shared" si="17"/>
        <v>25</v>
      </c>
      <c r="AC131" s="76"/>
      <c r="AD131" s="76"/>
      <c r="AE131" s="76"/>
      <c r="AF131" s="97">
        <v>1</v>
      </c>
      <c r="AG131" s="97">
        <v>1</v>
      </c>
      <c r="AH131" s="73"/>
      <c r="AI131" s="57"/>
      <c r="AJ131" s="45"/>
      <c r="AK131" s="45"/>
      <c r="AL131" s="45"/>
    </row>
    <row r="132" spans="1:38" hidden="1" outlineLevel="2" x14ac:dyDescent="0.35">
      <c r="A132" s="45"/>
      <c r="B132" s="54"/>
      <c r="C132" s="47">
        <f t="shared" si="16"/>
        <v>3</v>
      </c>
      <c r="D132" s="73"/>
      <c r="E132" s="70"/>
      <c r="F132" s="70" t="s">
        <v>544</v>
      </c>
      <c r="G132" s="73"/>
      <c r="H132" s="76" t="s">
        <v>545</v>
      </c>
      <c r="I132" s="96" t="s">
        <v>514</v>
      </c>
      <c r="J132" s="96"/>
      <c r="K132" s="97">
        <v>0.01</v>
      </c>
      <c r="L132" s="97">
        <v>0.01</v>
      </c>
      <c r="M132" s="97">
        <v>0.02</v>
      </c>
      <c r="N132" s="97">
        <v>0.01</v>
      </c>
      <c r="O132" s="97">
        <v>0.02</v>
      </c>
      <c r="P132" s="97">
        <v>0.02</v>
      </c>
      <c r="Q132" s="76"/>
      <c r="R132" s="76" t="s">
        <v>546</v>
      </c>
      <c r="S132" s="76" t="s">
        <v>546</v>
      </c>
      <c r="T132" s="76"/>
      <c r="U132" s="260">
        <f t="shared" si="17"/>
        <v>0.01</v>
      </c>
      <c r="V132" s="260">
        <f t="shared" si="17"/>
        <v>0.01</v>
      </c>
      <c r="W132" s="260">
        <f t="shared" si="17"/>
        <v>0.01</v>
      </c>
      <c r="X132" s="260">
        <f t="shared" si="17"/>
        <v>0.01</v>
      </c>
      <c r="Y132" s="260">
        <f t="shared" si="17"/>
        <v>0.01</v>
      </c>
      <c r="Z132" s="260">
        <f t="shared" si="17"/>
        <v>0.01</v>
      </c>
      <c r="AA132" s="260">
        <f t="shared" si="17"/>
        <v>0.01</v>
      </c>
      <c r="AB132" s="260">
        <f t="shared" si="17"/>
        <v>0.01</v>
      </c>
      <c r="AC132" s="76"/>
      <c r="AD132" s="76"/>
      <c r="AE132" s="76"/>
      <c r="AF132" s="97">
        <v>1</v>
      </c>
      <c r="AG132" s="97">
        <v>1</v>
      </c>
      <c r="AH132" s="73"/>
      <c r="AI132" s="57"/>
      <c r="AJ132" s="45"/>
      <c r="AK132" s="45"/>
      <c r="AL132" s="45"/>
    </row>
    <row r="133" spans="1:38" hidden="1" outlineLevel="2" x14ac:dyDescent="0.35">
      <c r="A133" s="45"/>
      <c r="B133" s="54"/>
      <c r="C133" s="47">
        <f t="shared" si="16"/>
        <v>3</v>
      </c>
      <c r="D133" s="73"/>
      <c r="E133" s="70"/>
      <c r="F133" s="70" t="s">
        <v>547</v>
      </c>
      <c r="G133" s="73"/>
      <c r="H133" s="76" t="s">
        <v>548</v>
      </c>
      <c r="I133" s="96" t="s">
        <v>549</v>
      </c>
      <c r="J133" s="96"/>
      <c r="K133" s="97">
        <v>25</v>
      </c>
      <c r="L133" s="97">
        <v>25</v>
      </c>
      <c r="M133" s="97">
        <v>25</v>
      </c>
      <c r="N133" s="97">
        <v>25</v>
      </c>
      <c r="O133" s="97">
        <v>25</v>
      </c>
      <c r="P133" s="97">
        <v>25</v>
      </c>
      <c r="Q133" s="76"/>
      <c r="R133" s="76" t="s">
        <v>546</v>
      </c>
      <c r="S133" s="76" t="s">
        <v>546</v>
      </c>
      <c r="T133" s="76"/>
      <c r="U133" s="260">
        <f t="shared" si="17"/>
        <v>25</v>
      </c>
      <c r="V133" s="260">
        <f t="shared" si="17"/>
        <v>25</v>
      </c>
      <c r="W133" s="260">
        <f t="shared" si="17"/>
        <v>25</v>
      </c>
      <c r="X133" s="260">
        <f t="shared" si="17"/>
        <v>25</v>
      </c>
      <c r="Y133" s="260">
        <f t="shared" si="17"/>
        <v>25</v>
      </c>
      <c r="Z133" s="260">
        <f t="shared" si="17"/>
        <v>25</v>
      </c>
      <c r="AA133" s="260">
        <f t="shared" si="17"/>
        <v>25</v>
      </c>
      <c r="AB133" s="260">
        <f t="shared" si="17"/>
        <v>25</v>
      </c>
      <c r="AC133" s="76"/>
      <c r="AD133" s="76"/>
      <c r="AE133" s="76"/>
      <c r="AF133" s="97">
        <v>1</v>
      </c>
      <c r="AG133" s="97">
        <v>1</v>
      </c>
      <c r="AH133" s="73"/>
      <c r="AI133" s="57"/>
      <c r="AJ133" s="45"/>
      <c r="AK133" s="45"/>
      <c r="AL133" s="45"/>
    </row>
    <row r="134" spans="1:38" hidden="1" outlineLevel="2" x14ac:dyDescent="0.35">
      <c r="A134" s="45"/>
      <c r="B134" s="54"/>
      <c r="C134" s="47">
        <f t="shared" si="16"/>
        <v>3</v>
      </c>
      <c r="D134" s="73"/>
      <c r="E134" s="70"/>
      <c r="F134" s="70" t="s">
        <v>550</v>
      </c>
      <c r="G134" s="73"/>
      <c r="H134" s="76" t="s">
        <v>551</v>
      </c>
      <c r="I134" s="96" t="s">
        <v>549</v>
      </c>
      <c r="J134" s="96"/>
      <c r="K134" s="97">
        <v>22</v>
      </c>
      <c r="L134" s="97">
        <v>22</v>
      </c>
      <c r="M134" s="97">
        <v>22</v>
      </c>
      <c r="N134" s="97">
        <v>22</v>
      </c>
      <c r="O134" s="97">
        <v>22</v>
      </c>
      <c r="P134" s="97">
        <v>22</v>
      </c>
      <c r="Q134" s="76"/>
      <c r="R134" s="76" t="s">
        <v>546</v>
      </c>
      <c r="S134" s="76" t="s">
        <v>546</v>
      </c>
      <c r="T134" s="76"/>
      <c r="U134" s="260">
        <f t="shared" si="17"/>
        <v>22</v>
      </c>
      <c r="V134" s="260">
        <f t="shared" si="17"/>
        <v>22</v>
      </c>
      <c r="W134" s="260">
        <f t="shared" si="17"/>
        <v>22</v>
      </c>
      <c r="X134" s="260">
        <f t="shared" si="17"/>
        <v>22</v>
      </c>
      <c r="Y134" s="260">
        <f t="shared" si="17"/>
        <v>22</v>
      </c>
      <c r="Z134" s="260">
        <f t="shared" si="17"/>
        <v>22</v>
      </c>
      <c r="AA134" s="260">
        <f t="shared" si="17"/>
        <v>22</v>
      </c>
      <c r="AB134" s="260">
        <f t="shared" si="17"/>
        <v>22</v>
      </c>
      <c r="AC134" s="76"/>
      <c r="AD134" s="76"/>
      <c r="AE134" s="76"/>
      <c r="AF134" s="97">
        <v>1</v>
      </c>
      <c r="AG134" s="97">
        <v>1</v>
      </c>
      <c r="AH134" s="73"/>
      <c r="AI134" s="57"/>
      <c r="AJ134" s="45"/>
      <c r="AK134" s="45"/>
      <c r="AL134" s="45"/>
    </row>
    <row r="135" spans="1:38" hidden="1" outlineLevel="2" x14ac:dyDescent="0.35">
      <c r="A135" s="45"/>
      <c r="B135" s="54"/>
      <c r="C135" s="47">
        <f t="shared" si="16"/>
        <v>3</v>
      </c>
      <c r="D135" s="73"/>
      <c r="E135" s="70"/>
      <c r="F135" s="70" t="s">
        <v>552</v>
      </c>
      <c r="G135" s="73"/>
      <c r="H135" s="76" t="s">
        <v>553</v>
      </c>
      <c r="I135" s="96" t="s">
        <v>543</v>
      </c>
      <c r="J135" s="96"/>
      <c r="K135" s="97">
        <v>28</v>
      </c>
      <c r="L135" s="97">
        <v>28</v>
      </c>
      <c r="M135" s="97">
        <v>62</v>
      </c>
      <c r="N135" s="97">
        <v>62</v>
      </c>
      <c r="O135" s="97">
        <v>62</v>
      </c>
      <c r="P135" s="97">
        <v>81</v>
      </c>
      <c r="Q135" s="76"/>
      <c r="R135" s="76" t="s">
        <v>524</v>
      </c>
      <c r="S135" s="76" t="s">
        <v>524</v>
      </c>
      <c r="T135" s="76"/>
      <c r="U135" s="260">
        <f t="shared" si="17"/>
        <v>28</v>
      </c>
      <c r="V135" s="260">
        <f t="shared" si="17"/>
        <v>28</v>
      </c>
      <c r="W135" s="260">
        <f t="shared" si="17"/>
        <v>28</v>
      </c>
      <c r="X135" s="260">
        <f t="shared" si="17"/>
        <v>28</v>
      </c>
      <c r="Y135" s="260">
        <f t="shared" si="17"/>
        <v>28</v>
      </c>
      <c r="Z135" s="260">
        <f t="shared" si="17"/>
        <v>28</v>
      </c>
      <c r="AA135" s="260">
        <f t="shared" si="17"/>
        <v>28</v>
      </c>
      <c r="AB135" s="260">
        <f t="shared" si="17"/>
        <v>28</v>
      </c>
      <c r="AC135" s="76"/>
      <c r="AD135" s="76"/>
      <c r="AE135" s="76"/>
      <c r="AF135" s="97">
        <v>1</v>
      </c>
      <c r="AG135" s="97">
        <v>1</v>
      </c>
      <c r="AH135" s="73"/>
      <c r="AI135" s="57"/>
      <c r="AJ135" s="45"/>
      <c r="AK135" s="45"/>
      <c r="AL135" s="45"/>
    </row>
    <row r="136" spans="1:38" hidden="1" outlineLevel="2" x14ac:dyDescent="0.35">
      <c r="A136" s="45"/>
      <c r="B136" s="54"/>
      <c r="C136" s="47">
        <f t="shared" si="16"/>
        <v>3</v>
      </c>
      <c r="D136" s="73"/>
      <c r="E136" s="70"/>
      <c r="F136" s="70" t="s">
        <v>554</v>
      </c>
      <c r="G136" s="73"/>
      <c r="H136" s="76" t="s">
        <v>555</v>
      </c>
      <c r="I136" s="96" t="s">
        <v>514</v>
      </c>
      <c r="J136" s="96"/>
      <c r="K136" s="97">
        <v>1.4</v>
      </c>
      <c r="L136" s="97">
        <v>1.4</v>
      </c>
      <c r="M136" s="97">
        <v>1.7</v>
      </c>
      <c r="N136" s="97">
        <v>1.7</v>
      </c>
      <c r="O136" s="97">
        <v>1.7</v>
      </c>
      <c r="P136" s="97">
        <v>0.7</v>
      </c>
      <c r="Q136" s="76"/>
      <c r="R136" s="76" t="s">
        <v>524</v>
      </c>
      <c r="S136" s="76" t="s">
        <v>524</v>
      </c>
      <c r="T136" s="76"/>
      <c r="U136" s="260">
        <f t="shared" si="17"/>
        <v>1.4</v>
      </c>
      <c r="V136" s="260">
        <f t="shared" si="17"/>
        <v>1.4</v>
      </c>
      <c r="W136" s="260">
        <f t="shared" si="17"/>
        <v>1.4</v>
      </c>
      <c r="X136" s="260">
        <f t="shared" si="17"/>
        <v>1.4</v>
      </c>
      <c r="Y136" s="260">
        <f t="shared" si="17"/>
        <v>1.4</v>
      </c>
      <c r="Z136" s="260">
        <f t="shared" si="17"/>
        <v>1.4</v>
      </c>
      <c r="AA136" s="260">
        <f t="shared" si="17"/>
        <v>1.4</v>
      </c>
      <c r="AB136" s="260">
        <f t="shared" si="17"/>
        <v>1.4</v>
      </c>
      <c r="AC136" s="76"/>
      <c r="AD136" s="76"/>
      <c r="AE136" s="76"/>
      <c r="AF136" s="97">
        <v>1</v>
      </c>
      <c r="AG136" s="97">
        <v>1</v>
      </c>
      <c r="AH136" s="73"/>
      <c r="AI136" s="57"/>
      <c r="AJ136" s="45"/>
      <c r="AK136" s="45"/>
      <c r="AL136" s="45"/>
    </row>
    <row r="137" spans="1:38" hidden="1" outlineLevel="2" x14ac:dyDescent="0.35">
      <c r="A137" s="45"/>
      <c r="B137" s="54"/>
      <c r="C137" s="47">
        <f t="shared" si="16"/>
        <v>3</v>
      </c>
      <c r="D137" s="73"/>
      <c r="E137" s="70"/>
      <c r="F137" s="70" t="s">
        <v>556</v>
      </c>
      <c r="G137" s="73"/>
      <c r="H137" s="76" t="s">
        <v>557</v>
      </c>
      <c r="I137" s="96" t="s">
        <v>558</v>
      </c>
      <c r="J137" s="96"/>
      <c r="K137" s="76"/>
      <c r="L137" s="76"/>
      <c r="M137" s="97">
        <v>0.6</v>
      </c>
      <c r="N137" s="97">
        <v>0.6</v>
      </c>
      <c r="O137" s="97">
        <v>0.6</v>
      </c>
      <c r="P137" s="97">
        <v>0.6</v>
      </c>
      <c r="Q137" s="76"/>
      <c r="R137" s="76"/>
      <c r="S137" s="76"/>
      <c r="T137" s="76"/>
      <c r="U137" s="260">
        <f t="shared" si="17"/>
        <v>0</v>
      </c>
      <c r="V137" s="260">
        <f t="shared" si="17"/>
        <v>0</v>
      </c>
      <c r="W137" s="260">
        <f t="shared" si="17"/>
        <v>0</v>
      </c>
      <c r="X137" s="260">
        <f t="shared" si="17"/>
        <v>0</v>
      </c>
      <c r="Y137" s="260">
        <f t="shared" si="17"/>
        <v>0</v>
      </c>
      <c r="Z137" s="260">
        <f t="shared" si="17"/>
        <v>0</v>
      </c>
      <c r="AA137" s="260">
        <f t="shared" si="17"/>
        <v>0</v>
      </c>
      <c r="AB137" s="260">
        <f t="shared" si="17"/>
        <v>0</v>
      </c>
      <c r="AC137" s="76"/>
      <c r="AD137" s="76"/>
      <c r="AE137" s="76"/>
      <c r="AF137" s="97">
        <v>1</v>
      </c>
      <c r="AG137" s="97">
        <v>1</v>
      </c>
      <c r="AH137" s="73"/>
      <c r="AI137" s="57"/>
      <c r="AJ137" s="45"/>
      <c r="AK137" s="45"/>
      <c r="AL137" s="45"/>
    </row>
    <row r="138" spans="1:38" hidden="1" outlineLevel="2" x14ac:dyDescent="0.35">
      <c r="A138" s="45"/>
      <c r="B138" s="54"/>
      <c r="C138" s="47">
        <f t="shared" si="16"/>
        <v>3</v>
      </c>
      <c r="D138" s="73"/>
      <c r="E138" s="70"/>
      <c r="F138" s="70" t="s">
        <v>559</v>
      </c>
      <c r="G138" s="73"/>
      <c r="H138" s="76" t="s">
        <v>557</v>
      </c>
      <c r="I138" s="96" t="s">
        <v>514</v>
      </c>
      <c r="J138" s="96"/>
      <c r="K138" s="76"/>
      <c r="L138" s="76"/>
      <c r="M138" s="97">
        <v>0.05</v>
      </c>
      <c r="N138" s="97">
        <v>0.05</v>
      </c>
      <c r="O138" s="97">
        <v>0.05</v>
      </c>
      <c r="P138" s="97">
        <v>0.05</v>
      </c>
      <c r="Q138" s="76"/>
      <c r="R138" s="76"/>
      <c r="S138" s="76"/>
      <c r="T138" s="76"/>
      <c r="U138" s="260">
        <f t="shared" si="17"/>
        <v>0</v>
      </c>
      <c r="V138" s="260">
        <f t="shared" si="17"/>
        <v>0</v>
      </c>
      <c r="W138" s="260">
        <f t="shared" si="17"/>
        <v>0</v>
      </c>
      <c r="X138" s="260">
        <f t="shared" si="17"/>
        <v>0</v>
      </c>
      <c r="Y138" s="260">
        <f t="shared" si="17"/>
        <v>0</v>
      </c>
      <c r="Z138" s="260">
        <f t="shared" si="17"/>
        <v>0</v>
      </c>
      <c r="AA138" s="260">
        <f t="shared" si="17"/>
        <v>0</v>
      </c>
      <c r="AB138" s="260">
        <f t="shared" si="17"/>
        <v>0</v>
      </c>
      <c r="AC138" s="76"/>
      <c r="AD138" s="76"/>
      <c r="AE138" s="76"/>
      <c r="AF138" s="97">
        <v>1</v>
      </c>
      <c r="AG138" s="97">
        <v>1</v>
      </c>
      <c r="AH138" s="73"/>
      <c r="AI138" s="57"/>
      <c r="AJ138" s="45"/>
      <c r="AK138" s="45"/>
      <c r="AL138" s="45"/>
    </row>
    <row r="139" spans="1:38" hidden="1" outlineLevel="2" x14ac:dyDescent="0.35">
      <c r="A139" s="45"/>
      <c r="B139" s="54"/>
      <c r="C139" s="47">
        <f t="shared" si="16"/>
        <v>3</v>
      </c>
      <c r="D139" s="73"/>
      <c r="E139" s="70"/>
      <c r="F139" s="70" t="s">
        <v>560</v>
      </c>
      <c r="G139" s="73"/>
      <c r="H139" s="76" t="s">
        <v>561</v>
      </c>
      <c r="I139" s="96" t="s">
        <v>514</v>
      </c>
      <c r="J139" s="96"/>
      <c r="K139" s="97">
        <v>0.15</v>
      </c>
      <c r="L139" s="97">
        <v>0.15</v>
      </c>
      <c r="M139" s="97">
        <v>0.15</v>
      </c>
      <c r="N139" s="97">
        <v>0.15</v>
      </c>
      <c r="O139" s="97">
        <v>0.15</v>
      </c>
      <c r="P139" s="97">
        <v>0.15</v>
      </c>
      <c r="Q139" s="76"/>
      <c r="R139" s="76" t="s">
        <v>562</v>
      </c>
      <c r="S139" s="76" t="s">
        <v>562</v>
      </c>
      <c r="T139" s="76"/>
      <c r="U139" s="260">
        <f t="shared" si="17"/>
        <v>0.15</v>
      </c>
      <c r="V139" s="260">
        <f t="shared" si="17"/>
        <v>0.15</v>
      </c>
      <c r="W139" s="260">
        <f t="shared" si="17"/>
        <v>0.15</v>
      </c>
      <c r="X139" s="260">
        <f t="shared" si="17"/>
        <v>0.15</v>
      </c>
      <c r="Y139" s="260">
        <f t="shared" si="17"/>
        <v>0.15</v>
      </c>
      <c r="Z139" s="260">
        <f t="shared" si="17"/>
        <v>0.15</v>
      </c>
      <c r="AA139" s="260">
        <f t="shared" si="17"/>
        <v>0.15</v>
      </c>
      <c r="AB139" s="260">
        <f t="shared" si="17"/>
        <v>0.15</v>
      </c>
      <c r="AC139" s="76"/>
      <c r="AD139" s="76"/>
      <c r="AE139" s="76"/>
      <c r="AF139" s="97">
        <v>1</v>
      </c>
      <c r="AG139" s="97">
        <v>1</v>
      </c>
      <c r="AH139" s="73"/>
      <c r="AI139" s="57"/>
      <c r="AJ139" s="45"/>
      <c r="AK139" s="45"/>
      <c r="AL139" s="45"/>
    </row>
    <row r="140" spans="1:38" hidden="1" outlineLevel="2" x14ac:dyDescent="0.35">
      <c r="A140" s="45"/>
      <c r="B140" s="54"/>
      <c r="C140" s="47">
        <f t="shared" si="16"/>
        <v>3</v>
      </c>
      <c r="D140" s="73"/>
      <c r="E140" s="70"/>
      <c r="F140" s="70" t="s">
        <v>563</v>
      </c>
      <c r="G140" s="73"/>
      <c r="H140" s="76" t="s">
        <v>561</v>
      </c>
      <c r="I140" s="96" t="s">
        <v>541</v>
      </c>
      <c r="J140" s="96"/>
      <c r="K140" s="97">
        <v>0.02</v>
      </c>
      <c r="L140" s="97">
        <v>0.02</v>
      </c>
      <c r="M140" s="97">
        <v>5.0000000000000001E-3</v>
      </c>
      <c r="N140" s="97">
        <v>5.0000000000000001E-3</v>
      </c>
      <c r="O140" s="97">
        <v>5.0000000000000001E-3</v>
      </c>
      <c r="P140" s="97">
        <v>5.0000000000000001E-3</v>
      </c>
      <c r="Q140" s="76"/>
      <c r="R140" s="76" t="s">
        <v>562</v>
      </c>
      <c r="S140" s="76" t="s">
        <v>562</v>
      </c>
      <c r="T140" s="76"/>
      <c r="U140" s="260">
        <f t="shared" si="17"/>
        <v>0.02</v>
      </c>
      <c r="V140" s="260">
        <f t="shared" si="17"/>
        <v>0.02</v>
      </c>
      <c r="W140" s="260">
        <f t="shared" si="17"/>
        <v>0.02</v>
      </c>
      <c r="X140" s="260">
        <f t="shared" si="17"/>
        <v>0.02</v>
      </c>
      <c r="Y140" s="260">
        <f t="shared" si="17"/>
        <v>0.02</v>
      </c>
      <c r="Z140" s="260">
        <f t="shared" si="17"/>
        <v>0.02</v>
      </c>
      <c r="AA140" s="260">
        <f t="shared" si="17"/>
        <v>0.02</v>
      </c>
      <c r="AB140" s="260">
        <f t="shared" si="17"/>
        <v>0.02</v>
      </c>
      <c r="AC140" s="76"/>
      <c r="AD140" s="76"/>
      <c r="AE140" s="76"/>
      <c r="AF140" s="97">
        <v>1</v>
      </c>
      <c r="AG140" s="97">
        <v>1</v>
      </c>
      <c r="AH140" s="73"/>
      <c r="AI140" s="57"/>
      <c r="AJ140" s="45"/>
      <c r="AK140" s="45"/>
      <c r="AL140" s="45"/>
    </row>
    <row r="141" spans="1:38" hidden="1" outlineLevel="2" x14ac:dyDescent="0.35">
      <c r="A141" s="45"/>
      <c r="B141" s="54"/>
      <c r="C141" s="47">
        <f t="shared" si="16"/>
        <v>3</v>
      </c>
      <c r="D141" s="73"/>
      <c r="E141" s="70"/>
      <c r="F141" s="70" t="s">
        <v>564</v>
      </c>
      <c r="G141" s="73"/>
      <c r="H141" s="76" t="s">
        <v>561</v>
      </c>
      <c r="I141" s="96" t="s">
        <v>541</v>
      </c>
      <c r="J141" s="96"/>
      <c r="K141" s="97">
        <v>2E-3</v>
      </c>
      <c r="L141" s="97">
        <v>2E-3</v>
      </c>
      <c r="M141" s="97">
        <v>2E-3</v>
      </c>
      <c r="N141" s="97">
        <v>2E-3</v>
      </c>
      <c r="O141" s="97">
        <v>2E-3</v>
      </c>
      <c r="P141" s="97">
        <v>2E-3</v>
      </c>
      <c r="Q141" s="76"/>
      <c r="R141" s="76" t="s">
        <v>562</v>
      </c>
      <c r="S141" s="76" t="s">
        <v>562</v>
      </c>
      <c r="T141" s="76"/>
      <c r="U141" s="260">
        <f t="shared" si="17"/>
        <v>2E-3</v>
      </c>
      <c r="V141" s="260">
        <f t="shared" si="17"/>
        <v>2E-3</v>
      </c>
      <c r="W141" s="260">
        <f t="shared" si="17"/>
        <v>2E-3</v>
      </c>
      <c r="X141" s="260">
        <f t="shared" si="17"/>
        <v>2E-3</v>
      </c>
      <c r="Y141" s="260">
        <f t="shared" si="17"/>
        <v>2E-3</v>
      </c>
      <c r="Z141" s="260">
        <f t="shared" si="17"/>
        <v>2E-3</v>
      </c>
      <c r="AA141" s="260">
        <f t="shared" si="17"/>
        <v>2E-3</v>
      </c>
      <c r="AB141" s="260">
        <f t="shared" si="17"/>
        <v>2E-3</v>
      </c>
      <c r="AC141" s="76"/>
      <c r="AD141" s="76"/>
      <c r="AE141" s="76"/>
      <c r="AF141" s="97">
        <v>1</v>
      </c>
      <c r="AG141" s="97">
        <v>1</v>
      </c>
      <c r="AH141" s="73"/>
      <c r="AI141" s="57"/>
      <c r="AJ141" s="45"/>
      <c r="AK141" s="45"/>
      <c r="AL141" s="45"/>
    </row>
    <row r="142" spans="1:38" hidden="1" outlineLevel="2" collapsed="1" x14ac:dyDescent="0.35">
      <c r="A142" s="45"/>
      <c r="B142" s="54"/>
      <c r="C142" s="47">
        <f t="shared" si="16"/>
        <v>3</v>
      </c>
      <c r="D142" s="73"/>
      <c r="E142" s="70"/>
      <c r="F142" s="70" t="s">
        <v>565</v>
      </c>
      <c r="G142" s="73"/>
      <c r="H142" s="76" t="s">
        <v>566</v>
      </c>
      <c r="I142" s="96" t="s">
        <v>514</v>
      </c>
      <c r="J142" s="96"/>
      <c r="K142" s="97">
        <v>0.5</v>
      </c>
      <c r="L142" s="97">
        <v>0.5</v>
      </c>
      <c r="M142" s="97">
        <v>0.5</v>
      </c>
      <c r="N142" s="97">
        <v>0.5</v>
      </c>
      <c r="O142" s="97">
        <v>0.5</v>
      </c>
      <c r="P142" s="97">
        <v>0.5</v>
      </c>
      <c r="Q142" s="76"/>
      <c r="R142" s="76" t="s">
        <v>562</v>
      </c>
      <c r="S142" s="76" t="s">
        <v>562</v>
      </c>
      <c r="T142" s="76"/>
      <c r="U142" s="260">
        <f t="shared" si="17"/>
        <v>0.5</v>
      </c>
      <c r="V142" s="260">
        <f t="shared" si="17"/>
        <v>0.5</v>
      </c>
      <c r="W142" s="260">
        <f t="shared" si="17"/>
        <v>0.5</v>
      </c>
      <c r="X142" s="260">
        <f t="shared" si="17"/>
        <v>0.5</v>
      </c>
      <c r="Y142" s="260">
        <f t="shared" si="17"/>
        <v>0.5</v>
      </c>
      <c r="Z142" s="260">
        <f t="shared" si="17"/>
        <v>0.5</v>
      </c>
      <c r="AA142" s="260">
        <f t="shared" si="17"/>
        <v>0.5</v>
      </c>
      <c r="AB142" s="260">
        <f t="shared" si="17"/>
        <v>0.5</v>
      </c>
      <c r="AC142" s="76"/>
      <c r="AD142" s="76"/>
      <c r="AE142" s="76"/>
      <c r="AF142" s="97">
        <v>1</v>
      </c>
      <c r="AG142" s="97">
        <v>1</v>
      </c>
      <c r="AH142" s="73"/>
      <c r="AI142" s="57"/>
      <c r="AJ142" s="45"/>
      <c r="AK142" s="45"/>
      <c r="AL142" s="45"/>
    </row>
    <row r="143" spans="1:38" hidden="1" outlineLevel="3" x14ac:dyDescent="0.35">
      <c r="A143" s="45"/>
      <c r="B143" s="54"/>
      <c r="C143" s="47">
        <f t="shared" si="16"/>
        <v>3</v>
      </c>
      <c r="D143" s="73"/>
      <c r="E143" s="70"/>
      <c r="F143" s="70" t="s">
        <v>567</v>
      </c>
      <c r="G143" s="73"/>
      <c r="H143" s="76" t="s">
        <v>568</v>
      </c>
      <c r="I143" s="96" t="s">
        <v>514</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35">
      <c r="A144" s="45"/>
      <c r="B144" s="54"/>
      <c r="C144" s="47">
        <f t="shared" si="16"/>
        <v>3</v>
      </c>
      <c r="D144" s="73"/>
      <c r="E144" s="70"/>
      <c r="F144" s="70" t="s">
        <v>569</v>
      </c>
      <c r="G144" s="73"/>
      <c r="H144" s="76" t="s">
        <v>570</v>
      </c>
      <c r="I144" s="96" t="s">
        <v>514</v>
      </c>
      <c r="J144" s="96"/>
      <c r="K144" s="97">
        <v>0.01</v>
      </c>
      <c r="L144" s="97">
        <v>0.01</v>
      </c>
      <c r="M144" s="97">
        <v>0.01</v>
      </c>
      <c r="N144" s="97">
        <v>0.01</v>
      </c>
      <c r="O144" s="97">
        <v>0.01</v>
      </c>
      <c r="P144" s="97">
        <v>0.01</v>
      </c>
      <c r="Q144" s="76"/>
      <c r="R144" s="76" t="s">
        <v>571</v>
      </c>
      <c r="S144" s="76" t="s">
        <v>571</v>
      </c>
      <c r="T144" s="76"/>
      <c r="U144" s="260">
        <f t="shared" ref="U144:AB145" si="18">INDEX($K144:$Q144,1,U$43)</f>
        <v>0.01</v>
      </c>
      <c r="V144" s="260">
        <f t="shared" si="18"/>
        <v>0.01</v>
      </c>
      <c r="W144" s="260">
        <f t="shared" si="18"/>
        <v>0.01</v>
      </c>
      <c r="X144" s="260">
        <f t="shared" si="18"/>
        <v>0.01</v>
      </c>
      <c r="Y144" s="260">
        <f t="shared" si="18"/>
        <v>0.01</v>
      </c>
      <c r="Z144" s="260">
        <f t="shared" si="18"/>
        <v>0.01</v>
      </c>
      <c r="AA144" s="260">
        <f t="shared" si="18"/>
        <v>0.01</v>
      </c>
      <c r="AB144" s="260">
        <f t="shared" si="18"/>
        <v>0.01</v>
      </c>
      <c r="AC144" s="76"/>
      <c r="AD144" s="76"/>
      <c r="AE144" s="76"/>
      <c r="AF144" s="97">
        <v>1</v>
      </c>
      <c r="AG144" s="97">
        <v>1</v>
      </c>
      <c r="AH144" s="73"/>
      <c r="AI144" s="57"/>
      <c r="AJ144" s="45"/>
      <c r="AK144" s="45"/>
      <c r="AL144" s="45"/>
    </row>
    <row r="145" spans="1:38" hidden="1" outlineLevel="2" collapsed="1" x14ac:dyDescent="0.35">
      <c r="A145" s="45"/>
      <c r="B145" s="54"/>
      <c r="C145" s="47">
        <f t="shared" si="16"/>
        <v>3</v>
      </c>
      <c r="D145" s="73"/>
      <c r="E145" s="70"/>
      <c r="F145" s="70" t="s">
        <v>572</v>
      </c>
      <c r="G145" s="73"/>
      <c r="H145" s="76" t="s">
        <v>573</v>
      </c>
      <c r="I145" s="96" t="s">
        <v>514</v>
      </c>
      <c r="J145" s="96"/>
      <c r="K145" s="97">
        <v>20</v>
      </c>
      <c r="L145" s="97">
        <v>20</v>
      </c>
      <c r="M145" s="97">
        <v>20</v>
      </c>
      <c r="N145" s="97">
        <v>20</v>
      </c>
      <c r="O145" s="97">
        <v>20</v>
      </c>
      <c r="P145" s="97">
        <v>20</v>
      </c>
      <c r="Q145" s="76"/>
      <c r="R145" s="76" t="s">
        <v>571</v>
      </c>
      <c r="S145" s="76" t="s">
        <v>571</v>
      </c>
      <c r="T145" s="76"/>
      <c r="U145" s="260">
        <f t="shared" si="18"/>
        <v>20</v>
      </c>
      <c r="V145" s="260">
        <f t="shared" si="18"/>
        <v>20</v>
      </c>
      <c r="W145" s="260">
        <f t="shared" si="18"/>
        <v>20</v>
      </c>
      <c r="X145" s="260">
        <f t="shared" si="18"/>
        <v>20</v>
      </c>
      <c r="Y145" s="260">
        <f t="shared" si="18"/>
        <v>20</v>
      </c>
      <c r="Z145" s="260">
        <f t="shared" si="18"/>
        <v>20</v>
      </c>
      <c r="AA145" s="260">
        <f t="shared" si="18"/>
        <v>20</v>
      </c>
      <c r="AB145" s="260">
        <f t="shared" si="18"/>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574</v>
      </c>
      <c r="G146" s="73"/>
      <c r="H146" s="76" t="s">
        <v>575</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35">
      <c r="A147" s="45"/>
      <c r="B147" s="54"/>
      <c r="C147" s="47">
        <f>INT($C$29)+2</f>
        <v>3</v>
      </c>
      <c r="D147" s="73"/>
      <c r="E147" s="70"/>
      <c r="F147" s="70" t="s">
        <v>576</v>
      </c>
      <c r="G147" s="73"/>
      <c r="H147" s="76" t="s">
        <v>577</v>
      </c>
      <c r="I147" s="96" t="s">
        <v>514</v>
      </c>
      <c r="J147" s="96"/>
      <c r="K147" s="97">
        <v>1.5</v>
      </c>
      <c r="L147" s="97">
        <v>1.7</v>
      </c>
      <c r="M147" s="97">
        <v>1.5</v>
      </c>
      <c r="N147" s="97">
        <v>1.5</v>
      </c>
      <c r="O147" s="97">
        <v>1.5</v>
      </c>
      <c r="P147" s="97">
        <v>1.5</v>
      </c>
      <c r="Q147" s="76"/>
      <c r="R147" s="76" t="s">
        <v>2323</v>
      </c>
      <c r="S147" s="76" t="s">
        <v>562</v>
      </c>
      <c r="T147" s="76"/>
      <c r="U147" s="260">
        <f t="shared" ref="U147:AB148" si="19">INDEX($K147:$Q147,1,U$43)</f>
        <v>1.5</v>
      </c>
      <c r="V147" s="260">
        <f t="shared" si="19"/>
        <v>1.5</v>
      </c>
      <c r="W147" s="260">
        <f t="shared" si="19"/>
        <v>1.5</v>
      </c>
      <c r="X147" s="260">
        <f t="shared" si="19"/>
        <v>1.7</v>
      </c>
      <c r="Y147" s="260">
        <f t="shared" si="19"/>
        <v>1.7</v>
      </c>
      <c r="Z147" s="260">
        <f t="shared" si="19"/>
        <v>1.7</v>
      </c>
      <c r="AA147" s="260">
        <f t="shared" si="19"/>
        <v>1.7</v>
      </c>
      <c r="AB147" s="260">
        <f t="shared" si="19"/>
        <v>1.7</v>
      </c>
      <c r="AC147" s="76"/>
      <c r="AD147" s="76"/>
      <c r="AE147" s="76"/>
      <c r="AF147" s="97">
        <v>1</v>
      </c>
      <c r="AG147" s="97">
        <v>1</v>
      </c>
      <c r="AH147" s="73"/>
      <c r="AI147" s="57"/>
      <c r="AJ147" s="45"/>
      <c r="AK147" s="45"/>
      <c r="AL147" s="45"/>
    </row>
    <row r="148" spans="1:38" hidden="1" outlineLevel="2" x14ac:dyDescent="0.35">
      <c r="A148" s="45"/>
      <c r="B148" s="54"/>
      <c r="C148" s="47">
        <f>INT($C$29)+2</f>
        <v>3</v>
      </c>
      <c r="D148" s="73"/>
      <c r="E148" s="70"/>
      <c r="F148" s="70" t="s">
        <v>578</v>
      </c>
      <c r="G148" s="73"/>
      <c r="H148" s="76" t="s">
        <v>579</v>
      </c>
      <c r="I148" s="96" t="s">
        <v>514</v>
      </c>
      <c r="J148" s="96"/>
      <c r="K148" s="97">
        <v>3</v>
      </c>
      <c r="L148" s="97">
        <v>3</v>
      </c>
      <c r="M148" s="97">
        <v>3</v>
      </c>
      <c r="N148" s="97">
        <v>3</v>
      </c>
      <c r="O148" s="97">
        <v>3</v>
      </c>
      <c r="P148" s="97">
        <v>3</v>
      </c>
      <c r="Q148" s="76"/>
      <c r="R148" s="76"/>
      <c r="S148" s="76" t="s">
        <v>518</v>
      </c>
      <c r="T148" s="76"/>
      <c r="U148" s="260">
        <f t="shared" si="19"/>
        <v>3</v>
      </c>
      <c r="V148" s="260">
        <f t="shared" si="19"/>
        <v>3</v>
      </c>
      <c r="W148" s="260">
        <f t="shared" si="19"/>
        <v>3</v>
      </c>
      <c r="X148" s="260">
        <f t="shared" si="19"/>
        <v>3</v>
      </c>
      <c r="Y148" s="260">
        <f t="shared" si="19"/>
        <v>3</v>
      </c>
      <c r="Z148" s="260">
        <f t="shared" si="19"/>
        <v>3</v>
      </c>
      <c r="AA148" s="260">
        <f t="shared" si="19"/>
        <v>3</v>
      </c>
      <c r="AB148" s="260">
        <f t="shared" si="19"/>
        <v>3</v>
      </c>
      <c r="AC148" s="76"/>
      <c r="AD148" s="76"/>
      <c r="AE148" s="76"/>
      <c r="AF148" s="97">
        <v>1</v>
      </c>
      <c r="AG148" s="97">
        <v>1</v>
      </c>
      <c r="AH148" s="73"/>
      <c r="AI148" s="57"/>
      <c r="AJ148" s="45"/>
      <c r="AK148" s="45"/>
      <c r="AL148" s="45"/>
    </row>
    <row r="149" spans="1:38" outlineLevel="1" collapsed="1" x14ac:dyDescent="0.35">
      <c r="A149" s="45"/>
      <c r="B149" s="54"/>
      <c r="C149" s="47">
        <f>INT($C$29)+1</f>
        <v>2</v>
      </c>
      <c r="D149" s="73"/>
      <c r="E149" s="70"/>
      <c r="F149" s="263" t="s">
        <v>580</v>
      </c>
      <c r="G149" s="73"/>
      <c r="H149" s="253" t="s">
        <v>581</v>
      </c>
      <c r="I149" s="96"/>
      <c r="J149" s="96" t="s">
        <v>531</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582</v>
      </c>
      <c r="F150" s="70" t="s">
        <v>583</v>
      </c>
      <c r="G150" s="73"/>
      <c r="H150" s="76" t="s">
        <v>507</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35">
      <c r="A151" s="45"/>
      <c r="B151" s="54"/>
      <c r="C151" s="47">
        <f t="shared" ref="C151:C164" si="20">INT($C$29)+2</f>
        <v>3</v>
      </c>
      <c r="D151" s="73"/>
      <c r="E151" s="70"/>
      <c r="F151" s="70" t="s">
        <v>584</v>
      </c>
      <c r="G151" s="73"/>
      <c r="H151" s="76" t="s">
        <v>585</v>
      </c>
      <c r="I151" s="96" t="s">
        <v>586</v>
      </c>
      <c r="J151" s="96"/>
      <c r="K151" s="97">
        <v>0.8</v>
      </c>
      <c r="L151" s="97">
        <v>0.8</v>
      </c>
      <c r="M151" s="97">
        <v>0.8</v>
      </c>
      <c r="N151" s="97">
        <v>0.8</v>
      </c>
      <c r="O151" s="97">
        <v>0.8</v>
      </c>
      <c r="P151" s="97">
        <v>0.8</v>
      </c>
      <c r="Q151" s="76"/>
      <c r="R151" s="76" t="s">
        <v>524</v>
      </c>
      <c r="S151" s="76" t="s">
        <v>524</v>
      </c>
      <c r="T151" s="76"/>
      <c r="U151" s="260">
        <f t="shared" ref="U151:AB164" si="21">INDEX($K151:$Q151,1,U$43)</f>
        <v>0.8</v>
      </c>
      <c r="V151" s="260">
        <f t="shared" si="21"/>
        <v>0.8</v>
      </c>
      <c r="W151" s="260">
        <f t="shared" si="21"/>
        <v>0.8</v>
      </c>
      <c r="X151" s="260">
        <f t="shared" si="21"/>
        <v>0.8</v>
      </c>
      <c r="Y151" s="260">
        <f t="shared" si="21"/>
        <v>0.8</v>
      </c>
      <c r="Z151" s="260">
        <f t="shared" si="21"/>
        <v>0.8</v>
      </c>
      <c r="AA151" s="260">
        <f t="shared" si="21"/>
        <v>0.8</v>
      </c>
      <c r="AB151" s="260">
        <f t="shared" si="21"/>
        <v>0.8</v>
      </c>
      <c r="AC151" s="76"/>
      <c r="AD151" s="76"/>
      <c r="AE151" s="76"/>
      <c r="AF151" s="97">
        <v>1</v>
      </c>
      <c r="AG151" s="97">
        <v>1</v>
      </c>
      <c r="AH151" s="73"/>
      <c r="AI151" s="57"/>
      <c r="AJ151" s="45"/>
      <c r="AK151" s="45"/>
      <c r="AL151" s="45"/>
    </row>
    <row r="152" spans="1:38" hidden="1" outlineLevel="2" x14ac:dyDescent="0.35">
      <c r="A152" s="45"/>
      <c r="B152" s="54"/>
      <c r="C152" s="47">
        <f t="shared" si="20"/>
        <v>3</v>
      </c>
      <c r="D152" s="73"/>
      <c r="E152" s="70"/>
      <c r="F152" s="70" t="s">
        <v>587</v>
      </c>
      <c r="G152" s="73"/>
      <c r="H152" s="76" t="s">
        <v>588</v>
      </c>
      <c r="I152" s="96" t="s">
        <v>514</v>
      </c>
      <c r="J152" s="96"/>
      <c r="K152" s="97">
        <v>0.17</v>
      </c>
      <c r="L152" s="97">
        <v>0.17</v>
      </c>
      <c r="M152" s="97">
        <v>0.17</v>
      </c>
      <c r="N152" s="97">
        <v>0.17</v>
      </c>
      <c r="O152" s="97">
        <v>0.17</v>
      </c>
      <c r="P152" s="97">
        <v>0.17</v>
      </c>
      <c r="Q152" s="76"/>
      <c r="R152" s="76" t="s">
        <v>524</v>
      </c>
      <c r="S152" s="76" t="s">
        <v>524</v>
      </c>
      <c r="T152" s="76"/>
      <c r="U152" s="260">
        <f t="shared" si="21"/>
        <v>0.17</v>
      </c>
      <c r="V152" s="260">
        <f t="shared" si="21"/>
        <v>0.17</v>
      </c>
      <c r="W152" s="260">
        <f t="shared" si="21"/>
        <v>0.17</v>
      </c>
      <c r="X152" s="260">
        <f t="shared" si="21"/>
        <v>0.17</v>
      </c>
      <c r="Y152" s="260">
        <f t="shared" si="21"/>
        <v>0.17</v>
      </c>
      <c r="Z152" s="260">
        <f t="shared" si="21"/>
        <v>0.17</v>
      </c>
      <c r="AA152" s="260">
        <f t="shared" si="21"/>
        <v>0.17</v>
      </c>
      <c r="AB152" s="260">
        <f t="shared" si="21"/>
        <v>0.17</v>
      </c>
      <c r="AC152" s="76"/>
      <c r="AD152" s="76"/>
      <c r="AE152" s="76"/>
      <c r="AF152" s="97">
        <v>1</v>
      </c>
      <c r="AG152" s="97">
        <v>1</v>
      </c>
      <c r="AH152" s="73"/>
      <c r="AI152" s="57"/>
      <c r="AJ152" s="45"/>
      <c r="AK152" s="45"/>
      <c r="AL152" s="45"/>
    </row>
    <row r="153" spans="1:38" hidden="1" outlineLevel="2" x14ac:dyDescent="0.35">
      <c r="A153" s="45"/>
      <c r="B153" s="54"/>
      <c r="C153" s="47">
        <f t="shared" si="20"/>
        <v>3</v>
      </c>
      <c r="D153" s="73"/>
      <c r="E153" s="70"/>
      <c r="F153" s="70" t="s">
        <v>589</v>
      </c>
      <c r="G153" s="73"/>
      <c r="H153" s="76" t="s">
        <v>590</v>
      </c>
      <c r="I153" s="96" t="s">
        <v>514</v>
      </c>
      <c r="J153" s="96"/>
      <c r="K153" s="97">
        <v>1.7</v>
      </c>
      <c r="L153" s="97">
        <v>1.7</v>
      </c>
      <c r="M153" s="97">
        <v>1.7</v>
      </c>
      <c r="N153" s="97">
        <v>1.7</v>
      </c>
      <c r="O153" s="97">
        <v>1.7</v>
      </c>
      <c r="P153" s="97">
        <v>1.7</v>
      </c>
      <c r="Q153" s="76"/>
      <c r="R153" s="76" t="s">
        <v>524</v>
      </c>
      <c r="S153" s="76" t="s">
        <v>524</v>
      </c>
      <c r="T153" s="76"/>
      <c r="U153" s="260">
        <f t="shared" si="21"/>
        <v>1.7</v>
      </c>
      <c r="V153" s="260">
        <f t="shared" si="21"/>
        <v>1.7</v>
      </c>
      <c r="W153" s="260">
        <f t="shared" si="21"/>
        <v>1.7</v>
      </c>
      <c r="X153" s="260">
        <f t="shared" si="21"/>
        <v>1.7</v>
      </c>
      <c r="Y153" s="260">
        <f t="shared" si="21"/>
        <v>1.7</v>
      </c>
      <c r="Z153" s="260">
        <f t="shared" si="21"/>
        <v>1.7</v>
      </c>
      <c r="AA153" s="260">
        <f t="shared" si="21"/>
        <v>1.7</v>
      </c>
      <c r="AB153" s="260">
        <f t="shared" si="21"/>
        <v>1.7</v>
      </c>
      <c r="AC153" s="76"/>
      <c r="AD153" s="76"/>
      <c r="AE153" s="76"/>
      <c r="AF153" s="97">
        <v>1</v>
      </c>
      <c r="AG153" s="97">
        <v>1</v>
      </c>
      <c r="AH153" s="73"/>
      <c r="AI153" s="57"/>
      <c r="AJ153" s="45"/>
      <c r="AK153" s="45"/>
      <c r="AL153" s="45"/>
    </row>
    <row r="154" spans="1:38" hidden="1" outlineLevel="2" x14ac:dyDescent="0.35">
      <c r="A154" s="45"/>
      <c r="B154" s="54"/>
      <c r="C154" s="47">
        <f t="shared" si="20"/>
        <v>3</v>
      </c>
      <c r="D154" s="73"/>
      <c r="E154" s="70"/>
      <c r="F154" s="70" t="s">
        <v>591</v>
      </c>
      <c r="G154" s="73"/>
      <c r="H154" s="76" t="s">
        <v>592</v>
      </c>
      <c r="I154" s="96" t="s">
        <v>558</v>
      </c>
      <c r="J154" s="96"/>
      <c r="K154" s="97">
        <v>1.1199999999999999E-3</v>
      </c>
      <c r="L154" s="97">
        <v>1.1199999999999999E-3</v>
      </c>
      <c r="M154" s="97">
        <v>7.7999999999999999E-4</v>
      </c>
      <c r="N154" s="97">
        <v>7.7999999999999999E-4</v>
      </c>
      <c r="O154" s="97">
        <v>7.7999999999999999E-4</v>
      </c>
      <c r="P154" s="97">
        <v>7.7999999999999999E-4</v>
      </c>
      <c r="Q154" s="76"/>
      <c r="R154" s="76" t="s">
        <v>524</v>
      </c>
      <c r="S154" s="76" t="s">
        <v>524</v>
      </c>
      <c r="T154" s="76"/>
      <c r="U154" s="260">
        <f t="shared" si="21"/>
        <v>1.1199999999999999E-3</v>
      </c>
      <c r="V154" s="260">
        <f t="shared" si="21"/>
        <v>1.1199999999999999E-3</v>
      </c>
      <c r="W154" s="260">
        <f t="shared" si="21"/>
        <v>1.1199999999999999E-3</v>
      </c>
      <c r="X154" s="260">
        <f t="shared" si="21"/>
        <v>1.1199999999999999E-3</v>
      </c>
      <c r="Y154" s="260">
        <f t="shared" si="21"/>
        <v>1.1199999999999999E-3</v>
      </c>
      <c r="Z154" s="260">
        <f t="shared" si="21"/>
        <v>1.1199999999999999E-3</v>
      </c>
      <c r="AA154" s="260">
        <f t="shared" si="21"/>
        <v>1.1199999999999999E-3</v>
      </c>
      <c r="AB154" s="260">
        <f t="shared" si="21"/>
        <v>1.1199999999999999E-3</v>
      </c>
      <c r="AC154" s="76"/>
      <c r="AD154" s="76"/>
      <c r="AE154" s="76"/>
      <c r="AF154" s="97">
        <v>1</v>
      </c>
      <c r="AG154" s="97">
        <v>1</v>
      </c>
      <c r="AH154" s="73"/>
      <c r="AI154" s="57"/>
      <c r="AJ154" s="45"/>
      <c r="AK154" s="45"/>
      <c r="AL154" s="45"/>
    </row>
    <row r="155" spans="1:38" hidden="1" outlineLevel="2" x14ac:dyDescent="0.35">
      <c r="A155" s="45"/>
      <c r="B155" s="54"/>
      <c r="C155" s="47">
        <f t="shared" si="20"/>
        <v>3</v>
      </c>
      <c r="D155" s="73"/>
      <c r="E155" s="70"/>
      <c r="F155" s="70" t="s">
        <v>593</v>
      </c>
      <c r="G155" s="73"/>
      <c r="H155" s="76" t="s">
        <v>594</v>
      </c>
      <c r="I155" s="96" t="s">
        <v>514</v>
      </c>
      <c r="J155" s="96"/>
      <c r="K155" s="97">
        <v>0.6</v>
      </c>
      <c r="L155" s="97">
        <v>0.6</v>
      </c>
      <c r="M155" s="97">
        <v>0.6</v>
      </c>
      <c r="N155" s="97">
        <v>0.6</v>
      </c>
      <c r="O155" s="97">
        <v>0.6</v>
      </c>
      <c r="P155" s="97">
        <v>0.6</v>
      </c>
      <c r="Q155" s="76"/>
      <c r="R155" s="76" t="s">
        <v>524</v>
      </c>
      <c r="S155" s="76" t="s">
        <v>524</v>
      </c>
      <c r="T155" s="76"/>
      <c r="U155" s="260">
        <f t="shared" si="21"/>
        <v>0.6</v>
      </c>
      <c r="V155" s="260">
        <f t="shared" si="21"/>
        <v>0.6</v>
      </c>
      <c r="W155" s="260">
        <f t="shared" si="21"/>
        <v>0.6</v>
      </c>
      <c r="X155" s="260">
        <f t="shared" si="21"/>
        <v>0.6</v>
      </c>
      <c r="Y155" s="260">
        <f t="shared" si="21"/>
        <v>0.6</v>
      </c>
      <c r="Z155" s="260">
        <f t="shared" si="21"/>
        <v>0.6</v>
      </c>
      <c r="AA155" s="260">
        <f t="shared" si="21"/>
        <v>0.6</v>
      </c>
      <c r="AB155" s="260">
        <f t="shared" si="21"/>
        <v>0.6</v>
      </c>
      <c r="AC155" s="76"/>
      <c r="AD155" s="76"/>
      <c r="AE155" s="76"/>
      <c r="AF155" s="97">
        <v>1</v>
      </c>
      <c r="AG155" s="97">
        <v>1</v>
      </c>
      <c r="AH155" s="73"/>
      <c r="AI155" s="57"/>
      <c r="AJ155" s="45"/>
      <c r="AK155" s="45"/>
      <c r="AL155" s="45"/>
    </row>
    <row r="156" spans="1:38" hidden="1" outlineLevel="2" x14ac:dyDescent="0.35">
      <c r="A156" s="45"/>
      <c r="B156" s="54"/>
      <c r="C156" s="47">
        <f t="shared" si="20"/>
        <v>3</v>
      </c>
      <c r="D156" s="73"/>
      <c r="E156" s="70"/>
      <c r="F156" s="70" t="s">
        <v>595</v>
      </c>
      <c r="G156" s="73"/>
      <c r="H156" s="76" t="s">
        <v>596</v>
      </c>
      <c r="I156" s="96" t="s">
        <v>558</v>
      </c>
      <c r="J156" s="96"/>
      <c r="K156" s="97">
        <v>1.1199999999999999E-3</v>
      </c>
      <c r="L156" s="97">
        <v>1.1199999999999999E-3</v>
      </c>
      <c r="M156" s="97">
        <v>7.3999999999999999E-4</v>
      </c>
      <c r="N156" s="97">
        <v>7.3999999999999999E-4</v>
      </c>
      <c r="O156" s="97">
        <v>7.3999999999999999E-4</v>
      </c>
      <c r="P156" s="97">
        <v>7.3999999999999999E-4</v>
      </c>
      <c r="Q156" s="76"/>
      <c r="R156" s="76" t="s">
        <v>524</v>
      </c>
      <c r="S156" s="76" t="s">
        <v>524</v>
      </c>
      <c r="T156" s="76"/>
      <c r="U156" s="260">
        <f t="shared" si="21"/>
        <v>1.1199999999999999E-3</v>
      </c>
      <c r="V156" s="260">
        <f t="shared" si="21"/>
        <v>1.1199999999999999E-3</v>
      </c>
      <c r="W156" s="260">
        <f t="shared" si="21"/>
        <v>1.1199999999999999E-3</v>
      </c>
      <c r="X156" s="260">
        <f t="shared" si="21"/>
        <v>1.1199999999999999E-3</v>
      </c>
      <c r="Y156" s="260">
        <f t="shared" si="21"/>
        <v>1.1199999999999999E-3</v>
      </c>
      <c r="Z156" s="260">
        <f t="shared" si="21"/>
        <v>1.1199999999999999E-3</v>
      </c>
      <c r="AA156" s="260">
        <f t="shared" si="21"/>
        <v>1.1199999999999999E-3</v>
      </c>
      <c r="AB156" s="260">
        <f t="shared" si="21"/>
        <v>1.1199999999999999E-3</v>
      </c>
      <c r="AC156" s="76"/>
      <c r="AD156" s="76"/>
      <c r="AE156" s="76"/>
      <c r="AF156" s="97">
        <v>1</v>
      </c>
      <c r="AG156" s="97">
        <v>1</v>
      </c>
      <c r="AH156" s="73"/>
      <c r="AI156" s="57"/>
      <c r="AJ156" s="45"/>
      <c r="AK156" s="45"/>
      <c r="AL156" s="45"/>
    </row>
    <row r="157" spans="1:38" hidden="1" outlineLevel="2" x14ac:dyDescent="0.35">
      <c r="A157" s="45"/>
      <c r="B157" s="54"/>
      <c r="C157" s="47">
        <f t="shared" si="20"/>
        <v>3</v>
      </c>
      <c r="D157" s="73"/>
      <c r="E157" s="70"/>
      <c r="F157" s="70" t="s">
        <v>597</v>
      </c>
      <c r="G157" s="73"/>
      <c r="H157" s="76" t="s">
        <v>598</v>
      </c>
      <c r="I157" s="96" t="s">
        <v>514</v>
      </c>
      <c r="J157" s="96"/>
      <c r="K157" s="97">
        <v>0</v>
      </c>
      <c r="L157" s="97">
        <v>0</v>
      </c>
      <c r="M157" s="97">
        <v>0.5</v>
      </c>
      <c r="N157" s="97">
        <v>0.5</v>
      </c>
      <c r="O157" s="97">
        <v>0.5</v>
      </c>
      <c r="P157" s="97">
        <v>0.5</v>
      </c>
      <c r="Q157" s="76"/>
      <c r="R157" s="76"/>
      <c r="S157" s="76" t="s">
        <v>599</v>
      </c>
      <c r="T157" s="76"/>
      <c r="U157" s="260">
        <f t="shared" si="21"/>
        <v>0</v>
      </c>
      <c r="V157" s="260">
        <f t="shared" si="21"/>
        <v>0</v>
      </c>
      <c r="W157" s="260">
        <f t="shared" si="21"/>
        <v>0</v>
      </c>
      <c r="X157" s="260">
        <f t="shared" si="21"/>
        <v>0</v>
      </c>
      <c r="Y157" s="260">
        <f t="shared" si="21"/>
        <v>0</v>
      </c>
      <c r="Z157" s="260">
        <f t="shared" si="21"/>
        <v>0</v>
      </c>
      <c r="AA157" s="260">
        <f t="shared" si="21"/>
        <v>0</v>
      </c>
      <c r="AB157" s="260">
        <f t="shared" si="21"/>
        <v>0</v>
      </c>
      <c r="AC157" s="76"/>
      <c r="AD157" s="76"/>
      <c r="AE157" s="76"/>
      <c r="AF157" s="97">
        <v>1</v>
      </c>
      <c r="AG157" s="97">
        <v>1</v>
      </c>
      <c r="AH157" s="73"/>
      <c r="AI157" s="57"/>
      <c r="AJ157" s="45"/>
      <c r="AK157" s="45"/>
      <c r="AL157" s="45"/>
    </row>
    <row r="158" spans="1:38" hidden="1" outlineLevel="2" x14ac:dyDescent="0.35">
      <c r="A158" s="45"/>
      <c r="B158" s="54"/>
      <c r="C158" s="47">
        <f t="shared" si="20"/>
        <v>3</v>
      </c>
      <c r="D158" s="73"/>
      <c r="E158" s="70"/>
      <c r="F158" s="70" t="s">
        <v>600</v>
      </c>
      <c r="G158" s="73"/>
      <c r="H158" s="76" t="s">
        <v>601</v>
      </c>
      <c r="I158" s="96" t="s">
        <v>543</v>
      </c>
      <c r="J158" s="96"/>
      <c r="K158" s="76"/>
      <c r="L158" s="76"/>
      <c r="M158" s="97">
        <v>64</v>
      </c>
      <c r="N158" s="97">
        <v>64</v>
      </c>
      <c r="O158" s="97">
        <v>64</v>
      </c>
      <c r="P158" s="97">
        <v>150</v>
      </c>
      <c r="Q158" s="76"/>
      <c r="R158" s="76"/>
      <c r="S158" s="76" t="s">
        <v>599</v>
      </c>
      <c r="T158" s="76"/>
      <c r="U158" s="260">
        <f t="shared" si="21"/>
        <v>0</v>
      </c>
      <c r="V158" s="260">
        <f t="shared" si="21"/>
        <v>0</v>
      </c>
      <c r="W158" s="260">
        <f t="shared" si="21"/>
        <v>0</v>
      </c>
      <c r="X158" s="260">
        <f t="shared" si="21"/>
        <v>0</v>
      </c>
      <c r="Y158" s="260">
        <f t="shared" si="21"/>
        <v>0</v>
      </c>
      <c r="Z158" s="260">
        <f t="shared" si="21"/>
        <v>0</v>
      </c>
      <c r="AA158" s="260">
        <f t="shared" si="21"/>
        <v>0</v>
      </c>
      <c r="AB158" s="260">
        <f t="shared" si="21"/>
        <v>0</v>
      </c>
      <c r="AC158" s="76"/>
      <c r="AD158" s="76"/>
      <c r="AE158" s="76"/>
      <c r="AF158" s="97">
        <v>1</v>
      </c>
      <c r="AG158" s="97">
        <v>1</v>
      </c>
      <c r="AH158" s="73"/>
      <c r="AI158" s="57"/>
      <c r="AJ158" s="45"/>
      <c r="AK158" s="45"/>
      <c r="AL158" s="45"/>
    </row>
    <row r="159" spans="1:38" hidden="1" outlineLevel="2" x14ac:dyDescent="0.35">
      <c r="A159" s="45"/>
      <c r="B159" s="54"/>
      <c r="C159" s="47">
        <f t="shared" si="20"/>
        <v>3</v>
      </c>
      <c r="D159" s="73"/>
      <c r="E159" s="70"/>
      <c r="F159" s="70" t="s">
        <v>602</v>
      </c>
      <c r="G159" s="73"/>
      <c r="H159" s="76" t="s">
        <v>603</v>
      </c>
      <c r="I159" s="96" t="s">
        <v>514</v>
      </c>
      <c r="J159" s="96"/>
      <c r="K159" s="76"/>
      <c r="L159" s="76"/>
      <c r="M159" s="97">
        <v>1.7</v>
      </c>
      <c r="N159" s="97">
        <v>1.7</v>
      </c>
      <c r="O159" s="97">
        <v>1.7</v>
      </c>
      <c r="P159" s="97">
        <v>1.7</v>
      </c>
      <c r="Q159" s="76"/>
      <c r="R159" s="76"/>
      <c r="S159" s="76" t="s">
        <v>599</v>
      </c>
      <c r="T159" s="76"/>
      <c r="U159" s="260">
        <f t="shared" si="21"/>
        <v>0</v>
      </c>
      <c r="V159" s="260">
        <f t="shared" si="21"/>
        <v>0</v>
      </c>
      <c r="W159" s="260">
        <f t="shared" si="21"/>
        <v>0</v>
      </c>
      <c r="X159" s="260">
        <f t="shared" si="21"/>
        <v>0</v>
      </c>
      <c r="Y159" s="260">
        <f t="shared" si="21"/>
        <v>0</v>
      </c>
      <c r="Z159" s="260">
        <f t="shared" si="21"/>
        <v>0</v>
      </c>
      <c r="AA159" s="260">
        <f t="shared" si="21"/>
        <v>0</v>
      </c>
      <c r="AB159" s="260">
        <f t="shared" si="21"/>
        <v>0</v>
      </c>
      <c r="AC159" s="76"/>
      <c r="AD159" s="76"/>
      <c r="AE159" s="76"/>
      <c r="AF159" s="97">
        <v>1</v>
      </c>
      <c r="AG159" s="97">
        <v>1</v>
      </c>
      <c r="AH159" s="73"/>
      <c r="AI159" s="57"/>
      <c r="AJ159" s="45"/>
      <c r="AK159" s="45"/>
      <c r="AL159" s="45"/>
    </row>
    <row r="160" spans="1:38" hidden="1" outlineLevel="2" x14ac:dyDescent="0.35">
      <c r="A160" s="45"/>
      <c r="B160" s="54"/>
      <c r="C160" s="47">
        <f t="shared" si="20"/>
        <v>3</v>
      </c>
      <c r="D160" s="73"/>
      <c r="E160" s="70"/>
      <c r="F160" s="70" t="s">
        <v>604</v>
      </c>
      <c r="G160" s="73"/>
      <c r="H160" s="76" t="s">
        <v>603</v>
      </c>
      <c r="I160" s="96" t="s">
        <v>514</v>
      </c>
      <c r="J160" s="96"/>
      <c r="K160" s="76"/>
      <c r="L160" s="76"/>
      <c r="M160" s="97">
        <v>0.1</v>
      </c>
      <c r="N160" s="97">
        <v>0.1</v>
      </c>
      <c r="O160" s="97">
        <v>0.1</v>
      </c>
      <c r="P160" s="97">
        <v>0.1</v>
      </c>
      <c r="Q160" s="76"/>
      <c r="R160" s="76"/>
      <c r="S160" s="76" t="s">
        <v>599</v>
      </c>
      <c r="T160" s="76"/>
      <c r="U160" s="260">
        <f t="shared" si="21"/>
        <v>0</v>
      </c>
      <c r="V160" s="260">
        <f t="shared" si="21"/>
        <v>0</v>
      </c>
      <c r="W160" s="260">
        <f t="shared" si="21"/>
        <v>0</v>
      </c>
      <c r="X160" s="260">
        <f t="shared" si="21"/>
        <v>0</v>
      </c>
      <c r="Y160" s="260">
        <f t="shared" si="21"/>
        <v>0</v>
      </c>
      <c r="Z160" s="260">
        <f t="shared" si="21"/>
        <v>0</v>
      </c>
      <c r="AA160" s="260">
        <f t="shared" si="21"/>
        <v>0</v>
      </c>
      <c r="AB160" s="260">
        <f t="shared" si="21"/>
        <v>0</v>
      </c>
      <c r="AC160" s="76"/>
      <c r="AD160" s="76"/>
      <c r="AE160" s="76"/>
      <c r="AF160" s="97">
        <v>1</v>
      </c>
      <c r="AG160" s="97">
        <v>1</v>
      </c>
      <c r="AH160" s="73"/>
      <c r="AI160" s="57"/>
      <c r="AJ160" s="45"/>
      <c r="AK160" s="45"/>
      <c r="AL160" s="45"/>
    </row>
    <row r="161" spans="1:38" hidden="1" outlineLevel="2" x14ac:dyDescent="0.35">
      <c r="A161" s="45"/>
      <c r="B161" s="54"/>
      <c r="C161" s="47">
        <f t="shared" si="20"/>
        <v>3</v>
      </c>
      <c r="D161" s="73"/>
      <c r="E161" s="70"/>
      <c r="F161" s="70" t="s">
        <v>605</v>
      </c>
      <c r="G161" s="73"/>
      <c r="H161" s="76" t="s">
        <v>606</v>
      </c>
      <c r="I161" s="96" t="s">
        <v>607</v>
      </c>
      <c r="J161" s="96"/>
      <c r="K161" s="97">
        <v>10.5</v>
      </c>
      <c r="L161" s="97">
        <v>10.5</v>
      </c>
      <c r="M161" s="97">
        <v>10.5</v>
      </c>
      <c r="N161" s="97">
        <v>10.5</v>
      </c>
      <c r="O161" s="97">
        <v>10.5</v>
      </c>
      <c r="P161" s="97">
        <v>10.5</v>
      </c>
      <c r="Q161" s="76"/>
      <c r="R161" s="76" t="s">
        <v>608</v>
      </c>
      <c r="S161" s="76" t="s">
        <v>599</v>
      </c>
      <c r="T161" s="76"/>
      <c r="U161" s="260">
        <f t="shared" si="21"/>
        <v>10.5</v>
      </c>
      <c r="V161" s="260">
        <f t="shared" si="21"/>
        <v>10.5</v>
      </c>
      <c r="W161" s="260">
        <f t="shared" si="21"/>
        <v>10.5</v>
      </c>
      <c r="X161" s="260">
        <f t="shared" si="21"/>
        <v>10.5</v>
      </c>
      <c r="Y161" s="260">
        <f t="shared" si="21"/>
        <v>10.5</v>
      </c>
      <c r="Z161" s="260">
        <f t="shared" si="21"/>
        <v>10.5</v>
      </c>
      <c r="AA161" s="260">
        <f t="shared" si="21"/>
        <v>10.5</v>
      </c>
      <c r="AB161" s="260">
        <f t="shared" si="21"/>
        <v>10.5</v>
      </c>
      <c r="AC161" s="76"/>
      <c r="AD161" s="76"/>
      <c r="AE161" s="76"/>
      <c r="AF161" s="97">
        <v>1</v>
      </c>
      <c r="AG161" s="97">
        <v>1</v>
      </c>
      <c r="AH161" s="73"/>
      <c r="AI161" s="57"/>
      <c r="AJ161" s="45"/>
      <c r="AK161" s="45"/>
      <c r="AL161" s="45"/>
    </row>
    <row r="162" spans="1:38" hidden="1" outlineLevel="2" x14ac:dyDescent="0.35">
      <c r="A162" s="45"/>
      <c r="B162" s="54"/>
      <c r="C162" s="47">
        <f t="shared" si="20"/>
        <v>3</v>
      </c>
      <c r="D162" s="73"/>
      <c r="E162" s="70"/>
      <c r="F162" s="70" t="s">
        <v>609</v>
      </c>
      <c r="G162" s="73"/>
      <c r="H162" s="76" t="s">
        <v>610</v>
      </c>
      <c r="I162" s="96" t="s">
        <v>514</v>
      </c>
      <c r="J162" s="96"/>
      <c r="K162" s="97">
        <v>1</v>
      </c>
      <c r="L162" s="97">
        <v>1</v>
      </c>
      <c r="M162" s="97">
        <v>1</v>
      </c>
      <c r="N162" s="97">
        <v>1</v>
      </c>
      <c r="O162" s="97">
        <v>1</v>
      </c>
      <c r="P162" s="97">
        <v>1</v>
      </c>
      <c r="Q162" s="76"/>
      <c r="R162" s="76" t="s">
        <v>599</v>
      </c>
      <c r="S162" s="76" t="s">
        <v>599</v>
      </c>
      <c r="T162" s="76"/>
      <c r="U162" s="260">
        <f t="shared" si="21"/>
        <v>1</v>
      </c>
      <c r="V162" s="260">
        <f t="shared" si="21"/>
        <v>1</v>
      </c>
      <c r="W162" s="260">
        <f t="shared" si="21"/>
        <v>1</v>
      </c>
      <c r="X162" s="260">
        <f t="shared" si="21"/>
        <v>1</v>
      </c>
      <c r="Y162" s="260">
        <f t="shared" si="21"/>
        <v>1</v>
      </c>
      <c r="Z162" s="260">
        <f t="shared" si="21"/>
        <v>1</v>
      </c>
      <c r="AA162" s="260">
        <f t="shared" si="21"/>
        <v>1</v>
      </c>
      <c r="AB162" s="260">
        <f t="shared" si="21"/>
        <v>1</v>
      </c>
      <c r="AC162" s="76"/>
      <c r="AD162" s="76"/>
      <c r="AE162" s="76"/>
      <c r="AF162" s="97">
        <v>1</v>
      </c>
      <c r="AG162" s="97">
        <v>1</v>
      </c>
      <c r="AH162" s="73"/>
      <c r="AI162" s="57"/>
      <c r="AJ162" s="45"/>
      <c r="AK162" s="45"/>
      <c r="AL162" s="45"/>
    </row>
    <row r="163" spans="1:38" hidden="1" outlineLevel="2" x14ac:dyDescent="0.35">
      <c r="A163" s="45"/>
      <c r="B163" s="54"/>
      <c r="C163" s="47">
        <f t="shared" si="20"/>
        <v>3</v>
      </c>
      <c r="D163" s="73"/>
      <c r="E163" s="70"/>
      <c r="F163" s="70" t="s">
        <v>611</v>
      </c>
      <c r="G163" s="73"/>
      <c r="H163" s="76" t="s">
        <v>612</v>
      </c>
      <c r="I163" s="96" t="s">
        <v>514</v>
      </c>
      <c r="J163" s="96"/>
      <c r="K163" s="97">
        <v>0.35</v>
      </c>
      <c r="L163" s="97">
        <v>0.35</v>
      </c>
      <c r="M163" s="97">
        <v>0.35</v>
      </c>
      <c r="N163" s="97">
        <v>0.35</v>
      </c>
      <c r="O163" s="97">
        <v>0.35</v>
      </c>
      <c r="P163" s="97">
        <v>0.35</v>
      </c>
      <c r="Q163" s="76"/>
      <c r="R163" s="76" t="s">
        <v>599</v>
      </c>
      <c r="S163" s="76" t="s">
        <v>599</v>
      </c>
      <c r="T163" s="76"/>
      <c r="U163" s="260">
        <f t="shared" si="21"/>
        <v>0.35</v>
      </c>
      <c r="V163" s="260">
        <f t="shared" si="21"/>
        <v>0.35</v>
      </c>
      <c r="W163" s="260">
        <f t="shared" si="21"/>
        <v>0.35</v>
      </c>
      <c r="X163" s="260">
        <f t="shared" si="21"/>
        <v>0.35</v>
      </c>
      <c r="Y163" s="260">
        <f t="shared" si="21"/>
        <v>0.35</v>
      </c>
      <c r="Z163" s="260">
        <f t="shared" si="21"/>
        <v>0.35</v>
      </c>
      <c r="AA163" s="260">
        <f t="shared" si="21"/>
        <v>0.35</v>
      </c>
      <c r="AB163" s="260">
        <f t="shared" si="21"/>
        <v>0.35</v>
      </c>
      <c r="AC163" s="76"/>
      <c r="AD163" s="76"/>
      <c r="AE163" s="76"/>
      <c r="AF163" s="97">
        <v>1</v>
      </c>
      <c r="AG163" s="97">
        <v>1</v>
      </c>
      <c r="AH163" s="73"/>
      <c r="AI163" s="57"/>
      <c r="AJ163" s="45"/>
      <c r="AK163" s="45"/>
      <c r="AL163" s="45"/>
    </row>
    <row r="164" spans="1:38" hidden="1" outlineLevel="2" collapsed="1" x14ac:dyDescent="0.35">
      <c r="A164" s="45"/>
      <c r="B164" s="54"/>
      <c r="C164" s="47">
        <f t="shared" si="20"/>
        <v>3</v>
      </c>
      <c r="D164" s="73"/>
      <c r="E164" s="70"/>
      <c r="F164" s="70" t="s">
        <v>613</v>
      </c>
      <c r="G164" s="73"/>
      <c r="H164" s="76" t="s">
        <v>614</v>
      </c>
      <c r="I164" s="96" t="s">
        <v>514</v>
      </c>
      <c r="J164" s="96"/>
      <c r="K164" s="97">
        <v>1</v>
      </c>
      <c r="L164" s="97">
        <v>1</v>
      </c>
      <c r="M164" s="97">
        <v>1</v>
      </c>
      <c r="N164" s="97">
        <v>1</v>
      </c>
      <c r="O164" s="97">
        <v>1</v>
      </c>
      <c r="P164" s="97">
        <v>1</v>
      </c>
      <c r="Q164" s="76"/>
      <c r="R164" s="76" t="s">
        <v>599</v>
      </c>
      <c r="S164" s="76" t="s">
        <v>599</v>
      </c>
      <c r="T164" s="76"/>
      <c r="U164" s="260">
        <f t="shared" si="21"/>
        <v>1</v>
      </c>
      <c r="V164" s="260">
        <f t="shared" si="21"/>
        <v>1</v>
      </c>
      <c r="W164" s="260">
        <f t="shared" si="21"/>
        <v>1</v>
      </c>
      <c r="X164" s="260">
        <f t="shared" si="21"/>
        <v>1</v>
      </c>
      <c r="Y164" s="260">
        <f t="shared" si="21"/>
        <v>1</v>
      </c>
      <c r="Z164" s="260">
        <f t="shared" si="21"/>
        <v>1</v>
      </c>
      <c r="AA164" s="260">
        <f t="shared" si="21"/>
        <v>1</v>
      </c>
      <c r="AB164" s="260">
        <f t="shared" si="21"/>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615</v>
      </c>
      <c r="G165" s="73"/>
      <c r="H165" s="76" t="s">
        <v>616</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617</v>
      </c>
      <c r="G166" s="73"/>
      <c r="H166" s="76" t="s">
        <v>616</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618</v>
      </c>
      <c r="G167" s="73"/>
      <c r="H167" s="76" t="s">
        <v>616</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619</v>
      </c>
      <c r="G168" s="73"/>
      <c r="H168" s="76" t="s">
        <v>616</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620</v>
      </c>
      <c r="G169" s="73"/>
      <c r="H169" s="76" t="s">
        <v>616</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35">
      <c r="A170" s="45"/>
      <c r="B170" s="54"/>
      <c r="C170" s="47">
        <f>INT($C$29)+2</f>
        <v>3</v>
      </c>
      <c r="D170" s="73"/>
      <c r="E170" s="70"/>
      <c r="F170" s="70" t="s">
        <v>621</v>
      </c>
      <c r="G170" s="73"/>
      <c r="H170" s="76" t="s">
        <v>622</v>
      </c>
      <c r="I170" s="96" t="s">
        <v>607</v>
      </c>
      <c r="J170" s="96"/>
      <c r="K170" s="97">
        <v>11.5</v>
      </c>
      <c r="L170" s="97">
        <v>11.5</v>
      </c>
      <c r="M170" s="97">
        <v>11.5</v>
      </c>
      <c r="N170" s="97">
        <v>11.5</v>
      </c>
      <c r="O170" s="97">
        <v>11.5</v>
      </c>
      <c r="P170" s="97">
        <v>11.5</v>
      </c>
      <c r="Q170" s="76"/>
      <c r="R170" s="76" t="s">
        <v>623</v>
      </c>
      <c r="S170" s="76"/>
      <c r="T170" s="76"/>
      <c r="U170" s="260">
        <f t="shared" ref="U170:AB172" si="22">INDEX($K170:$Q170,1,U$43)</f>
        <v>11.5</v>
      </c>
      <c r="V170" s="260">
        <f t="shared" si="22"/>
        <v>11.5</v>
      </c>
      <c r="W170" s="260">
        <f t="shared" si="22"/>
        <v>11.5</v>
      </c>
      <c r="X170" s="260">
        <f t="shared" si="22"/>
        <v>11.5</v>
      </c>
      <c r="Y170" s="260">
        <f t="shared" si="22"/>
        <v>11.5</v>
      </c>
      <c r="Z170" s="260">
        <f t="shared" si="22"/>
        <v>11.5</v>
      </c>
      <c r="AA170" s="260">
        <f t="shared" si="22"/>
        <v>11.5</v>
      </c>
      <c r="AB170" s="260">
        <f t="shared" si="22"/>
        <v>11.5</v>
      </c>
      <c r="AC170" s="76"/>
      <c r="AD170" s="76"/>
      <c r="AE170" s="76"/>
      <c r="AF170" s="97">
        <v>1</v>
      </c>
      <c r="AG170" s="97">
        <v>1</v>
      </c>
      <c r="AH170" s="73"/>
      <c r="AI170" s="57"/>
      <c r="AJ170" s="45"/>
      <c r="AK170" s="45"/>
      <c r="AL170" s="45"/>
    </row>
    <row r="171" spans="1:38" hidden="1" outlineLevel="2" x14ac:dyDescent="0.35">
      <c r="A171" s="45"/>
      <c r="B171" s="54"/>
      <c r="C171" s="47">
        <f>INT($C$29)+2</f>
        <v>3</v>
      </c>
      <c r="D171" s="73"/>
      <c r="E171" s="70"/>
      <c r="F171" s="70" t="s">
        <v>624</v>
      </c>
      <c r="G171" s="73"/>
      <c r="H171" s="76" t="s">
        <v>625</v>
      </c>
      <c r="I171" s="96" t="s">
        <v>607</v>
      </c>
      <c r="J171" s="96"/>
      <c r="K171" s="97">
        <v>0</v>
      </c>
      <c r="L171" s="97">
        <v>0</v>
      </c>
      <c r="M171" s="97">
        <v>0</v>
      </c>
      <c r="N171" s="97">
        <v>0</v>
      </c>
      <c r="O171" s="97">
        <v>0</v>
      </c>
      <c r="P171" s="97">
        <v>0</v>
      </c>
      <c r="Q171" s="76"/>
      <c r="R171" s="76" t="s">
        <v>626</v>
      </c>
      <c r="S171" s="76" t="s">
        <v>626</v>
      </c>
      <c r="T171" s="76"/>
      <c r="U171" s="260">
        <f t="shared" si="22"/>
        <v>0</v>
      </c>
      <c r="V171" s="260">
        <f t="shared" si="22"/>
        <v>0</v>
      </c>
      <c r="W171" s="260">
        <f t="shared" si="22"/>
        <v>0</v>
      </c>
      <c r="X171" s="260">
        <f t="shared" si="22"/>
        <v>0</v>
      </c>
      <c r="Y171" s="260">
        <f t="shared" si="22"/>
        <v>0</v>
      </c>
      <c r="Z171" s="260">
        <f t="shared" si="22"/>
        <v>0</v>
      </c>
      <c r="AA171" s="260">
        <f t="shared" si="22"/>
        <v>0</v>
      </c>
      <c r="AB171" s="260">
        <f t="shared" si="22"/>
        <v>0</v>
      </c>
      <c r="AC171" s="76"/>
      <c r="AD171" s="76"/>
      <c r="AE171" s="76"/>
      <c r="AF171" s="97">
        <v>1</v>
      </c>
      <c r="AG171" s="97">
        <v>1</v>
      </c>
      <c r="AH171" s="73"/>
      <c r="AI171" s="57"/>
      <c r="AJ171" s="45"/>
      <c r="AK171" s="45"/>
      <c r="AL171" s="45"/>
    </row>
    <row r="172" spans="1:38" hidden="1" outlineLevel="2" x14ac:dyDescent="0.35">
      <c r="A172" s="45"/>
      <c r="B172" s="54"/>
      <c r="C172" s="47">
        <f>INT($C$29)+2</f>
        <v>3</v>
      </c>
      <c r="D172" s="73"/>
      <c r="E172" s="70"/>
      <c r="F172" s="70" t="s">
        <v>627</v>
      </c>
      <c r="G172" s="73"/>
      <c r="H172" s="76" t="s">
        <v>628</v>
      </c>
      <c r="I172" s="96" t="s">
        <v>607</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629</v>
      </c>
      <c r="S172" s="76" t="s">
        <v>629</v>
      </c>
      <c r="T172" s="76"/>
      <c r="U172" s="260">
        <f t="shared" si="22"/>
        <v>0.21176470588235297</v>
      </c>
      <c r="V172" s="260">
        <f t="shared" si="22"/>
        <v>0.21176470588235297</v>
      </c>
      <c r="W172" s="260">
        <f t="shared" si="22"/>
        <v>0.21176470588235297</v>
      </c>
      <c r="X172" s="260">
        <f t="shared" si="22"/>
        <v>0.21176470588235297</v>
      </c>
      <c r="Y172" s="260">
        <f t="shared" si="22"/>
        <v>0.21176470588235297</v>
      </c>
      <c r="Z172" s="260">
        <f t="shared" si="22"/>
        <v>0.21176470588235297</v>
      </c>
      <c r="AA172" s="260">
        <f t="shared" si="22"/>
        <v>0.21176470588235297</v>
      </c>
      <c r="AB172" s="260">
        <f t="shared" si="22"/>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63" t="s">
        <v>630</v>
      </c>
      <c r="G173" s="73"/>
      <c r="H173" s="253" t="s">
        <v>631</v>
      </c>
      <c r="I173" s="96"/>
      <c r="J173" s="96" t="s">
        <v>531</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outlineLevel="3" x14ac:dyDescent="0.35">
      <c r="A174" s="45"/>
      <c r="B174" s="54"/>
      <c r="C174" s="47">
        <f>INT($C$29)+3</f>
        <v>4</v>
      </c>
      <c r="D174" s="73"/>
      <c r="E174" s="70" t="s">
        <v>632</v>
      </c>
      <c r="F174" s="70" t="s">
        <v>633</v>
      </c>
      <c r="G174" s="73"/>
      <c r="H174" s="76" t="s">
        <v>507</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4">INT($C$29)+2</f>
        <v>3</v>
      </c>
      <c r="D175" s="73"/>
      <c r="E175" s="70"/>
      <c r="F175" s="70" t="s">
        <v>634</v>
      </c>
      <c r="G175" s="73"/>
      <c r="H175" s="76" t="s">
        <v>635</v>
      </c>
      <c r="I175" s="96" t="s">
        <v>514</v>
      </c>
      <c r="J175" s="96"/>
      <c r="K175" s="97">
        <v>0.5</v>
      </c>
      <c r="L175" s="97">
        <v>0.5</v>
      </c>
      <c r="M175" s="97">
        <v>0.5</v>
      </c>
      <c r="N175" s="97">
        <v>0.5</v>
      </c>
      <c r="O175" s="97">
        <v>0.5</v>
      </c>
      <c r="P175" s="97">
        <v>0.5</v>
      </c>
      <c r="Q175" s="76"/>
      <c r="R175" s="76" t="s">
        <v>2877</v>
      </c>
      <c r="S175" s="76" t="s">
        <v>2877</v>
      </c>
      <c r="T175" s="76"/>
      <c r="U175" s="260">
        <f t="shared" ref="U175:AB202" si="25">INDEX($K175:$Q175,1,U$43)</f>
        <v>0.5</v>
      </c>
      <c r="V175" s="260">
        <f t="shared" si="25"/>
        <v>0.5</v>
      </c>
      <c r="W175" s="260">
        <f t="shared" si="25"/>
        <v>0.5</v>
      </c>
      <c r="X175" s="260">
        <f t="shared" si="25"/>
        <v>0.5</v>
      </c>
      <c r="Y175" s="260">
        <f t="shared" si="25"/>
        <v>0.5</v>
      </c>
      <c r="Z175" s="260">
        <f t="shared" si="25"/>
        <v>0.5</v>
      </c>
      <c r="AA175" s="260">
        <f t="shared" si="25"/>
        <v>0.5</v>
      </c>
      <c r="AB175" s="260">
        <f t="shared" si="25"/>
        <v>0.5</v>
      </c>
      <c r="AC175" s="76"/>
      <c r="AD175" s="76"/>
      <c r="AE175" s="76"/>
      <c r="AF175" s="97">
        <v>1</v>
      </c>
      <c r="AG175" s="97">
        <v>1</v>
      </c>
      <c r="AH175" s="73"/>
      <c r="AI175" s="57"/>
      <c r="AJ175" s="45"/>
      <c r="AK175" s="45"/>
      <c r="AL175" s="45"/>
    </row>
    <row r="176" spans="1:38" outlineLevel="2" x14ac:dyDescent="0.35">
      <c r="A176" s="45"/>
      <c r="B176" s="54"/>
      <c r="C176" s="47">
        <f t="shared" si="24"/>
        <v>3</v>
      </c>
      <c r="D176" s="73"/>
      <c r="E176" s="70"/>
      <c r="F176" s="70" t="s">
        <v>636</v>
      </c>
      <c r="G176" s="73"/>
      <c r="H176" s="76" t="s">
        <v>637</v>
      </c>
      <c r="I176" s="96" t="s">
        <v>638</v>
      </c>
      <c r="J176" s="96"/>
      <c r="K176" s="97">
        <v>0.02</v>
      </c>
      <c r="L176" s="97">
        <v>0.02</v>
      </c>
      <c r="M176" s="97">
        <v>0.02</v>
      </c>
      <c r="N176" s="97">
        <v>0.02</v>
      </c>
      <c r="O176" s="97">
        <v>0.02</v>
      </c>
      <c r="P176" s="97">
        <v>0.02</v>
      </c>
      <c r="Q176" s="76"/>
      <c r="R176" s="76" t="s">
        <v>2877</v>
      </c>
      <c r="S176" s="76" t="s">
        <v>2877</v>
      </c>
      <c r="T176" s="76"/>
      <c r="U176" s="260">
        <f t="shared" si="25"/>
        <v>0.02</v>
      </c>
      <c r="V176" s="260">
        <f t="shared" si="25"/>
        <v>0.02</v>
      </c>
      <c r="W176" s="260">
        <f t="shared" si="25"/>
        <v>0.02</v>
      </c>
      <c r="X176" s="260">
        <f t="shared" si="25"/>
        <v>0.02</v>
      </c>
      <c r="Y176" s="260">
        <f t="shared" si="25"/>
        <v>0.02</v>
      </c>
      <c r="Z176" s="260">
        <f t="shared" si="25"/>
        <v>0.02</v>
      </c>
      <c r="AA176" s="260">
        <f t="shared" si="25"/>
        <v>0.02</v>
      </c>
      <c r="AB176" s="260">
        <f t="shared" si="25"/>
        <v>0.02</v>
      </c>
      <c r="AC176" s="76"/>
      <c r="AD176" s="76"/>
      <c r="AE176" s="76"/>
      <c r="AF176" s="97">
        <v>1</v>
      </c>
      <c r="AG176" s="97">
        <v>1</v>
      </c>
      <c r="AH176" s="73"/>
      <c r="AI176" s="57"/>
      <c r="AJ176" s="45"/>
      <c r="AK176" s="45"/>
      <c r="AL176" s="45"/>
    </row>
    <row r="177" spans="1:38" outlineLevel="2" x14ac:dyDescent="0.35">
      <c r="A177" s="45"/>
      <c r="B177" s="54"/>
      <c r="C177" s="47">
        <f t="shared" si="24"/>
        <v>3</v>
      </c>
      <c r="D177" s="73"/>
      <c r="E177" s="70"/>
      <c r="F177" s="70" t="s">
        <v>640</v>
      </c>
      <c r="G177" s="73"/>
      <c r="H177" s="76" t="s">
        <v>2876</v>
      </c>
      <c r="I177" s="96" t="s">
        <v>514</v>
      </c>
      <c r="J177" s="96"/>
      <c r="K177" s="97">
        <v>0.85</v>
      </c>
      <c r="L177" s="97">
        <v>0.85</v>
      </c>
      <c r="M177" s="97">
        <v>0.85</v>
      </c>
      <c r="N177" s="97">
        <v>0.85</v>
      </c>
      <c r="O177" s="97">
        <v>0.85</v>
      </c>
      <c r="P177" s="97">
        <v>0.85</v>
      </c>
      <c r="Q177" s="76"/>
      <c r="R177" s="76" t="s">
        <v>2877</v>
      </c>
      <c r="S177" s="76" t="s">
        <v>2877</v>
      </c>
      <c r="T177" s="76"/>
      <c r="U177" s="260">
        <f t="shared" si="25"/>
        <v>0.85</v>
      </c>
      <c r="V177" s="260">
        <f t="shared" si="25"/>
        <v>0.85</v>
      </c>
      <c r="W177" s="260">
        <f t="shared" si="25"/>
        <v>0.85</v>
      </c>
      <c r="X177" s="260">
        <f t="shared" si="25"/>
        <v>0.85</v>
      </c>
      <c r="Y177" s="260">
        <f t="shared" si="25"/>
        <v>0.85</v>
      </c>
      <c r="Z177" s="260">
        <f t="shared" si="25"/>
        <v>0.85</v>
      </c>
      <c r="AA177" s="260">
        <f t="shared" si="25"/>
        <v>0.85</v>
      </c>
      <c r="AB177" s="260">
        <f t="shared" si="25"/>
        <v>0.85</v>
      </c>
      <c r="AC177" s="76"/>
      <c r="AD177" s="76"/>
      <c r="AE177" s="76"/>
      <c r="AF177" s="97">
        <v>1</v>
      </c>
      <c r="AG177" s="97">
        <v>1</v>
      </c>
      <c r="AH177" s="73"/>
      <c r="AI177" s="57"/>
      <c r="AJ177" s="45"/>
      <c r="AK177" s="45"/>
      <c r="AL177" s="45"/>
    </row>
    <row r="178" spans="1:38" outlineLevel="2" x14ac:dyDescent="0.35">
      <c r="A178" s="45"/>
      <c r="B178" s="54"/>
      <c r="C178" s="47">
        <f t="shared" si="24"/>
        <v>3</v>
      </c>
      <c r="D178" s="73"/>
      <c r="E178" s="70"/>
      <c r="F178" s="70" t="s">
        <v>641</v>
      </c>
      <c r="G178" s="73"/>
      <c r="H178" s="76" t="s">
        <v>642</v>
      </c>
      <c r="I178" s="96" t="s">
        <v>586</v>
      </c>
      <c r="J178" s="96"/>
      <c r="K178" s="97">
        <v>0.7</v>
      </c>
      <c r="L178" s="97">
        <v>0.7</v>
      </c>
      <c r="M178" s="97">
        <v>0.7</v>
      </c>
      <c r="N178" s="97">
        <v>0.7</v>
      </c>
      <c r="O178" s="97">
        <v>0.7</v>
      </c>
      <c r="P178" s="97">
        <v>0.7</v>
      </c>
      <c r="Q178" s="76"/>
      <c r="R178" s="76" t="s">
        <v>2879</v>
      </c>
      <c r="S178" s="76" t="s">
        <v>2879</v>
      </c>
      <c r="T178" s="76"/>
      <c r="U178" s="260">
        <f t="shared" si="25"/>
        <v>0.7</v>
      </c>
      <c r="V178" s="260">
        <f t="shared" si="25"/>
        <v>0.7</v>
      </c>
      <c r="W178" s="260">
        <f t="shared" si="25"/>
        <v>0.7</v>
      </c>
      <c r="X178" s="260">
        <f t="shared" si="25"/>
        <v>0.7</v>
      </c>
      <c r="Y178" s="260">
        <f t="shared" si="25"/>
        <v>0.7</v>
      </c>
      <c r="Z178" s="260">
        <f t="shared" si="25"/>
        <v>0.7</v>
      </c>
      <c r="AA178" s="260">
        <f t="shared" si="25"/>
        <v>0.7</v>
      </c>
      <c r="AB178" s="260">
        <f t="shared" si="25"/>
        <v>0.7</v>
      </c>
      <c r="AC178" s="76"/>
      <c r="AD178" s="76"/>
      <c r="AE178" s="76"/>
      <c r="AF178" s="97">
        <v>1</v>
      </c>
      <c r="AG178" s="97">
        <v>1</v>
      </c>
      <c r="AH178" s="73"/>
      <c r="AI178" s="57"/>
      <c r="AJ178" s="45"/>
      <c r="AK178" s="45"/>
      <c r="AL178" s="45"/>
    </row>
    <row r="179" spans="1:38" outlineLevel="2" x14ac:dyDescent="0.35">
      <c r="A179" s="45"/>
      <c r="B179" s="54"/>
      <c r="C179" s="47">
        <f t="shared" si="24"/>
        <v>3</v>
      </c>
      <c r="D179" s="73"/>
      <c r="E179" s="70"/>
      <c r="F179" s="70" t="s">
        <v>643</v>
      </c>
      <c r="G179" s="73"/>
      <c r="H179" s="76" t="s">
        <v>644</v>
      </c>
      <c r="I179" s="96" t="s">
        <v>514</v>
      </c>
      <c r="J179" s="96"/>
      <c r="K179" s="97">
        <v>0.4</v>
      </c>
      <c r="L179" s="97">
        <v>0.4</v>
      </c>
      <c r="M179" s="97">
        <v>0.4</v>
      </c>
      <c r="N179" s="97">
        <v>0.4</v>
      </c>
      <c r="O179" s="97">
        <v>0.4</v>
      </c>
      <c r="P179" s="97">
        <v>0.4</v>
      </c>
      <c r="Q179" s="76"/>
      <c r="R179" s="76" t="s">
        <v>2877</v>
      </c>
      <c r="S179" s="76" t="s">
        <v>2877</v>
      </c>
      <c r="T179" s="76"/>
      <c r="U179" s="260">
        <f t="shared" si="25"/>
        <v>0.4</v>
      </c>
      <c r="V179" s="260">
        <f t="shared" si="25"/>
        <v>0.4</v>
      </c>
      <c r="W179" s="260">
        <f t="shared" si="25"/>
        <v>0.4</v>
      </c>
      <c r="X179" s="260">
        <f t="shared" si="25"/>
        <v>0.4</v>
      </c>
      <c r="Y179" s="260">
        <f t="shared" si="25"/>
        <v>0.4</v>
      </c>
      <c r="Z179" s="260">
        <f t="shared" si="25"/>
        <v>0.4</v>
      </c>
      <c r="AA179" s="260">
        <f t="shared" si="25"/>
        <v>0.4</v>
      </c>
      <c r="AB179" s="260">
        <f t="shared" si="25"/>
        <v>0.4</v>
      </c>
      <c r="AC179" s="76"/>
      <c r="AD179" s="76"/>
      <c r="AE179" s="76"/>
      <c r="AF179" s="97">
        <v>1</v>
      </c>
      <c r="AG179" s="97">
        <v>1</v>
      </c>
      <c r="AH179" s="73"/>
      <c r="AI179" s="57"/>
      <c r="AJ179" s="45"/>
      <c r="AK179" s="45"/>
      <c r="AL179" s="45"/>
    </row>
    <row r="180" spans="1:38" outlineLevel="2" x14ac:dyDescent="0.35">
      <c r="A180" s="45"/>
      <c r="B180" s="54"/>
      <c r="C180" s="47">
        <f t="shared" si="24"/>
        <v>3</v>
      </c>
      <c r="D180" s="73"/>
      <c r="E180" s="70"/>
      <c r="F180" s="70" t="s">
        <v>645</v>
      </c>
      <c r="G180" s="73"/>
      <c r="H180" s="76" t="s">
        <v>646</v>
      </c>
      <c r="I180" s="96" t="s">
        <v>638</v>
      </c>
      <c r="J180" s="96"/>
      <c r="K180" s="97">
        <v>0.02</v>
      </c>
      <c r="L180" s="97">
        <v>0.02</v>
      </c>
      <c r="M180" s="97">
        <v>0.02</v>
      </c>
      <c r="N180" s="97">
        <v>0.02</v>
      </c>
      <c r="O180" s="97">
        <v>0.02</v>
      </c>
      <c r="P180" s="97">
        <v>0.02</v>
      </c>
      <c r="Q180" s="76"/>
      <c r="R180" s="76" t="s">
        <v>2877</v>
      </c>
      <c r="S180" s="76" t="s">
        <v>2877</v>
      </c>
      <c r="T180" s="76"/>
      <c r="U180" s="260">
        <f t="shared" si="25"/>
        <v>0.02</v>
      </c>
      <c r="V180" s="260">
        <f t="shared" si="25"/>
        <v>0.02</v>
      </c>
      <c r="W180" s="260">
        <f t="shared" si="25"/>
        <v>0.02</v>
      </c>
      <c r="X180" s="260">
        <f t="shared" si="25"/>
        <v>0.02</v>
      </c>
      <c r="Y180" s="260">
        <f t="shared" si="25"/>
        <v>0.02</v>
      </c>
      <c r="Z180" s="260">
        <f t="shared" si="25"/>
        <v>0.02</v>
      </c>
      <c r="AA180" s="260">
        <f t="shared" si="25"/>
        <v>0.02</v>
      </c>
      <c r="AB180" s="260">
        <f t="shared" si="25"/>
        <v>0.02</v>
      </c>
      <c r="AC180" s="76"/>
      <c r="AD180" s="76"/>
      <c r="AE180" s="76"/>
      <c r="AF180" s="97">
        <v>1</v>
      </c>
      <c r="AG180" s="97">
        <v>1</v>
      </c>
      <c r="AH180" s="73"/>
      <c r="AI180" s="57"/>
      <c r="AJ180" s="45"/>
      <c r="AK180" s="45"/>
      <c r="AL180" s="45"/>
    </row>
    <row r="181" spans="1:38" outlineLevel="2" x14ac:dyDescent="0.35">
      <c r="A181" s="45"/>
      <c r="B181" s="54"/>
      <c r="C181" s="47">
        <f t="shared" si="24"/>
        <v>3</v>
      </c>
      <c r="D181" s="73"/>
      <c r="E181" s="70"/>
      <c r="F181" s="70" t="s">
        <v>647</v>
      </c>
      <c r="G181" s="73"/>
      <c r="H181" s="76" t="s">
        <v>648</v>
      </c>
      <c r="I181" s="96" t="s">
        <v>586</v>
      </c>
      <c r="J181" s="96"/>
      <c r="K181" s="97">
        <v>0.6</v>
      </c>
      <c r="L181" s="97">
        <v>0.6</v>
      </c>
      <c r="M181" s="97">
        <v>0.6</v>
      </c>
      <c r="N181" s="97">
        <v>0.6</v>
      </c>
      <c r="O181" s="97">
        <v>0.6</v>
      </c>
      <c r="P181" s="97">
        <v>0.6</v>
      </c>
      <c r="Q181" s="76"/>
      <c r="R181" s="76" t="s">
        <v>2880</v>
      </c>
      <c r="S181" s="76" t="s">
        <v>2880</v>
      </c>
      <c r="T181" s="76"/>
      <c r="U181" s="260">
        <f t="shared" si="25"/>
        <v>0.6</v>
      </c>
      <c r="V181" s="260">
        <f t="shared" si="25"/>
        <v>0.6</v>
      </c>
      <c r="W181" s="260">
        <f t="shared" si="25"/>
        <v>0.6</v>
      </c>
      <c r="X181" s="260">
        <f t="shared" si="25"/>
        <v>0.6</v>
      </c>
      <c r="Y181" s="260">
        <f t="shared" si="25"/>
        <v>0.6</v>
      </c>
      <c r="Z181" s="260">
        <f t="shared" si="25"/>
        <v>0.6</v>
      </c>
      <c r="AA181" s="260">
        <f t="shared" si="25"/>
        <v>0.6</v>
      </c>
      <c r="AB181" s="260">
        <f t="shared" si="25"/>
        <v>0.6</v>
      </c>
      <c r="AC181" s="76"/>
      <c r="AD181" s="76"/>
      <c r="AE181" s="76"/>
      <c r="AF181" s="97">
        <v>1</v>
      </c>
      <c r="AG181" s="97">
        <v>1</v>
      </c>
      <c r="AH181" s="73"/>
      <c r="AI181" s="57"/>
      <c r="AJ181" s="45"/>
      <c r="AK181" s="45"/>
      <c r="AL181" s="45"/>
    </row>
    <row r="182" spans="1:38" outlineLevel="2" x14ac:dyDescent="0.35">
      <c r="A182" s="45"/>
      <c r="B182" s="54"/>
      <c r="C182" s="47">
        <f t="shared" si="24"/>
        <v>3</v>
      </c>
      <c r="D182" s="73"/>
      <c r="E182" s="70"/>
      <c r="F182" s="70" t="s">
        <v>649</v>
      </c>
      <c r="G182" s="73"/>
      <c r="H182" s="76" t="s">
        <v>650</v>
      </c>
      <c r="I182" s="96" t="s">
        <v>586</v>
      </c>
      <c r="J182" s="96"/>
      <c r="K182" s="97">
        <v>0.13300000000000001</v>
      </c>
      <c r="L182" s="97">
        <v>0.13300000000000001</v>
      </c>
      <c r="M182" s="97">
        <v>0.13300000000000001</v>
      </c>
      <c r="N182" s="97">
        <v>0.13300000000000001</v>
      </c>
      <c r="O182" s="97">
        <v>0.13300000000000001</v>
      </c>
      <c r="P182" s="97">
        <v>0.13300000000000001</v>
      </c>
      <c r="Q182" s="76"/>
      <c r="R182" s="76" t="s">
        <v>2877</v>
      </c>
      <c r="S182" s="76" t="s">
        <v>2877</v>
      </c>
      <c r="T182" s="76"/>
      <c r="U182" s="260">
        <f t="shared" si="25"/>
        <v>0.13300000000000001</v>
      </c>
      <c r="V182" s="260">
        <f t="shared" si="25"/>
        <v>0.13300000000000001</v>
      </c>
      <c r="W182" s="260">
        <f t="shared" si="25"/>
        <v>0.13300000000000001</v>
      </c>
      <c r="X182" s="260">
        <f t="shared" si="25"/>
        <v>0.13300000000000001</v>
      </c>
      <c r="Y182" s="260">
        <f t="shared" si="25"/>
        <v>0.13300000000000001</v>
      </c>
      <c r="Z182" s="260">
        <f t="shared" si="25"/>
        <v>0.13300000000000001</v>
      </c>
      <c r="AA182" s="260">
        <f t="shared" si="25"/>
        <v>0.13300000000000001</v>
      </c>
      <c r="AB182" s="260">
        <f t="shared" si="25"/>
        <v>0.13300000000000001</v>
      </c>
      <c r="AC182" s="76"/>
      <c r="AD182" s="76"/>
      <c r="AE182" s="76"/>
      <c r="AF182" s="97">
        <v>1</v>
      </c>
      <c r="AG182" s="97">
        <v>1</v>
      </c>
      <c r="AH182" s="73"/>
      <c r="AI182" s="57"/>
      <c r="AJ182" s="45"/>
      <c r="AK182" s="45"/>
      <c r="AL182" s="45"/>
    </row>
    <row r="183" spans="1:38" outlineLevel="2" x14ac:dyDescent="0.35">
      <c r="A183" s="45"/>
      <c r="B183" s="54"/>
      <c r="C183" s="47">
        <f t="shared" si="24"/>
        <v>3</v>
      </c>
      <c r="D183" s="73"/>
      <c r="E183" s="70"/>
      <c r="F183" s="70" t="s">
        <v>651</v>
      </c>
      <c r="G183" s="73"/>
      <c r="H183" s="76" t="s">
        <v>652</v>
      </c>
      <c r="I183" s="96" t="s">
        <v>514</v>
      </c>
      <c r="J183" s="96"/>
      <c r="K183" s="97">
        <v>0.95</v>
      </c>
      <c r="L183" s="97">
        <v>0.95</v>
      </c>
      <c r="M183" s="97">
        <v>0.95</v>
      </c>
      <c r="N183" s="97">
        <v>0.95</v>
      </c>
      <c r="O183" s="97">
        <v>0.95</v>
      </c>
      <c r="P183" s="97">
        <v>0.95</v>
      </c>
      <c r="Q183" s="76"/>
      <c r="R183" s="76" t="s">
        <v>2877</v>
      </c>
      <c r="S183" s="76" t="s">
        <v>2877</v>
      </c>
      <c r="T183" s="76"/>
      <c r="U183" s="260">
        <f t="shared" si="25"/>
        <v>0.95</v>
      </c>
      <c r="V183" s="260">
        <f t="shared" si="25"/>
        <v>0.95</v>
      </c>
      <c r="W183" s="260">
        <f t="shared" si="25"/>
        <v>0.95</v>
      </c>
      <c r="X183" s="260">
        <f t="shared" si="25"/>
        <v>0.95</v>
      </c>
      <c r="Y183" s="260">
        <f t="shared" si="25"/>
        <v>0.95</v>
      </c>
      <c r="Z183" s="260">
        <f t="shared" si="25"/>
        <v>0.95</v>
      </c>
      <c r="AA183" s="260">
        <f t="shared" si="25"/>
        <v>0.95</v>
      </c>
      <c r="AB183" s="260">
        <f t="shared" si="25"/>
        <v>0.95</v>
      </c>
      <c r="AC183" s="76"/>
      <c r="AD183" s="76"/>
      <c r="AE183" s="76"/>
      <c r="AF183" s="97">
        <v>1</v>
      </c>
      <c r="AG183" s="97">
        <v>1</v>
      </c>
      <c r="AH183" s="73"/>
      <c r="AI183" s="57"/>
      <c r="AJ183" s="45"/>
      <c r="AK183" s="45"/>
      <c r="AL183" s="45"/>
    </row>
    <row r="184" spans="1:38" outlineLevel="2" x14ac:dyDescent="0.35">
      <c r="A184" s="45"/>
      <c r="B184" s="54"/>
      <c r="C184" s="47">
        <f t="shared" si="24"/>
        <v>3</v>
      </c>
      <c r="D184" s="73"/>
      <c r="E184" s="70"/>
      <c r="F184" s="70" t="s">
        <v>653</v>
      </c>
      <c r="G184" s="73"/>
      <c r="H184" s="76" t="s">
        <v>654</v>
      </c>
      <c r="I184" s="96" t="s">
        <v>586</v>
      </c>
      <c r="J184" s="96"/>
      <c r="K184" s="97">
        <v>0.84</v>
      </c>
      <c r="L184" s="97">
        <v>0.84</v>
      </c>
      <c r="M184" s="97">
        <v>0.84</v>
      </c>
      <c r="N184" s="97">
        <v>0.84</v>
      </c>
      <c r="O184" s="97">
        <v>0.84</v>
      </c>
      <c r="P184" s="97">
        <v>0.84</v>
      </c>
      <c r="Q184" s="76"/>
      <c r="R184" s="76" t="s">
        <v>2877</v>
      </c>
      <c r="S184" s="76" t="s">
        <v>2877</v>
      </c>
      <c r="T184" s="76"/>
      <c r="U184" s="260">
        <f t="shared" si="25"/>
        <v>0.84</v>
      </c>
      <c r="V184" s="260">
        <f t="shared" si="25"/>
        <v>0.84</v>
      </c>
      <c r="W184" s="260">
        <f t="shared" si="25"/>
        <v>0.84</v>
      </c>
      <c r="X184" s="260">
        <f t="shared" si="25"/>
        <v>0.84</v>
      </c>
      <c r="Y184" s="260">
        <f t="shared" si="25"/>
        <v>0.84</v>
      </c>
      <c r="Z184" s="260">
        <f t="shared" si="25"/>
        <v>0.84</v>
      </c>
      <c r="AA184" s="260">
        <f t="shared" si="25"/>
        <v>0.84</v>
      </c>
      <c r="AB184" s="260">
        <f t="shared" si="25"/>
        <v>0.84</v>
      </c>
      <c r="AC184" s="76"/>
      <c r="AD184" s="76"/>
      <c r="AE184" s="76"/>
      <c r="AF184" s="97">
        <v>1</v>
      </c>
      <c r="AG184" s="97">
        <v>1</v>
      </c>
      <c r="AH184" s="73"/>
      <c r="AI184" s="57"/>
      <c r="AJ184" s="45"/>
      <c r="AK184" s="45"/>
      <c r="AL184" s="45"/>
    </row>
    <row r="185" spans="1:38" outlineLevel="2" x14ac:dyDescent="0.35">
      <c r="A185" s="45"/>
      <c r="B185" s="54"/>
      <c r="C185" s="47">
        <f t="shared" si="24"/>
        <v>3</v>
      </c>
      <c r="D185" s="73"/>
      <c r="E185" s="70"/>
      <c r="F185" s="70" t="s">
        <v>655</v>
      </c>
      <c r="G185" s="73"/>
      <c r="H185" s="76" t="s">
        <v>656</v>
      </c>
      <c r="I185" s="96" t="s">
        <v>586</v>
      </c>
      <c r="J185" s="96"/>
      <c r="K185" s="97">
        <v>0.8</v>
      </c>
      <c r="L185" s="97">
        <v>0.8</v>
      </c>
      <c r="M185" s="97">
        <v>0.8</v>
      </c>
      <c r="N185" s="97">
        <v>0.8</v>
      </c>
      <c r="O185" s="97">
        <v>0.8</v>
      </c>
      <c r="P185" s="97">
        <v>0.8</v>
      </c>
      <c r="Q185" s="76"/>
      <c r="R185" s="76" t="s">
        <v>2877</v>
      </c>
      <c r="S185" s="76" t="s">
        <v>2877</v>
      </c>
      <c r="T185" s="76"/>
      <c r="U185" s="260">
        <f t="shared" si="25"/>
        <v>0.8</v>
      </c>
      <c r="V185" s="260">
        <f t="shared" si="25"/>
        <v>0.8</v>
      </c>
      <c r="W185" s="260">
        <f t="shared" si="25"/>
        <v>0.8</v>
      </c>
      <c r="X185" s="260">
        <f t="shared" si="25"/>
        <v>0.8</v>
      </c>
      <c r="Y185" s="260">
        <f t="shared" si="25"/>
        <v>0.8</v>
      </c>
      <c r="Z185" s="260">
        <f t="shared" si="25"/>
        <v>0.8</v>
      </c>
      <c r="AA185" s="260">
        <f t="shared" si="25"/>
        <v>0.8</v>
      </c>
      <c r="AB185" s="260">
        <f t="shared" si="25"/>
        <v>0.8</v>
      </c>
      <c r="AC185" s="76"/>
      <c r="AD185" s="76"/>
      <c r="AE185" s="76"/>
      <c r="AF185" s="97">
        <v>1</v>
      </c>
      <c r="AG185" s="97">
        <v>1</v>
      </c>
      <c r="AH185" s="73"/>
      <c r="AI185" s="57"/>
      <c r="AJ185" s="45"/>
      <c r="AK185" s="45"/>
      <c r="AL185" s="45"/>
    </row>
    <row r="186" spans="1:38" outlineLevel="2" x14ac:dyDescent="0.35">
      <c r="A186" s="45"/>
      <c r="B186" s="54"/>
      <c r="C186" s="47">
        <f t="shared" si="24"/>
        <v>3</v>
      </c>
      <c r="D186" s="73"/>
      <c r="E186" s="70"/>
      <c r="F186" s="70" t="s">
        <v>657</v>
      </c>
      <c r="G186" s="73"/>
      <c r="H186" s="76" t="s">
        <v>2878</v>
      </c>
      <c r="I186" s="96" t="s">
        <v>514</v>
      </c>
      <c r="J186" s="96"/>
      <c r="K186" s="97">
        <v>0.7</v>
      </c>
      <c r="L186" s="97">
        <v>0.7</v>
      </c>
      <c r="M186" s="97">
        <v>0.7</v>
      </c>
      <c r="N186" s="97">
        <v>0.7</v>
      </c>
      <c r="O186" s="97">
        <v>0.7</v>
      </c>
      <c r="P186" s="97">
        <v>0.7</v>
      </c>
      <c r="Q186" s="76"/>
      <c r="R186" s="76" t="s">
        <v>2877</v>
      </c>
      <c r="S186" s="76" t="s">
        <v>2877</v>
      </c>
      <c r="T186" s="76"/>
      <c r="U186" s="260">
        <f t="shared" si="25"/>
        <v>0.7</v>
      </c>
      <c r="V186" s="260">
        <f t="shared" si="25"/>
        <v>0.7</v>
      </c>
      <c r="W186" s="260">
        <f t="shared" si="25"/>
        <v>0.7</v>
      </c>
      <c r="X186" s="260">
        <f t="shared" si="25"/>
        <v>0.7</v>
      </c>
      <c r="Y186" s="260">
        <f t="shared" si="25"/>
        <v>0.7</v>
      </c>
      <c r="Z186" s="260">
        <f t="shared" si="25"/>
        <v>0.7</v>
      </c>
      <c r="AA186" s="260">
        <f t="shared" si="25"/>
        <v>0.7</v>
      </c>
      <c r="AB186" s="260">
        <f t="shared" si="25"/>
        <v>0.7</v>
      </c>
      <c r="AC186" s="76"/>
      <c r="AD186" s="76"/>
      <c r="AE186" s="76"/>
      <c r="AF186" s="97">
        <v>1</v>
      </c>
      <c r="AG186" s="97">
        <v>1</v>
      </c>
      <c r="AH186" s="73"/>
      <c r="AI186" s="57"/>
      <c r="AJ186" s="45"/>
      <c r="AK186" s="45"/>
      <c r="AL186" s="45"/>
    </row>
    <row r="187" spans="1:38" outlineLevel="2" x14ac:dyDescent="0.35">
      <c r="A187" s="45"/>
      <c r="B187" s="54"/>
      <c r="C187" s="47">
        <f t="shared" si="24"/>
        <v>3</v>
      </c>
      <c r="D187" s="73"/>
      <c r="E187" s="70"/>
      <c r="F187" s="70" t="s">
        <v>658</v>
      </c>
      <c r="G187" s="73"/>
      <c r="H187" s="76" t="s">
        <v>659</v>
      </c>
      <c r="I187" s="96" t="s">
        <v>638</v>
      </c>
      <c r="J187" s="96"/>
      <c r="K187" s="97">
        <v>3.5000000000000003E-2</v>
      </c>
      <c r="L187" s="97">
        <v>3.5000000000000003E-2</v>
      </c>
      <c r="M187" s="97">
        <v>3.5000000000000003E-2</v>
      </c>
      <c r="N187" s="97">
        <v>3.5000000000000003E-2</v>
      </c>
      <c r="O187" s="97">
        <v>3.5000000000000003E-2</v>
      </c>
      <c r="P187" s="97">
        <v>3.5000000000000003E-2</v>
      </c>
      <c r="Q187" s="76"/>
      <c r="R187" s="76" t="s">
        <v>2877</v>
      </c>
      <c r="S187" s="76" t="s">
        <v>2877</v>
      </c>
      <c r="T187" s="76"/>
      <c r="U187" s="260">
        <f t="shared" si="25"/>
        <v>3.5000000000000003E-2</v>
      </c>
      <c r="V187" s="260">
        <f t="shared" si="25"/>
        <v>3.5000000000000003E-2</v>
      </c>
      <c r="W187" s="260">
        <f t="shared" si="25"/>
        <v>3.5000000000000003E-2</v>
      </c>
      <c r="X187" s="260">
        <f t="shared" si="25"/>
        <v>3.5000000000000003E-2</v>
      </c>
      <c r="Y187" s="260">
        <f t="shared" si="25"/>
        <v>3.5000000000000003E-2</v>
      </c>
      <c r="Z187" s="260">
        <f t="shared" si="25"/>
        <v>3.5000000000000003E-2</v>
      </c>
      <c r="AA187" s="260">
        <f t="shared" si="25"/>
        <v>3.5000000000000003E-2</v>
      </c>
      <c r="AB187" s="260">
        <f t="shared" si="25"/>
        <v>3.5000000000000003E-2</v>
      </c>
      <c r="AC187" s="76"/>
      <c r="AD187" s="76"/>
      <c r="AE187" s="76"/>
      <c r="AF187" s="97">
        <v>1</v>
      </c>
      <c r="AG187" s="97">
        <v>1</v>
      </c>
      <c r="AH187" s="73"/>
      <c r="AI187" s="57"/>
      <c r="AJ187" s="45"/>
      <c r="AK187" s="45"/>
      <c r="AL187" s="45"/>
    </row>
    <row r="188" spans="1:38" outlineLevel="2" x14ac:dyDescent="0.35">
      <c r="A188" s="45"/>
      <c r="B188" s="54"/>
      <c r="C188" s="47">
        <f t="shared" si="24"/>
        <v>3</v>
      </c>
      <c r="D188" s="73"/>
      <c r="E188" s="70"/>
      <c r="F188" s="70" t="s">
        <v>660</v>
      </c>
      <c r="G188" s="73"/>
      <c r="H188" s="76" t="s">
        <v>659</v>
      </c>
      <c r="I188" s="96" t="s">
        <v>638</v>
      </c>
      <c r="J188" s="96"/>
      <c r="K188" s="97">
        <v>0.33</v>
      </c>
      <c r="L188" s="97">
        <v>0.33</v>
      </c>
      <c r="M188" s="97">
        <v>0.33</v>
      </c>
      <c r="N188" s="97">
        <v>0.33</v>
      </c>
      <c r="O188" s="97">
        <v>0.33</v>
      </c>
      <c r="P188" s="97">
        <v>0.33</v>
      </c>
      <c r="Q188" s="76"/>
      <c r="R188" s="76" t="s">
        <v>2877</v>
      </c>
      <c r="S188" s="76" t="s">
        <v>2877</v>
      </c>
      <c r="T188" s="76"/>
      <c r="U188" s="260">
        <f t="shared" si="25"/>
        <v>0.33</v>
      </c>
      <c r="V188" s="260">
        <f t="shared" si="25"/>
        <v>0.33</v>
      </c>
      <c r="W188" s="260">
        <f t="shared" si="25"/>
        <v>0.33</v>
      </c>
      <c r="X188" s="260">
        <f t="shared" si="25"/>
        <v>0.33</v>
      </c>
      <c r="Y188" s="260">
        <f t="shared" si="25"/>
        <v>0.33</v>
      </c>
      <c r="Z188" s="260">
        <f t="shared" si="25"/>
        <v>0.33</v>
      </c>
      <c r="AA188" s="260">
        <f t="shared" si="25"/>
        <v>0.33</v>
      </c>
      <c r="AB188" s="260">
        <f t="shared" si="25"/>
        <v>0.33</v>
      </c>
      <c r="AC188" s="76"/>
      <c r="AD188" s="76"/>
      <c r="AE188" s="76"/>
      <c r="AF188" s="97">
        <v>1</v>
      </c>
      <c r="AG188" s="97">
        <v>1</v>
      </c>
      <c r="AH188" s="73"/>
      <c r="AI188" s="57"/>
      <c r="AJ188" s="45"/>
      <c r="AK188" s="45"/>
      <c r="AL188" s="45"/>
    </row>
    <row r="189" spans="1:38" outlineLevel="2" x14ac:dyDescent="0.35">
      <c r="A189" s="45"/>
      <c r="B189" s="54"/>
      <c r="C189" s="47">
        <f t="shared" si="24"/>
        <v>3</v>
      </c>
      <c r="D189" s="73"/>
      <c r="E189" s="70"/>
      <c r="F189" s="70" t="s">
        <v>661</v>
      </c>
      <c r="G189" s="73"/>
      <c r="H189" s="76" t="s">
        <v>662</v>
      </c>
      <c r="I189" s="96" t="s">
        <v>638</v>
      </c>
      <c r="J189" s="96"/>
      <c r="K189" s="97">
        <v>0.12</v>
      </c>
      <c r="L189" s="97">
        <v>0.12</v>
      </c>
      <c r="M189" s="97">
        <v>0.12</v>
      </c>
      <c r="N189" s="97">
        <v>0.12</v>
      </c>
      <c r="O189" s="97">
        <v>0.12</v>
      </c>
      <c r="P189" s="97">
        <v>0.12</v>
      </c>
      <c r="Q189" s="76"/>
      <c r="R189" s="76" t="s">
        <v>2877</v>
      </c>
      <c r="S189" s="76" t="s">
        <v>2877</v>
      </c>
      <c r="T189" s="76"/>
      <c r="U189" s="260">
        <f t="shared" si="25"/>
        <v>0.12</v>
      </c>
      <c r="V189" s="260">
        <f t="shared" si="25"/>
        <v>0.12</v>
      </c>
      <c r="W189" s="260">
        <f t="shared" si="25"/>
        <v>0.12</v>
      </c>
      <c r="X189" s="260">
        <f t="shared" si="25"/>
        <v>0.12</v>
      </c>
      <c r="Y189" s="260">
        <f t="shared" si="25"/>
        <v>0.12</v>
      </c>
      <c r="Z189" s="260">
        <f t="shared" si="25"/>
        <v>0.12</v>
      </c>
      <c r="AA189" s="260">
        <f t="shared" si="25"/>
        <v>0.12</v>
      </c>
      <c r="AB189" s="260">
        <f t="shared" si="25"/>
        <v>0.12</v>
      </c>
      <c r="AC189" s="76"/>
      <c r="AD189" s="76"/>
      <c r="AE189" s="76"/>
      <c r="AF189" s="97">
        <v>1</v>
      </c>
      <c r="AG189" s="97">
        <v>1</v>
      </c>
      <c r="AH189" s="73"/>
      <c r="AI189" s="57"/>
      <c r="AJ189" s="45"/>
      <c r="AK189" s="45"/>
      <c r="AL189" s="45"/>
    </row>
    <row r="190" spans="1:38" outlineLevel="2" x14ac:dyDescent="0.35">
      <c r="A190" s="45"/>
      <c r="B190" s="54"/>
      <c r="C190" s="47">
        <f t="shared" si="24"/>
        <v>3</v>
      </c>
      <c r="D190" s="73"/>
      <c r="E190" s="70"/>
      <c r="F190" s="70" t="s">
        <v>663</v>
      </c>
      <c r="G190" s="73"/>
      <c r="H190" s="76" t="s">
        <v>664</v>
      </c>
      <c r="I190" s="96" t="s">
        <v>638</v>
      </c>
      <c r="J190" s="96"/>
      <c r="K190" s="97">
        <v>4.2999999999999997E-2</v>
      </c>
      <c r="L190" s="97">
        <v>4.2999999999999997E-2</v>
      </c>
      <c r="M190" s="97">
        <v>4.2999999999999997E-2</v>
      </c>
      <c r="N190" s="97">
        <v>4.2999999999999997E-2</v>
      </c>
      <c r="O190" s="97">
        <v>4.2999999999999997E-2</v>
      </c>
      <c r="P190" s="97">
        <v>4.2999999999999997E-2</v>
      </c>
      <c r="Q190" s="76"/>
      <c r="R190" s="76" t="s">
        <v>2877</v>
      </c>
      <c r="S190" s="76" t="s">
        <v>2877</v>
      </c>
      <c r="T190" s="76"/>
      <c r="U190" s="260">
        <f t="shared" si="25"/>
        <v>4.2999999999999997E-2</v>
      </c>
      <c r="V190" s="260">
        <f t="shared" si="25"/>
        <v>4.2999999999999997E-2</v>
      </c>
      <c r="W190" s="260">
        <f t="shared" si="25"/>
        <v>4.2999999999999997E-2</v>
      </c>
      <c r="X190" s="260">
        <f t="shared" si="25"/>
        <v>4.2999999999999997E-2</v>
      </c>
      <c r="Y190" s="260">
        <f t="shared" si="25"/>
        <v>4.2999999999999997E-2</v>
      </c>
      <c r="Z190" s="260">
        <f t="shared" si="25"/>
        <v>4.2999999999999997E-2</v>
      </c>
      <c r="AA190" s="260">
        <f t="shared" si="25"/>
        <v>4.2999999999999997E-2</v>
      </c>
      <c r="AB190" s="260">
        <f t="shared" si="25"/>
        <v>4.2999999999999997E-2</v>
      </c>
      <c r="AC190" s="76"/>
      <c r="AD190" s="76"/>
      <c r="AE190" s="76"/>
      <c r="AF190" s="97">
        <v>1</v>
      </c>
      <c r="AG190" s="97">
        <v>1</v>
      </c>
      <c r="AH190" s="73"/>
      <c r="AI190" s="57"/>
      <c r="AJ190" s="45"/>
      <c r="AK190" s="45"/>
      <c r="AL190" s="45"/>
    </row>
    <row r="191" spans="1:38" outlineLevel="2" x14ac:dyDescent="0.35">
      <c r="A191" s="45"/>
      <c r="B191" s="54"/>
      <c r="C191" s="47">
        <f t="shared" si="24"/>
        <v>3</v>
      </c>
      <c r="D191" s="73"/>
      <c r="E191" s="70"/>
      <c r="F191" s="70" t="s">
        <v>665</v>
      </c>
      <c r="G191" s="73"/>
      <c r="H191" s="76" t="s">
        <v>666</v>
      </c>
      <c r="I191" s="96" t="s">
        <v>638</v>
      </c>
      <c r="J191" s="96"/>
      <c r="K191" s="97">
        <v>0.28000000000000003</v>
      </c>
      <c r="L191" s="97">
        <v>0.28000000000000003</v>
      </c>
      <c r="M191" s="76"/>
      <c r="N191" s="76"/>
      <c r="O191" s="76"/>
      <c r="P191" s="76"/>
      <c r="Q191" s="76"/>
      <c r="R191" s="76" t="s">
        <v>3015</v>
      </c>
      <c r="S191" s="76"/>
      <c r="T191" s="76"/>
      <c r="U191" s="260">
        <f t="shared" si="25"/>
        <v>0.28000000000000003</v>
      </c>
      <c r="V191" s="260">
        <f t="shared" si="25"/>
        <v>0.28000000000000003</v>
      </c>
      <c r="W191" s="260">
        <f t="shared" si="25"/>
        <v>0.28000000000000003</v>
      </c>
      <c r="X191" s="260">
        <f t="shared" si="25"/>
        <v>0.28000000000000003</v>
      </c>
      <c r="Y191" s="260">
        <f t="shared" si="25"/>
        <v>0.28000000000000003</v>
      </c>
      <c r="Z191" s="260">
        <f t="shared" si="25"/>
        <v>0.28000000000000003</v>
      </c>
      <c r="AA191" s="260">
        <f t="shared" si="25"/>
        <v>0.28000000000000003</v>
      </c>
      <c r="AB191" s="260">
        <f t="shared" si="25"/>
        <v>0.28000000000000003</v>
      </c>
      <c r="AC191" s="76"/>
      <c r="AD191" s="76"/>
      <c r="AE191" s="76"/>
      <c r="AF191" s="97">
        <v>1</v>
      </c>
      <c r="AG191" s="97">
        <v>1</v>
      </c>
      <c r="AH191" s="73"/>
      <c r="AI191" s="57"/>
      <c r="AJ191" s="45"/>
      <c r="AK191" s="45"/>
      <c r="AL191" s="45"/>
    </row>
    <row r="192" spans="1:38" outlineLevel="2" x14ac:dyDescent="0.35">
      <c r="A192" s="45"/>
      <c r="B192" s="54"/>
      <c r="C192" s="47">
        <f t="shared" si="24"/>
        <v>3</v>
      </c>
      <c r="D192" s="73"/>
      <c r="E192" s="70"/>
      <c r="F192" s="70" t="s">
        <v>2863</v>
      </c>
      <c r="G192" s="73"/>
      <c r="H192" s="76" t="s">
        <v>3249</v>
      </c>
      <c r="I192" s="96" t="s">
        <v>2875</v>
      </c>
      <c r="J192" s="96"/>
      <c r="K192" s="97">
        <v>8.9999999999999993E-3</v>
      </c>
      <c r="L192" s="97">
        <v>8.9999999999999993E-3</v>
      </c>
      <c r="M192" s="97">
        <v>8.9999999999999993E-3</v>
      </c>
      <c r="N192" s="97">
        <v>8.9999999999999993E-3</v>
      </c>
      <c r="O192" s="97">
        <v>8.9999999999999993E-3</v>
      </c>
      <c r="P192" s="97">
        <v>8.9999999999999993E-3</v>
      </c>
      <c r="Q192" s="76"/>
      <c r="R192" s="76" t="s">
        <v>3245</v>
      </c>
      <c r="S192" s="76" t="s">
        <v>3245</v>
      </c>
      <c r="T192" s="76"/>
      <c r="U192" s="260">
        <f t="shared" si="25"/>
        <v>8.9999999999999993E-3</v>
      </c>
      <c r="V192" s="260">
        <f t="shared" si="25"/>
        <v>8.9999999999999993E-3</v>
      </c>
      <c r="W192" s="260">
        <f t="shared" si="25"/>
        <v>8.9999999999999993E-3</v>
      </c>
      <c r="X192" s="260">
        <f t="shared" si="25"/>
        <v>8.9999999999999993E-3</v>
      </c>
      <c r="Y192" s="260">
        <f t="shared" si="25"/>
        <v>8.9999999999999993E-3</v>
      </c>
      <c r="Z192" s="260">
        <f t="shared" si="25"/>
        <v>8.9999999999999993E-3</v>
      </c>
      <c r="AA192" s="260">
        <f t="shared" si="25"/>
        <v>8.9999999999999993E-3</v>
      </c>
      <c r="AB192" s="260">
        <f t="shared" si="25"/>
        <v>8.9999999999999993E-3</v>
      </c>
      <c r="AC192" s="76"/>
      <c r="AD192" s="76"/>
      <c r="AE192" s="76"/>
      <c r="AF192" s="97">
        <v>1</v>
      </c>
      <c r="AG192" s="97">
        <v>1</v>
      </c>
      <c r="AH192" s="73"/>
      <c r="AI192" s="57"/>
      <c r="AJ192" s="45"/>
      <c r="AK192" s="45"/>
      <c r="AL192" s="45"/>
    </row>
    <row r="193" spans="1:38" outlineLevel="2" x14ac:dyDescent="0.35">
      <c r="A193" s="45"/>
      <c r="B193" s="54"/>
      <c r="C193" s="47">
        <f t="shared" si="24"/>
        <v>3</v>
      </c>
      <c r="D193" s="73"/>
      <c r="E193" s="70"/>
      <c r="F193" s="70" t="s">
        <v>2864</v>
      </c>
      <c r="G193" s="73"/>
      <c r="H193" s="76" t="s">
        <v>3250</v>
      </c>
      <c r="I193" s="96" t="s">
        <v>2875</v>
      </c>
      <c r="J193" s="96"/>
      <c r="K193" s="97">
        <v>7.6536</v>
      </c>
      <c r="L193" s="97">
        <v>7.6536</v>
      </c>
      <c r="M193" s="97">
        <v>7.6536</v>
      </c>
      <c r="N193" s="97">
        <v>7.6536</v>
      </c>
      <c r="O193" s="97">
        <v>7.6536</v>
      </c>
      <c r="P193" s="97">
        <v>7.6536</v>
      </c>
      <c r="Q193" s="76"/>
      <c r="R193" s="76" t="s">
        <v>3245</v>
      </c>
      <c r="S193" s="76" t="s">
        <v>3245</v>
      </c>
      <c r="T193" s="76"/>
      <c r="U193" s="260">
        <f t="shared" si="25"/>
        <v>7.6536</v>
      </c>
      <c r="V193" s="260">
        <f t="shared" si="25"/>
        <v>7.6536</v>
      </c>
      <c r="W193" s="260">
        <f t="shared" si="25"/>
        <v>7.6536</v>
      </c>
      <c r="X193" s="260">
        <f t="shared" si="25"/>
        <v>7.6536</v>
      </c>
      <c r="Y193" s="260">
        <f t="shared" si="25"/>
        <v>7.6536</v>
      </c>
      <c r="Z193" s="260">
        <f t="shared" si="25"/>
        <v>7.6536</v>
      </c>
      <c r="AA193" s="260">
        <f t="shared" si="25"/>
        <v>7.6536</v>
      </c>
      <c r="AB193" s="260">
        <f t="shared" si="25"/>
        <v>7.6536</v>
      </c>
      <c r="AC193" s="76"/>
      <c r="AD193" s="76"/>
      <c r="AE193" s="76"/>
      <c r="AF193" s="97">
        <v>1</v>
      </c>
      <c r="AG193" s="97">
        <v>1</v>
      </c>
      <c r="AH193" s="73"/>
      <c r="AI193" s="57"/>
      <c r="AJ193" s="45"/>
      <c r="AK193" s="45"/>
      <c r="AL193" s="45"/>
    </row>
    <row r="194" spans="1:38" outlineLevel="2" x14ac:dyDescent="0.35">
      <c r="A194" s="45"/>
      <c r="B194" s="54"/>
      <c r="C194" s="47">
        <f t="shared" si="24"/>
        <v>3</v>
      </c>
      <c r="D194" s="73"/>
      <c r="E194" s="70"/>
      <c r="F194" s="70" t="s">
        <v>2868</v>
      </c>
      <c r="G194" s="73"/>
      <c r="H194" s="76" t="s">
        <v>2915</v>
      </c>
      <c r="I194" s="96" t="s">
        <v>2875</v>
      </c>
      <c r="J194" s="96"/>
      <c r="K194" s="97">
        <v>0.43</v>
      </c>
      <c r="L194" s="97">
        <v>0.43</v>
      </c>
      <c r="M194" s="97">
        <v>0.43</v>
      </c>
      <c r="N194" s="97">
        <v>0.43</v>
      </c>
      <c r="O194" s="97">
        <v>0.43</v>
      </c>
      <c r="P194" s="97">
        <v>0.43</v>
      </c>
      <c r="Q194" s="76"/>
      <c r="R194" s="76" t="s">
        <v>2874</v>
      </c>
      <c r="S194" s="76" t="s">
        <v>2874</v>
      </c>
      <c r="T194" s="76"/>
      <c r="U194" s="260">
        <f t="shared" si="25"/>
        <v>0.43</v>
      </c>
      <c r="V194" s="260">
        <f t="shared" si="25"/>
        <v>0.43</v>
      </c>
      <c r="W194" s="260">
        <f t="shared" si="25"/>
        <v>0.43</v>
      </c>
      <c r="X194" s="260">
        <f t="shared" si="25"/>
        <v>0.43</v>
      </c>
      <c r="Y194" s="260">
        <f t="shared" si="25"/>
        <v>0.43</v>
      </c>
      <c r="Z194" s="260">
        <f t="shared" si="25"/>
        <v>0.43</v>
      </c>
      <c r="AA194" s="260">
        <f t="shared" si="25"/>
        <v>0.43</v>
      </c>
      <c r="AB194" s="260">
        <f t="shared" si="25"/>
        <v>0.43</v>
      </c>
      <c r="AC194" s="76"/>
      <c r="AD194" s="76"/>
      <c r="AE194" s="76"/>
      <c r="AF194" s="97">
        <v>1</v>
      </c>
      <c r="AG194" s="97">
        <v>1</v>
      </c>
      <c r="AH194" s="73"/>
      <c r="AI194" s="57"/>
      <c r="AJ194" s="45"/>
      <c r="AK194" s="45"/>
      <c r="AL194" s="45"/>
    </row>
    <row r="195" spans="1:38" outlineLevel="2" x14ac:dyDescent="0.35">
      <c r="A195" s="45"/>
      <c r="B195" s="54"/>
      <c r="C195" s="47">
        <f t="shared" si="24"/>
        <v>3</v>
      </c>
      <c r="D195" s="73"/>
      <c r="E195" s="70"/>
      <c r="F195" s="70" t="s">
        <v>2869</v>
      </c>
      <c r="G195" s="73"/>
      <c r="H195" s="76" t="s">
        <v>2916</v>
      </c>
      <c r="I195" s="96" t="s">
        <v>2875</v>
      </c>
      <c r="J195" s="96"/>
      <c r="K195" s="97">
        <f>1/0.4-1</f>
        <v>1.5</v>
      </c>
      <c r="L195" s="97">
        <f t="shared" ref="L195:P196" si="26">K195</f>
        <v>1.5</v>
      </c>
      <c r="M195" s="97">
        <f t="shared" si="26"/>
        <v>1.5</v>
      </c>
      <c r="N195" s="97">
        <f t="shared" si="26"/>
        <v>1.5</v>
      </c>
      <c r="O195" s="97">
        <f t="shared" si="26"/>
        <v>1.5</v>
      </c>
      <c r="P195" s="97">
        <f t="shared" si="26"/>
        <v>1.5</v>
      </c>
      <c r="Q195" s="76"/>
      <c r="R195" s="76" t="s">
        <v>2874</v>
      </c>
      <c r="S195" s="76" t="s">
        <v>2874</v>
      </c>
      <c r="T195" s="76"/>
      <c r="U195" s="260">
        <f t="shared" si="25"/>
        <v>1.5</v>
      </c>
      <c r="V195" s="260">
        <f t="shared" si="25"/>
        <v>1.5</v>
      </c>
      <c r="W195" s="260">
        <f t="shared" si="25"/>
        <v>1.5</v>
      </c>
      <c r="X195" s="260">
        <f t="shared" si="25"/>
        <v>1.5</v>
      </c>
      <c r="Y195" s="260">
        <f t="shared" si="25"/>
        <v>1.5</v>
      </c>
      <c r="Z195" s="260">
        <f t="shared" si="25"/>
        <v>1.5</v>
      </c>
      <c r="AA195" s="260">
        <f t="shared" si="25"/>
        <v>1.5</v>
      </c>
      <c r="AB195" s="260">
        <f t="shared" si="25"/>
        <v>1.5</v>
      </c>
      <c r="AC195" s="76"/>
      <c r="AD195" s="76"/>
      <c r="AE195" s="76"/>
      <c r="AF195" s="97">
        <v>1</v>
      </c>
      <c r="AG195" s="97">
        <v>1</v>
      </c>
      <c r="AH195" s="73"/>
      <c r="AI195" s="57"/>
      <c r="AJ195" s="45"/>
      <c r="AK195" s="45"/>
      <c r="AL195" s="45"/>
    </row>
    <row r="196" spans="1:38" outlineLevel="2" x14ac:dyDescent="0.35">
      <c r="A196" s="45"/>
      <c r="B196" s="54"/>
      <c r="C196" s="47">
        <f t="shared" si="24"/>
        <v>3</v>
      </c>
      <c r="D196" s="73"/>
      <c r="E196" s="70"/>
      <c r="F196" s="70" t="s">
        <v>2865</v>
      </c>
      <c r="G196" s="73"/>
      <c r="H196" s="76" t="s">
        <v>2917</v>
      </c>
      <c r="I196" s="96" t="s">
        <v>2875</v>
      </c>
      <c r="J196" s="96"/>
      <c r="K196" s="97">
        <f>1/0.4-1</f>
        <v>1.5</v>
      </c>
      <c r="L196" s="97">
        <f t="shared" si="26"/>
        <v>1.5</v>
      </c>
      <c r="M196" s="97">
        <f t="shared" si="26"/>
        <v>1.5</v>
      </c>
      <c r="N196" s="97">
        <f t="shared" si="26"/>
        <v>1.5</v>
      </c>
      <c r="O196" s="97">
        <f t="shared" si="26"/>
        <v>1.5</v>
      </c>
      <c r="P196" s="97">
        <f t="shared" si="26"/>
        <v>1.5</v>
      </c>
      <c r="Q196" s="76"/>
      <c r="R196" s="76" t="s">
        <v>2874</v>
      </c>
      <c r="S196" s="76" t="s">
        <v>2874</v>
      </c>
      <c r="T196" s="76"/>
      <c r="U196" s="260">
        <f t="shared" si="25"/>
        <v>1.5</v>
      </c>
      <c r="V196" s="260">
        <f t="shared" si="25"/>
        <v>1.5</v>
      </c>
      <c r="W196" s="260">
        <f t="shared" si="25"/>
        <v>1.5</v>
      </c>
      <c r="X196" s="260">
        <f t="shared" si="25"/>
        <v>1.5</v>
      </c>
      <c r="Y196" s="260">
        <f t="shared" si="25"/>
        <v>1.5</v>
      </c>
      <c r="Z196" s="260">
        <f t="shared" si="25"/>
        <v>1.5</v>
      </c>
      <c r="AA196" s="260">
        <f t="shared" si="25"/>
        <v>1.5</v>
      </c>
      <c r="AB196" s="260">
        <f t="shared" si="25"/>
        <v>1.5</v>
      </c>
      <c r="AC196" s="76"/>
      <c r="AD196" s="76"/>
      <c r="AE196" s="76"/>
      <c r="AF196" s="97">
        <v>1</v>
      </c>
      <c r="AG196" s="97">
        <v>1</v>
      </c>
      <c r="AH196" s="73"/>
      <c r="AI196" s="57"/>
      <c r="AJ196" s="45"/>
      <c r="AK196" s="45"/>
      <c r="AL196" s="45"/>
    </row>
    <row r="197" spans="1:38" outlineLevel="2" x14ac:dyDescent="0.35">
      <c r="A197" s="45"/>
      <c r="B197" s="54"/>
      <c r="C197" s="47">
        <f t="shared" si="24"/>
        <v>3</v>
      </c>
      <c r="D197" s="73"/>
      <c r="E197" s="70"/>
      <c r="F197" s="70" t="s">
        <v>2866</v>
      </c>
      <c r="G197" s="73"/>
      <c r="H197" s="76" t="s">
        <v>2918</v>
      </c>
      <c r="I197" s="96" t="s">
        <v>2875</v>
      </c>
      <c r="J197" s="96"/>
      <c r="K197" s="97">
        <f>1/0.4-1</f>
        <v>1.5</v>
      </c>
      <c r="L197" s="97">
        <f>K197</f>
        <v>1.5</v>
      </c>
      <c r="M197" s="76"/>
      <c r="N197" s="76"/>
      <c r="O197" s="76"/>
      <c r="P197" s="76"/>
      <c r="Q197" s="76"/>
      <c r="R197" s="76" t="s">
        <v>2874</v>
      </c>
      <c r="S197" s="76" t="s">
        <v>2874</v>
      </c>
      <c r="T197" s="76"/>
      <c r="U197" s="260">
        <f t="shared" si="25"/>
        <v>1.5</v>
      </c>
      <c r="V197" s="260">
        <f t="shared" si="25"/>
        <v>1.5</v>
      </c>
      <c r="W197" s="260">
        <f t="shared" si="25"/>
        <v>1.5</v>
      </c>
      <c r="X197" s="260">
        <f t="shared" si="25"/>
        <v>1.5</v>
      </c>
      <c r="Y197" s="260">
        <f t="shared" si="25"/>
        <v>1.5</v>
      </c>
      <c r="Z197" s="260">
        <f t="shared" si="25"/>
        <v>1.5</v>
      </c>
      <c r="AA197" s="260">
        <f t="shared" si="25"/>
        <v>1.5</v>
      </c>
      <c r="AB197" s="260">
        <f t="shared" si="25"/>
        <v>1.5</v>
      </c>
      <c r="AC197" s="76"/>
      <c r="AD197" s="76"/>
      <c r="AE197" s="76"/>
      <c r="AF197" s="97">
        <v>1</v>
      </c>
      <c r="AG197" s="97">
        <v>1</v>
      </c>
      <c r="AH197" s="73"/>
      <c r="AI197" s="57"/>
      <c r="AJ197" s="45"/>
      <c r="AK197" s="45"/>
      <c r="AL197" s="45"/>
    </row>
    <row r="198" spans="1:38" outlineLevel="2" x14ac:dyDescent="0.35">
      <c r="A198" s="45"/>
      <c r="B198" s="54"/>
      <c r="C198" s="47">
        <f t="shared" si="24"/>
        <v>3</v>
      </c>
      <c r="D198" s="73"/>
      <c r="E198" s="70"/>
      <c r="F198" s="70" t="s">
        <v>2867</v>
      </c>
      <c r="G198" s="73"/>
      <c r="H198" s="76" t="s">
        <v>3247</v>
      </c>
      <c r="I198" s="96" t="s">
        <v>2875</v>
      </c>
      <c r="J198" s="96"/>
      <c r="K198" s="97">
        <f t="shared" ref="K198:P198" si="27">1/0.2-1</f>
        <v>4</v>
      </c>
      <c r="L198" s="97">
        <f t="shared" si="27"/>
        <v>4</v>
      </c>
      <c r="M198" s="97">
        <f t="shared" si="27"/>
        <v>4</v>
      </c>
      <c r="N198" s="97">
        <f t="shared" si="27"/>
        <v>4</v>
      </c>
      <c r="O198" s="97">
        <f t="shared" si="27"/>
        <v>4</v>
      </c>
      <c r="P198" s="97">
        <f t="shared" si="27"/>
        <v>4</v>
      </c>
      <c r="Q198" s="76"/>
      <c r="R198" s="76" t="s">
        <v>3245</v>
      </c>
      <c r="S198" s="76" t="s">
        <v>3245</v>
      </c>
      <c r="T198" s="76"/>
      <c r="U198" s="260">
        <f t="shared" si="25"/>
        <v>4</v>
      </c>
      <c r="V198" s="260">
        <f t="shared" si="25"/>
        <v>4</v>
      </c>
      <c r="W198" s="260">
        <f t="shared" si="25"/>
        <v>4</v>
      </c>
      <c r="X198" s="260">
        <f t="shared" si="25"/>
        <v>4</v>
      </c>
      <c r="Y198" s="260">
        <f t="shared" si="25"/>
        <v>4</v>
      </c>
      <c r="Z198" s="260">
        <f t="shared" si="25"/>
        <v>4</v>
      </c>
      <c r="AA198" s="260">
        <f t="shared" si="25"/>
        <v>4</v>
      </c>
      <c r="AB198" s="260">
        <f t="shared" si="25"/>
        <v>4</v>
      </c>
      <c r="AC198" s="76"/>
      <c r="AD198" s="76"/>
      <c r="AE198" s="76"/>
      <c r="AF198" s="97">
        <v>1</v>
      </c>
      <c r="AG198" s="97">
        <v>1</v>
      </c>
      <c r="AH198" s="73"/>
      <c r="AI198" s="57"/>
      <c r="AJ198" s="45"/>
      <c r="AK198" s="45"/>
      <c r="AL198" s="45"/>
    </row>
    <row r="199" spans="1:38" outlineLevel="2" x14ac:dyDescent="0.35">
      <c r="A199" s="45"/>
      <c r="B199" s="54"/>
      <c r="C199" s="47">
        <f t="shared" si="24"/>
        <v>3</v>
      </c>
      <c r="D199" s="73"/>
      <c r="E199" s="70"/>
      <c r="F199" s="70" t="s">
        <v>2870</v>
      </c>
      <c r="G199" s="73"/>
      <c r="H199" s="76" t="s">
        <v>3248</v>
      </c>
      <c r="I199" s="96" t="s">
        <v>2875</v>
      </c>
      <c r="J199" s="96"/>
      <c r="K199" s="97">
        <f t="shared" ref="K199:P199" si="28">1/0.9-1</f>
        <v>0.11111111111111116</v>
      </c>
      <c r="L199" s="97">
        <f t="shared" si="28"/>
        <v>0.11111111111111116</v>
      </c>
      <c r="M199" s="97">
        <f t="shared" si="28"/>
        <v>0.11111111111111116</v>
      </c>
      <c r="N199" s="97">
        <f t="shared" si="28"/>
        <v>0.11111111111111116</v>
      </c>
      <c r="O199" s="97">
        <f t="shared" si="28"/>
        <v>0.11111111111111116</v>
      </c>
      <c r="P199" s="97">
        <f t="shared" si="28"/>
        <v>0.11111111111111116</v>
      </c>
      <c r="Q199" s="76"/>
      <c r="R199" s="76" t="s">
        <v>3245</v>
      </c>
      <c r="S199" s="76" t="s">
        <v>3245</v>
      </c>
      <c r="T199" s="76"/>
      <c r="U199" s="260">
        <f t="shared" si="25"/>
        <v>0.11111111111111116</v>
      </c>
      <c r="V199" s="260">
        <f t="shared" si="25"/>
        <v>0.11111111111111116</v>
      </c>
      <c r="W199" s="260">
        <f t="shared" si="25"/>
        <v>0.11111111111111116</v>
      </c>
      <c r="X199" s="260">
        <f t="shared" si="25"/>
        <v>0.11111111111111116</v>
      </c>
      <c r="Y199" s="260">
        <f t="shared" si="25"/>
        <v>0.11111111111111116</v>
      </c>
      <c r="Z199" s="260">
        <f t="shared" si="25"/>
        <v>0.11111111111111116</v>
      </c>
      <c r="AA199" s="260">
        <f t="shared" si="25"/>
        <v>0.11111111111111116</v>
      </c>
      <c r="AB199" s="260">
        <f t="shared" si="25"/>
        <v>0.11111111111111116</v>
      </c>
      <c r="AC199" s="76"/>
      <c r="AD199" s="76"/>
      <c r="AE199" s="76"/>
      <c r="AF199" s="97">
        <v>1</v>
      </c>
      <c r="AG199" s="97">
        <v>1</v>
      </c>
      <c r="AH199" s="73"/>
      <c r="AI199" s="57"/>
      <c r="AJ199" s="45"/>
      <c r="AK199" s="45"/>
      <c r="AL199" s="45"/>
    </row>
    <row r="200" spans="1:38" outlineLevel="2" x14ac:dyDescent="0.35">
      <c r="A200" s="45"/>
      <c r="B200" s="54"/>
      <c r="C200" s="47">
        <f t="shared" si="24"/>
        <v>3</v>
      </c>
      <c r="D200" s="73"/>
      <c r="E200" s="70"/>
      <c r="F200" s="70" t="s">
        <v>2871</v>
      </c>
      <c r="G200" s="73"/>
      <c r="H200" s="76" t="s">
        <v>2919</v>
      </c>
      <c r="I200" s="96" t="s">
        <v>2875</v>
      </c>
      <c r="J200" s="96"/>
      <c r="K200" s="97">
        <v>0</v>
      </c>
      <c r="L200" s="97">
        <v>0</v>
      </c>
      <c r="M200" s="97">
        <v>0</v>
      </c>
      <c r="N200" s="97">
        <v>0</v>
      </c>
      <c r="O200" s="97">
        <v>0</v>
      </c>
      <c r="P200" s="97">
        <v>0</v>
      </c>
      <c r="Q200" s="76"/>
      <c r="R200" s="76" t="s">
        <v>2874</v>
      </c>
      <c r="S200" s="76" t="s">
        <v>2874</v>
      </c>
      <c r="T200" s="76"/>
      <c r="U200" s="260">
        <f t="shared" si="25"/>
        <v>0</v>
      </c>
      <c r="V200" s="260">
        <f t="shared" si="25"/>
        <v>0</v>
      </c>
      <c r="W200" s="260">
        <f t="shared" si="25"/>
        <v>0</v>
      </c>
      <c r="X200" s="260">
        <f t="shared" si="25"/>
        <v>0</v>
      </c>
      <c r="Y200" s="260">
        <f t="shared" si="25"/>
        <v>0</v>
      </c>
      <c r="Z200" s="260">
        <f t="shared" si="25"/>
        <v>0</v>
      </c>
      <c r="AA200" s="260">
        <f t="shared" si="25"/>
        <v>0</v>
      </c>
      <c r="AB200" s="260">
        <f t="shared" si="25"/>
        <v>0</v>
      </c>
      <c r="AC200" s="76"/>
      <c r="AD200" s="76"/>
      <c r="AE200" s="76"/>
      <c r="AF200" s="97">
        <v>1</v>
      </c>
      <c r="AG200" s="97">
        <v>1</v>
      </c>
      <c r="AH200" s="73"/>
      <c r="AI200" s="57"/>
      <c r="AJ200" s="45"/>
      <c r="AK200" s="45"/>
      <c r="AL200" s="45"/>
    </row>
    <row r="201" spans="1:38" outlineLevel="2" x14ac:dyDescent="0.35">
      <c r="A201" s="45"/>
      <c r="B201" s="54"/>
      <c r="C201" s="47">
        <f t="shared" si="24"/>
        <v>3</v>
      </c>
      <c r="D201" s="73"/>
      <c r="E201" s="70"/>
      <c r="F201" s="70" t="s">
        <v>2872</v>
      </c>
      <c r="G201" s="73"/>
      <c r="H201" s="76" t="s">
        <v>2920</v>
      </c>
      <c r="I201" s="96" t="s">
        <v>2875</v>
      </c>
      <c r="J201" s="96"/>
      <c r="K201" s="97">
        <v>0</v>
      </c>
      <c r="L201" s="97">
        <v>0</v>
      </c>
      <c r="M201" s="97">
        <v>0</v>
      </c>
      <c r="N201" s="97">
        <v>0</v>
      </c>
      <c r="O201" s="97">
        <v>0</v>
      </c>
      <c r="P201" s="97">
        <v>0</v>
      </c>
      <c r="Q201" s="76"/>
      <c r="R201" s="76" t="s">
        <v>2874</v>
      </c>
      <c r="S201" s="76" t="s">
        <v>2874</v>
      </c>
      <c r="T201" s="76"/>
      <c r="U201" s="260">
        <f t="shared" si="25"/>
        <v>0</v>
      </c>
      <c r="V201" s="260">
        <f t="shared" si="25"/>
        <v>0</v>
      </c>
      <c r="W201" s="260">
        <f t="shared" si="25"/>
        <v>0</v>
      </c>
      <c r="X201" s="260">
        <f t="shared" si="25"/>
        <v>0</v>
      </c>
      <c r="Y201" s="260">
        <f t="shared" si="25"/>
        <v>0</v>
      </c>
      <c r="Z201" s="260">
        <f t="shared" si="25"/>
        <v>0</v>
      </c>
      <c r="AA201" s="260">
        <f t="shared" si="25"/>
        <v>0</v>
      </c>
      <c r="AB201" s="260">
        <f t="shared" si="25"/>
        <v>0</v>
      </c>
      <c r="AC201" s="76"/>
      <c r="AD201" s="76"/>
      <c r="AE201" s="76"/>
      <c r="AF201" s="97">
        <v>1</v>
      </c>
      <c r="AG201" s="97">
        <v>1</v>
      </c>
      <c r="AH201" s="73"/>
      <c r="AI201" s="57"/>
      <c r="AJ201" s="45"/>
      <c r="AK201" s="45"/>
      <c r="AL201" s="45"/>
    </row>
    <row r="202" spans="1:38" outlineLevel="2" x14ac:dyDescent="0.35">
      <c r="A202" s="45"/>
      <c r="B202" s="54"/>
      <c r="C202" s="47">
        <f t="shared" si="24"/>
        <v>3</v>
      </c>
      <c r="D202" s="73"/>
      <c r="E202" s="70"/>
      <c r="F202" s="70" t="s">
        <v>2873</v>
      </c>
      <c r="G202" s="73"/>
      <c r="H202" s="76" t="s">
        <v>2921</v>
      </c>
      <c r="I202" s="96" t="s">
        <v>2875</v>
      </c>
      <c r="J202" s="96"/>
      <c r="K202" s="97">
        <v>0</v>
      </c>
      <c r="L202" s="97">
        <v>0</v>
      </c>
      <c r="M202" s="97">
        <v>0</v>
      </c>
      <c r="N202" s="97">
        <v>0</v>
      </c>
      <c r="O202" s="97">
        <v>0</v>
      </c>
      <c r="P202" s="97">
        <v>0</v>
      </c>
      <c r="Q202" s="76"/>
      <c r="R202" s="76" t="s">
        <v>2874</v>
      </c>
      <c r="S202" s="76" t="s">
        <v>2874</v>
      </c>
      <c r="T202" s="76"/>
      <c r="U202" s="260">
        <f t="shared" si="25"/>
        <v>0</v>
      </c>
      <c r="V202" s="260">
        <f t="shared" si="25"/>
        <v>0</v>
      </c>
      <c r="W202" s="260">
        <f t="shared" si="25"/>
        <v>0</v>
      </c>
      <c r="X202" s="260">
        <f t="shared" si="25"/>
        <v>0</v>
      </c>
      <c r="Y202" s="260">
        <f t="shared" si="25"/>
        <v>0</v>
      </c>
      <c r="Z202" s="260">
        <f t="shared" si="25"/>
        <v>0</v>
      </c>
      <c r="AA202" s="260">
        <f t="shared" si="25"/>
        <v>0</v>
      </c>
      <c r="AB202" s="260">
        <f t="shared" si="25"/>
        <v>0</v>
      </c>
      <c r="AC202" s="76"/>
      <c r="AD202" s="76"/>
      <c r="AE202" s="76"/>
      <c r="AF202" s="97">
        <v>1</v>
      </c>
      <c r="AG202" s="97">
        <v>1</v>
      </c>
      <c r="AH202" s="73"/>
      <c r="AI202" s="57"/>
      <c r="AJ202" s="45"/>
      <c r="AK202" s="45"/>
      <c r="AL202" s="45"/>
    </row>
    <row r="203" spans="1:38" outlineLevel="1" x14ac:dyDescent="0.35">
      <c r="A203" s="45"/>
      <c r="B203" s="54"/>
      <c r="C203" s="47">
        <f>INT($C$29)+1</f>
        <v>2</v>
      </c>
      <c r="D203" s="73"/>
      <c r="E203" s="70"/>
      <c r="F203" s="263" t="s">
        <v>667</v>
      </c>
      <c r="G203" s="73"/>
      <c r="H203" s="253" t="s">
        <v>668</v>
      </c>
      <c r="I203" s="96"/>
      <c r="J203" s="96" t="s">
        <v>531</v>
      </c>
      <c r="K203" s="76"/>
      <c r="L203" s="76"/>
      <c r="M203" s="76"/>
      <c r="N203" s="76"/>
      <c r="O203" s="76"/>
      <c r="P203" s="76"/>
      <c r="Q203" s="76"/>
      <c r="R203" s="76"/>
      <c r="S203" s="76"/>
      <c r="T203" s="76"/>
      <c r="U203" s="79">
        <v>27</v>
      </c>
      <c r="V203" s="76"/>
      <c r="W203" s="79">
        <v>0</v>
      </c>
      <c r="X203" s="76"/>
      <c r="Y203" s="76"/>
      <c r="Z203" s="76"/>
      <c r="AA203" s="76"/>
      <c r="AB203" s="76"/>
      <c r="AC203" s="76"/>
      <c r="AD203" s="76"/>
      <c r="AE203" s="76"/>
      <c r="AF203" s="76"/>
      <c r="AG203" s="76"/>
      <c r="AH203" s="73"/>
      <c r="AI203" s="57"/>
      <c r="AJ203" s="45"/>
      <c r="AK203" s="45"/>
      <c r="AL203" s="45"/>
    </row>
    <row r="204" spans="1:38" outlineLevel="2" x14ac:dyDescent="0.35">
      <c r="A204" s="45"/>
      <c r="B204" s="54"/>
      <c r="C204" s="47">
        <f t="shared" ref="C204:C218" si="29">INT($C$29)+2</f>
        <v>3</v>
      </c>
      <c r="D204" s="73"/>
      <c r="E204" s="70" t="s">
        <v>669</v>
      </c>
      <c r="F204" s="70" t="s">
        <v>670</v>
      </c>
      <c r="G204" s="73"/>
      <c r="H204" s="76" t="s">
        <v>671</v>
      </c>
      <c r="I204" s="96" t="s">
        <v>672</v>
      </c>
      <c r="J204" s="96"/>
      <c r="K204" s="97">
        <v>25</v>
      </c>
      <c r="L204" s="97">
        <v>25</v>
      </c>
      <c r="M204" s="97">
        <v>25</v>
      </c>
      <c r="N204" s="97">
        <v>25</v>
      </c>
      <c r="O204" s="97">
        <v>25</v>
      </c>
      <c r="P204" s="97">
        <v>25</v>
      </c>
      <c r="Q204" s="76"/>
      <c r="R204" s="76" t="s">
        <v>673</v>
      </c>
      <c r="S204" s="76"/>
      <c r="T204" s="76"/>
      <c r="U204" s="260">
        <f t="shared" ref="U204:AB218" si="30">INDEX($K204:$Q204,1,U$43)</f>
        <v>25</v>
      </c>
      <c r="V204" s="260">
        <f t="shared" si="30"/>
        <v>25</v>
      </c>
      <c r="W204" s="260">
        <f t="shared" si="30"/>
        <v>25</v>
      </c>
      <c r="X204" s="260">
        <f t="shared" si="30"/>
        <v>25</v>
      </c>
      <c r="Y204" s="260">
        <f t="shared" si="30"/>
        <v>25</v>
      </c>
      <c r="Z204" s="260">
        <f t="shared" si="30"/>
        <v>25</v>
      </c>
      <c r="AA204" s="260">
        <f t="shared" si="30"/>
        <v>25</v>
      </c>
      <c r="AB204" s="260">
        <f t="shared" si="30"/>
        <v>25</v>
      </c>
      <c r="AC204" s="76"/>
      <c r="AD204" s="76"/>
      <c r="AE204" s="76"/>
      <c r="AF204" s="97">
        <v>1</v>
      </c>
      <c r="AG204" s="97">
        <v>1</v>
      </c>
      <c r="AH204" s="73"/>
      <c r="AI204" s="57"/>
      <c r="AJ204" s="45"/>
      <c r="AK204" s="45"/>
      <c r="AL204" s="45"/>
    </row>
    <row r="205" spans="1:38" outlineLevel="2" x14ac:dyDescent="0.35">
      <c r="A205" s="45"/>
      <c r="B205" s="54"/>
      <c r="C205" s="47">
        <f t="shared" si="29"/>
        <v>3</v>
      </c>
      <c r="D205" s="73"/>
      <c r="E205" s="70"/>
      <c r="F205" s="70" t="s">
        <v>674</v>
      </c>
      <c r="G205" s="73"/>
      <c r="H205" s="76" t="s">
        <v>675</v>
      </c>
      <c r="I205" s="96" t="s">
        <v>514</v>
      </c>
      <c r="J205" s="96"/>
      <c r="K205" s="97">
        <v>0.09</v>
      </c>
      <c r="L205" s="97">
        <v>0.09</v>
      </c>
      <c r="M205" s="97">
        <v>0.09</v>
      </c>
      <c r="N205" s="97">
        <v>0.09</v>
      </c>
      <c r="O205" s="97">
        <v>0.09</v>
      </c>
      <c r="P205" s="97">
        <v>0.09</v>
      </c>
      <c r="Q205" s="76"/>
      <c r="R205" s="76" t="s">
        <v>524</v>
      </c>
      <c r="S205" s="76" t="s">
        <v>524</v>
      </c>
      <c r="T205" s="76"/>
      <c r="U205" s="260">
        <f t="shared" si="30"/>
        <v>0.09</v>
      </c>
      <c r="V205" s="260">
        <f t="shared" si="30"/>
        <v>0.09</v>
      </c>
      <c r="W205" s="260">
        <f t="shared" si="30"/>
        <v>0.09</v>
      </c>
      <c r="X205" s="260">
        <f t="shared" si="30"/>
        <v>0.09</v>
      </c>
      <c r="Y205" s="260">
        <f t="shared" si="30"/>
        <v>0.09</v>
      </c>
      <c r="Z205" s="260">
        <f t="shared" si="30"/>
        <v>0.09</v>
      </c>
      <c r="AA205" s="260">
        <f t="shared" si="30"/>
        <v>0.09</v>
      </c>
      <c r="AB205" s="260">
        <f t="shared" si="30"/>
        <v>0.09</v>
      </c>
      <c r="AC205" s="76"/>
      <c r="AD205" s="76"/>
      <c r="AE205" s="76"/>
      <c r="AF205" s="97">
        <v>1</v>
      </c>
      <c r="AG205" s="97">
        <v>1</v>
      </c>
      <c r="AH205" s="73"/>
      <c r="AI205" s="57"/>
      <c r="AJ205" s="45"/>
      <c r="AK205" s="45"/>
      <c r="AL205" s="45"/>
    </row>
    <row r="206" spans="1:38" outlineLevel="2" x14ac:dyDescent="0.35">
      <c r="A206" s="45"/>
      <c r="B206" s="54"/>
      <c r="C206" s="47">
        <f t="shared" si="29"/>
        <v>3</v>
      </c>
      <c r="D206" s="73"/>
      <c r="E206" s="70"/>
      <c r="F206" s="70" t="s">
        <v>676</v>
      </c>
      <c r="G206" s="73"/>
      <c r="H206" s="76" t="s">
        <v>677</v>
      </c>
      <c r="I206" s="96" t="s">
        <v>678</v>
      </c>
      <c r="J206" s="96"/>
      <c r="K206" s="97">
        <v>0.26</v>
      </c>
      <c r="L206" s="97">
        <v>0.26</v>
      </c>
      <c r="M206" s="97">
        <v>0.36</v>
      </c>
      <c r="N206" s="97">
        <v>0.31</v>
      </c>
      <c r="O206" s="97">
        <v>0.36</v>
      </c>
      <c r="P206" s="97">
        <v>0.36</v>
      </c>
      <c r="Q206" s="76"/>
      <c r="R206" s="76" t="s">
        <v>524</v>
      </c>
      <c r="S206" s="76" t="s">
        <v>524</v>
      </c>
      <c r="T206" s="76"/>
      <c r="U206" s="260">
        <f t="shared" si="30"/>
        <v>0.26</v>
      </c>
      <c r="V206" s="260">
        <f t="shared" si="30"/>
        <v>0.26</v>
      </c>
      <c r="W206" s="260">
        <f t="shared" si="30"/>
        <v>0.26</v>
      </c>
      <c r="X206" s="260">
        <f t="shared" si="30"/>
        <v>0.26</v>
      </c>
      <c r="Y206" s="260">
        <f t="shared" si="30"/>
        <v>0.26</v>
      </c>
      <c r="Z206" s="260">
        <f t="shared" si="30"/>
        <v>0.26</v>
      </c>
      <c r="AA206" s="260">
        <f t="shared" si="30"/>
        <v>0.26</v>
      </c>
      <c r="AB206" s="260">
        <f t="shared" si="30"/>
        <v>0.26</v>
      </c>
      <c r="AC206" s="76"/>
      <c r="AD206" s="76"/>
      <c r="AE206" s="76"/>
      <c r="AF206" s="97">
        <v>1</v>
      </c>
      <c r="AG206" s="97">
        <v>1</v>
      </c>
      <c r="AH206" s="73"/>
      <c r="AI206" s="57"/>
      <c r="AJ206" s="45"/>
      <c r="AK206" s="45"/>
      <c r="AL206" s="45"/>
    </row>
    <row r="207" spans="1:38" outlineLevel="2" x14ac:dyDescent="0.35">
      <c r="A207" s="45"/>
      <c r="B207" s="54"/>
      <c r="C207" s="47">
        <f t="shared" si="29"/>
        <v>3</v>
      </c>
      <c r="D207" s="73"/>
      <c r="E207" s="70"/>
      <c r="F207" s="70" t="s">
        <v>679</v>
      </c>
      <c r="G207" s="73"/>
      <c r="H207" s="76" t="s">
        <v>680</v>
      </c>
      <c r="I207" s="96" t="s">
        <v>541</v>
      </c>
      <c r="J207" s="96"/>
      <c r="K207" s="97">
        <v>8.0000000000000007E-5</v>
      </c>
      <c r="L207" s="97">
        <v>8.0000000000000007E-5</v>
      </c>
      <c r="M207" s="97">
        <v>8.0000000000000007E-5</v>
      </c>
      <c r="N207" s="97">
        <v>8.0000000000000007E-5</v>
      </c>
      <c r="O207" s="97">
        <v>8.0000000000000007E-5</v>
      </c>
      <c r="P207" s="97">
        <v>8.0000000000000007E-5</v>
      </c>
      <c r="Q207" s="76"/>
      <c r="R207" s="76" t="s">
        <v>524</v>
      </c>
      <c r="S207" s="76" t="s">
        <v>524</v>
      </c>
      <c r="T207" s="76"/>
      <c r="U207" s="260">
        <f t="shared" si="30"/>
        <v>8.0000000000000007E-5</v>
      </c>
      <c r="V207" s="260">
        <f t="shared" si="30"/>
        <v>8.0000000000000007E-5</v>
      </c>
      <c r="W207" s="260">
        <f t="shared" si="30"/>
        <v>8.0000000000000007E-5</v>
      </c>
      <c r="X207" s="260">
        <f t="shared" si="30"/>
        <v>8.0000000000000007E-5</v>
      </c>
      <c r="Y207" s="260">
        <f t="shared" si="30"/>
        <v>8.0000000000000007E-5</v>
      </c>
      <c r="Z207" s="260">
        <f t="shared" si="30"/>
        <v>8.0000000000000007E-5</v>
      </c>
      <c r="AA207" s="260">
        <f t="shared" si="30"/>
        <v>8.0000000000000007E-5</v>
      </c>
      <c r="AB207" s="260">
        <f t="shared" si="30"/>
        <v>8.0000000000000007E-5</v>
      </c>
      <c r="AC207" s="76"/>
      <c r="AD207" s="76"/>
      <c r="AE207" s="76"/>
      <c r="AF207" s="97">
        <v>1</v>
      </c>
      <c r="AG207" s="97">
        <v>1</v>
      </c>
      <c r="AH207" s="73"/>
      <c r="AI207" s="57"/>
      <c r="AJ207" s="45"/>
      <c r="AK207" s="45"/>
      <c r="AL207" s="45"/>
    </row>
    <row r="208" spans="1:38" outlineLevel="2" x14ac:dyDescent="0.35">
      <c r="A208" s="45"/>
      <c r="B208" s="54"/>
      <c r="C208" s="47">
        <f t="shared" si="29"/>
        <v>3</v>
      </c>
      <c r="D208" s="73"/>
      <c r="E208" s="70"/>
      <c r="F208" s="70" t="s">
        <v>681</v>
      </c>
      <c r="G208" s="73"/>
      <c r="H208" s="76" t="s">
        <v>682</v>
      </c>
      <c r="I208" s="96" t="s">
        <v>514</v>
      </c>
      <c r="J208" s="96"/>
      <c r="K208" s="97">
        <v>0.84</v>
      </c>
      <c r="L208" s="97">
        <v>0.84</v>
      </c>
      <c r="M208" s="97">
        <v>0.84</v>
      </c>
      <c r="N208" s="97">
        <v>0.84</v>
      </c>
      <c r="O208" s="97">
        <v>0.84</v>
      </c>
      <c r="P208" s="97">
        <v>0.84</v>
      </c>
      <c r="Q208" s="76"/>
      <c r="R208" s="76" t="s">
        <v>524</v>
      </c>
      <c r="S208" s="76" t="s">
        <v>524</v>
      </c>
      <c r="T208" s="76"/>
      <c r="U208" s="260">
        <f t="shared" si="30"/>
        <v>0.84</v>
      </c>
      <c r="V208" s="260">
        <f t="shared" si="30"/>
        <v>0.84</v>
      </c>
      <c r="W208" s="260">
        <f t="shared" si="30"/>
        <v>0.84</v>
      </c>
      <c r="X208" s="260">
        <f t="shared" si="30"/>
        <v>0.84</v>
      </c>
      <c r="Y208" s="260">
        <f t="shared" si="30"/>
        <v>0.84</v>
      </c>
      <c r="Z208" s="260">
        <f t="shared" si="30"/>
        <v>0.84</v>
      </c>
      <c r="AA208" s="260">
        <f t="shared" si="30"/>
        <v>0.84</v>
      </c>
      <c r="AB208" s="260">
        <f t="shared" si="30"/>
        <v>0.84</v>
      </c>
      <c r="AC208" s="76"/>
      <c r="AD208" s="76"/>
      <c r="AE208" s="76"/>
      <c r="AF208" s="97">
        <v>1</v>
      </c>
      <c r="AG208" s="97">
        <v>1</v>
      </c>
      <c r="AH208" s="73"/>
      <c r="AI208" s="57"/>
      <c r="AJ208" s="45"/>
      <c r="AK208" s="45"/>
      <c r="AL208" s="45"/>
    </row>
    <row r="209" spans="1:38" outlineLevel="2" x14ac:dyDescent="0.35">
      <c r="A209" s="45"/>
      <c r="B209" s="54"/>
      <c r="C209" s="47">
        <f t="shared" si="29"/>
        <v>3</v>
      </c>
      <c r="D209" s="73"/>
      <c r="E209" s="70"/>
      <c r="F209" s="70" t="s">
        <v>683</v>
      </c>
      <c r="G209" s="73"/>
      <c r="H209" s="76" t="s">
        <v>684</v>
      </c>
      <c r="I209" s="96" t="s">
        <v>514</v>
      </c>
      <c r="J209" s="96"/>
      <c r="K209" s="97">
        <v>0.23</v>
      </c>
      <c r="L209" s="97">
        <v>0.23</v>
      </c>
      <c r="M209" s="97">
        <v>0.23</v>
      </c>
      <c r="N209" s="97">
        <v>0.23</v>
      </c>
      <c r="O209" s="97">
        <v>0.23</v>
      </c>
      <c r="P209" s="97">
        <v>0.23</v>
      </c>
      <c r="Q209" s="76"/>
      <c r="R209" s="76" t="s">
        <v>685</v>
      </c>
      <c r="S209" s="76" t="s">
        <v>524</v>
      </c>
      <c r="T209" s="76"/>
      <c r="U209" s="260">
        <f t="shared" si="30"/>
        <v>0.23</v>
      </c>
      <c r="V209" s="260">
        <f t="shared" si="30"/>
        <v>0.23</v>
      </c>
      <c r="W209" s="260">
        <f t="shared" si="30"/>
        <v>0.23</v>
      </c>
      <c r="X209" s="260">
        <f t="shared" si="30"/>
        <v>0.23</v>
      </c>
      <c r="Y209" s="260">
        <f t="shared" si="30"/>
        <v>0.23</v>
      </c>
      <c r="Z209" s="260">
        <f t="shared" si="30"/>
        <v>0.23</v>
      </c>
      <c r="AA209" s="260">
        <f t="shared" si="30"/>
        <v>0.23</v>
      </c>
      <c r="AB209" s="260">
        <f t="shared" si="30"/>
        <v>0.23</v>
      </c>
      <c r="AC209" s="76"/>
      <c r="AD209" s="76"/>
      <c r="AE209" s="76"/>
      <c r="AF209" s="97">
        <v>1</v>
      </c>
      <c r="AG209" s="97">
        <v>1</v>
      </c>
      <c r="AH209" s="73"/>
      <c r="AI209" s="57"/>
      <c r="AJ209" s="45"/>
      <c r="AK209" s="45"/>
      <c r="AL209" s="45"/>
    </row>
    <row r="210" spans="1:38" outlineLevel="2" x14ac:dyDescent="0.35">
      <c r="A210" s="45"/>
      <c r="B210" s="54"/>
      <c r="C210" s="47">
        <f t="shared" si="29"/>
        <v>3</v>
      </c>
      <c r="D210" s="73"/>
      <c r="E210" s="70"/>
      <c r="F210" s="70" t="s">
        <v>686</v>
      </c>
      <c r="G210" s="73"/>
      <c r="H210" s="76" t="s">
        <v>687</v>
      </c>
      <c r="I210" s="96" t="s">
        <v>688</v>
      </c>
      <c r="J210" s="96"/>
      <c r="K210" s="97">
        <v>0.02</v>
      </c>
      <c r="L210" s="97">
        <v>0.02</v>
      </c>
      <c r="M210" s="97">
        <v>2.5000000000000001E-3</v>
      </c>
      <c r="N210" s="97">
        <v>2.5000000000000001E-3</v>
      </c>
      <c r="O210" s="97">
        <v>2.5000000000000001E-3</v>
      </c>
      <c r="P210" s="97">
        <v>2.5000000000000001E-3</v>
      </c>
      <c r="Q210" s="76"/>
      <c r="R210" s="76" t="s">
        <v>685</v>
      </c>
      <c r="S210" s="76" t="s">
        <v>689</v>
      </c>
      <c r="T210" s="76"/>
      <c r="U210" s="260">
        <f t="shared" si="30"/>
        <v>0.02</v>
      </c>
      <c r="V210" s="260">
        <f t="shared" si="30"/>
        <v>0.02</v>
      </c>
      <c r="W210" s="260">
        <f t="shared" si="30"/>
        <v>0.02</v>
      </c>
      <c r="X210" s="260">
        <f t="shared" si="30"/>
        <v>0.02</v>
      </c>
      <c r="Y210" s="260">
        <f t="shared" si="30"/>
        <v>0.02</v>
      </c>
      <c r="Z210" s="260">
        <f t="shared" si="30"/>
        <v>0.02</v>
      </c>
      <c r="AA210" s="260">
        <f t="shared" si="30"/>
        <v>0.02</v>
      </c>
      <c r="AB210" s="260">
        <f t="shared" si="30"/>
        <v>0.02</v>
      </c>
      <c r="AC210" s="76"/>
      <c r="AD210" s="76"/>
      <c r="AE210" s="76"/>
      <c r="AF210" s="97">
        <v>1</v>
      </c>
      <c r="AG210" s="97">
        <v>1</v>
      </c>
      <c r="AH210" s="73"/>
      <c r="AI210" s="57"/>
      <c r="AJ210" s="45"/>
      <c r="AK210" s="45"/>
      <c r="AL210" s="45"/>
    </row>
    <row r="211" spans="1:38" outlineLevel="2" x14ac:dyDescent="0.35">
      <c r="A211" s="45"/>
      <c r="B211" s="54"/>
      <c r="C211" s="47">
        <f t="shared" si="29"/>
        <v>3</v>
      </c>
      <c r="D211" s="73"/>
      <c r="E211" s="70"/>
      <c r="F211" s="70" t="s">
        <v>690</v>
      </c>
      <c r="G211" s="73"/>
      <c r="H211" s="76" t="s">
        <v>691</v>
      </c>
      <c r="I211" s="96" t="s">
        <v>586</v>
      </c>
      <c r="J211" s="96"/>
      <c r="K211" s="97">
        <v>0.9</v>
      </c>
      <c r="L211" s="97">
        <v>0.9</v>
      </c>
      <c r="M211" s="97">
        <v>0.9</v>
      </c>
      <c r="N211" s="97">
        <v>0.9</v>
      </c>
      <c r="O211" s="97">
        <v>0.9</v>
      </c>
      <c r="P211" s="97">
        <v>0.9</v>
      </c>
      <c r="Q211" s="76"/>
      <c r="R211" s="76" t="s">
        <v>524</v>
      </c>
      <c r="S211" s="76" t="s">
        <v>689</v>
      </c>
      <c r="T211" s="76"/>
      <c r="U211" s="260">
        <f t="shared" si="30"/>
        <v>0.9</v>
      </c>
      <c r="V211" s="260">
        <f t="shared" si="30"/>
        <v>0.9</v>
      </c>
      <c r="W211" s="260">
        <f t="shared" si="30"/>
        <v>0.9</v>
      </c>
      <c r="X211" s="260">
        <f t="shared" si="30"/>
        <v>0.9</v>
      </c>
      <c r="Y211" s="260">
        <f t="shared" si="30"/>
        <v>0.9</v>
      </c>
      <c r="Z211" s="260">
        <f t="shared" si="30"/>
        <v>0.9</v>
      </c>
      <c r="AA211" s="260">
        <f t="shared" si="30"/>
        <v>0.9</v>
      </c>
      <c r="AB211" s="260">
        <f t="shared" si="30"/>
        <v>0.9</v>
      </c>
      <c r="AC211" s="76"/>
      <c r="AD211" s="76"/>
      <c r="AE211" s="76"/>
      <c r="AF211" s="97">
        <v>1</v>
      </c>
      <c r="AG211" s="97">
        <v>1</v>
      </c>
      <c r="AH211" s="73"/>
      <c r="AI211" s="57"/>
      <c r="AJ211" s="45"/>
      <c r="AK211" s="45"/>
      <c r="AL211" s="45"/>
    </row>
    <row r="212" spans="1:38" outlineLevel="2" x14ac:dyDescent="0.35">
      <c r="A212" s="45"/>
      <c r="B212" s="54"/>
      <c r="C212" s="47">
        <f t="shared" si="29"/>
        <v>3</v>
      </c>
      <c r="D212" s="73"/>
      <c r="E212" s="70"/>
      <c r="F212" s="70" t="s">
        <v>692</v>
      </c>
      <c r="G212" s="73"/>
      <c r="H212" s="76" t="s">
        <v>693</v>
      </c>
      <c r="I212" s="96" t="s">
        <v>2271</v>
      </c>
      <c r="J212" s="96"/>
      <c r="K212" s="97">
        <v>5.7000000000000003E-5</v>
      </c>
      <c r="L212" s="97">
        <v>5.7000000000000003E-5</v>
      </c>
      <c r="M212" s="97">
        <v>5.7000000000000003E-5</v>
      </c>
      <c r="N212" s="97">
        <v>5.7000000000000003E-5</v>
      </c>
      <c r="O212" s="97">
        <v>5.7000000000000003E-5</v>
      </c>
      <c r="P212" s="97">
        <v>5.7000000000000003E-5</v>
      </c>
      <c r="Q212" s="76"/>
      <c r="R212" s="76" t="s">
        <v>685</v>
      </c>
      <c r="S212" s="76" t="s">
        <v>689</v>
      </c>
      <c r="T212" s="76"/>
      <c r="U212" s="260">
        <f t="shared" si="30"/>
        <v>5.7000000000000003E-5</v>
      </c>
      <c r="V212" s="260">
        <f t="shared" si="30"/>
        <v>5.7000000000000003E-5</v>
      </c>
      <c r="W212" s="260">
        <f t="shared" si="30"/>
        <v>5.7000000000000003E-5</v>
      </c>
      <c r="X212" s="260">
        <f t="shared" si="30"/>
        <v>5.7000000000000003E-5</v>
      </c>
      <c r="Y212" s="260">
        <f t="shared" si="30"/>
        <v>5.7000000000000003E-5</v>
      </c>
      <c r="Z212" s="260">
        <f t="shared" si="30"/>
        <v>5.7000000000000003E-5</v>
      </c>
      <c r="AA212" s="260">
        <f t="shared" si="30"/>
        <v>5.7000000000000003E-5</v>
      </c>
      <c r="AB212" s="260">
        <f t="shared" si="30"/>
        <v>5.7000000000000003E-5</v>
      </c>
      <c r="AC212" s="76"/>
      <c r="AD212" s="76"/>
      <c r="AE212" s="76"/>
      <c r="AF212" s="97">
        <v>1</v>
      </c>
      <c r="AG212" s="97">
        <v>1</v>
      </c>
      <c r="AH212" s="73"/>
      <c r="AI212" s="57"/>
      <c r="AJ212" s="45"/>
      <c r="AK212" s="45"/>
      <c r="AL212" s="45"/>
    </row>
    <row r="213" spans="1:38" outlineLevel="2" x14ac:dyDescent="0.35">
      <c r="A213" s="45"/>
      <c r="B213" s="54"/>
      <c r="C213" s="47">
        <f t="shared" si="29"/>
        <v>3</v>
      </c>
      <c r="D213" s="73"/>
      <c r="E213" s="70"/>
      <c r="F213" s="70" t="s">
        <v>694</v>
      </c>
      <c r="G213" s="73"/>
      <c r="H213" s="76" t="s">
        <v>695</v>
      </c>
      <c r="I213" s="96" t="s">
        <v>638</v>
      </c>
      <c r="J213" s="96"/>
      <c r="K213" s="97">
        <v>0.16</v>
      </c>
      <c r="L213" s="97">
        <v>0.16</v>
      </c>
      <c r="M213" s="97">
        <v>0.16</v>
      </c>
      <c r="N213" s="97">
        <v>0.16</v>
      </c>
      <c r="O213" s="97">
        <v>0.16</v>
      </c>
      <c r="P213" s="97">
        <v>0.16</v>
      </c>
      <c r="Q213" s="76"/>
      <c r="R213" s="76" t="s">
        <v>685</v>
      </c>
      <c r="S213" s="76" t="s">
        <v>689</v>
      </c>
      <c r="T213" s="76"/>
      <c r="U213" s="260">
        <f t="shared" si="30"/>
        <v>0.16</v>
      </c>
      <c r="V213" s="260">
        <f t="shared" si="30"/>
        <v>0.16</v>
      </c>
      <c r="W213" s="260">
        <f t="shared" si="30"/>
        <v>0.16</v>
      </c>
      <c r="X213" s="260">
        <f t="shared" si="30"/>
        <v>0.16</v>
      </c>
      <c r="Y213" s="260">
        <f t="shared" si="30"/>
        <v>0.16</v>
      </c>
      <c r="Z213" s="260">
        <f t="shared" si="30"/>
        <v>0.16</v>
      </c>
      <c r="AA213" s="260">
        <f t="shared" si="30"/>
        <v>0.16</v>
      </c>
      <c r="AB213" s="260">
        <f t="shared" si="30"/>
        <v>0.16</v>
      </c>
      <c r="AC213" s="76"/>
      <c r="AD213" s="76"/>
      <c r="AE213" s="76"/>
      <c r="AF213" s="97">
        <v>1</v>
      </c>
      <c r="AG213" s="97">
        <v>1</v>
      </c>
      <c r="AH213" s="73"/>
      <c r="AI213" s="57"/>
      <c r="AJ213" s="45"/>
      <c r="AK213" s="45"/>
      <c r="AL213" s="45"/>
    </row>
    <row r="214" spans="1:38" outlineLevel="2" x14ac:dyDescent="0.35">
      <c r="A214" s="45"/>
      <c r="B214" s="54"/>
      <c r="C214" s="47">
        <f t="shared" si="29"/>
        <v>3</v>
      </c>
      <c r="D214" s="73"/>
      <c r="E214" s="70"/>
      <c r="F214" s="70" t="s">
        <v>696</v>
      </c>
      <c r="G214" s="73"/>
      <c r="H214" s="76" t="s">
        <v>697</v>
      </c>
      <c r="I214" s="96" t="s">
        <v>536</v>
      </c>
      <c r="J214" s="96"/>
      <c r="K214" s="97">
        <v>1.52E-2</v>
      </c>
      <c r="L214" s="97">
        <v>1.52E-2</v>
      </c>
      <c r="M214" s="97">
        <v>1.52E-2</v>
      </c>
      <c r="N214" s="97">
        <v>1.52E-2</v>
      </c>
      <c r="O214" s="97">
        <v>1.52E-2</v>
      </c>
      <c r="P214" s="97">
        <v>1.52E-2</v>
      </c>
      <c r="Q214" s="76"/>
      <c r="R214" s="76" t="s">
        <v>524</v>
      </c>
      <c r="S214" s="76" t="s">
        <v>524</v>
      </c>
      <c r="T214" s="76"/>
      <c r="U214" s="260">
        <f t="shared" si="30"/>
        <v>1.52E-2</v>
      </c>
      <c r="V214" s="260">
        <f t="shared" si="30"/>
        <v>1.52E-2</v>
      </c>
      <c r="W214" s="260">
        <f t="shared" si="30"/>
        <v>1.52E-2</v>
      </c>
      <c r="X214" s="260">
        <f t="shared" si="30"/>
        <v>1.52E-2</v>
      </c>
      <c r="Y214" s="260">
        <f t="shared" si="30"/>
        <v>1.52E-2</v>
      </c>
      <c r="Z214" s="260">
        <f t="shared" si="30"/>
        <v>1.52E-2</v>
      </c>
      <c r="AA214" s="260">
        <f t="shared" si="30"/>
        <v>1.52E-2</v>
      </c>
      <c r="AB214" s="260">
        <f t="shared" si="30"/>
        <v>1.52E-2</v>
      </c>
      <c r="AC214" s="76"/>
      <c r="AD214" s="76"/>
      <c r="AE214" s="76"/>
      <c r="AF214" s="97">
        <v>1</v>
      </c>
      <c r="AG214" s="97">
        <v>1</v>
      </c>
      <c r="AH214" s="73"/>
      <c r="AI214" s="57"/>
      <c r="AJ214" s="45"/>
      <c r="AK214" s="45"/>
      <c r="AL214" s="45"/>
    </row>
    <row r="215" spans="1:38" outlineLevel="2" x14ac:dyDescent="0.35">
      <c r="A215" s="45"/>
      <c r="B215" s="54"/>
      <c r="C215" s="47">
        <f t="shared" si="29"/>
        <v>3</v>
      </c>
      <c r="D215" s="73"/>
      <c r="E215" s="70"/>
      <c r="F215" s="70" t="s">
        <v>698</v>
      </c>
      <c r="G215" s="73"/>
      <c r="H215" s="76" t="s">
        <v>699</v>
      </c>
      <c r="I215" s="96" t="s">
        <v>638</v>
      </c>
      <c r="J215" s="96"/>
      <c r="K215" s="265">
        <v>4.6000000000000001E-4</v>
      </c>
      <c r="L215" s="265">
        <v>4.6000000000000001E-4</v>
      </c>
      <c r="M215" s="97">
        <v>5.2599999999999999E-4</v>
      </c>
      <c r="N215" s="97">
        <v>5.2599999999999999E-4</v>
      </c>
      <c r="O215" s="97">
        <v>5.2599999999999999E-4</v>
      </c>
      <c r="P215" s="97">
        <v>5.2599999999999999E-4</v>
      </c>
      <c r="Q215" s="76"/>
      <c r="R215" s="76" t="s">
        <v>700</v>
      </c>
      <c r="S215" s="76" t="s">
        <v>700</v>
      </c>
      <c r="T215" s="76"/>
      <c r="U215" s="260">
        <f t="shared" si="30"/>
        <v>4.6000000000000001E-4</v>
      </c>
      <c r="V215" s="260">
        <f t="shared" si="30"/>
        <v>4.6000000000000001E-4</v>
      </c>
      <c r="W215" s="260">
        <f t="shared" si="30"/>
        <v>4.6000000000000001E-4</v>
      </c>
      <c r="X215" s="260">
        <f t="shared" si="30"/>
        <v>4.6000000000000001E-4</v>
      </c>
      <c r="Y215" s="260">
        <f t="shared" si="30"/>
        <v>4.6000000000000001E-4</v>
      </c>
      <c r="Z215" s="260">
        <f t="shared" si="30"/>
        <v>4.6000000000000001E-4</v>
      </c>
      <c r="AA215" s="260">
        <f t="shared" si="30"/>
        <v>4.6000000000000001E-4</v>
      </c>
      <c r="AB215" s="260">
        <f t="shared" si="30"/>
        <v>4.6000000000000001E-4</v>
      </c>
      <c r="AC215" s="76"/>
      <c r="AD215" s="76"/>
      <c r="AE215" s="76"/>
      <c r="AF215" s="97">
        <v>1</v>
      </c>
      <c r="AG215" s="97">
        <v>1</v>
      </c>
      <c r="AH215" s="73"/>
      <c r="AI215" s="57"/>
      <c r="AJ215" s="45"/>
      <c r="AK215" s="45"/>
      <c r="AL215" s="45"/>
    </row>
    <row r="216" spans="1:38" outlineLevel="2" x14ac:dyDescent="0.35">
      <c r="A216" s="45"/>
      <c r="B216" s="54"/>
      <c r="C216" s="47">
        <f t="shared" si="29"/>
        <v>3</v>
      </c>
      <c r="D216" s="73"/>
      <c r="E216" s="70"/>
      <c r="F216" s="70" t="s">
        <v>701</v>
      </c>
      <c r="G216" s="73"/>
      <c r="H216" s="76" t="s">
        <v>702</v>
      </c>
      <c r="I216" s="96" t="s">
        <v>514</v>
      </c>
      <c r="J216" s="96"/>
      <c r="K216" s="265">
        <v>1.47E-4</v>
      </c>
      <c r="L216" s="265">
        <v>1.47E-4</v>
      </c>
      <c r="M216" s="97">
        <v>1.61E-2</v>
      </c>
      <c r="N216" s="97">
        <v>1.29E-2</v>
      </c>
      <c r="O216" s="97">
        <v>1.61E-2</v>
      </c>
      <c r="P216" s="97">
        <v>1.61E-2</v>
      </c>
      <c r="Q216" s="76"/>
      <c r="R216" s="76" t="s">
        <v>700</v>
      </c>
      <c r="S216" s="76" t="s">
        <v>700</v>
      </c>
      <c r="T216" s="76"/>
      <c r="U216" s="260">
        <f t="shared" si="30"/>
        <v>1.47E-4</v>
      </c>
      <c r="V216" s="260">
        <f t="shared" si="30"/>
        <v>1.47E-4</v>
      </c>
      <c r="W216" s="260">
        <f t="shared" si="30"/>
        <v>1.47E-4</v>
      </c>
      <c r="X216" s="260">
        <f t="shared" si="30"/>
        <v>1.47E-4</v>
      </c>
      <c r="Y216" s="260">
        <f t="shared" si="30"/>
        <v>1.47E-4</v>
      </c>
      <c r="Z216" s="260">
        <f t="shared" si="30"/>
        <v>1.47E-4</v>
      </c>
      <c r="AA216" s="260">
        <f t="shared" si="30"/>
        <v>1.47E-4</v>
      </c>
      <c r="AB216" s="260">
        <f t="shared" si="30"/>
        <v>1.47E-4</v>
      </c>
      <c r="AC216" s="76"/>
      <c r="AD216" s="76"/>
      <c r="AE216" s="76"/>
      <c r="AF216" s="97">
        <v>1</v>
      </c>
      <c r="AG216" s="97">
        <v>1</v>
      </c>
      <c r="AH216" s="73"/>
      <c r="AI216" s="57"/>
      <c r="AJ216" s="45"/>
      <c r="AK216" s="45"/>
      <c r="AL216" s="45"/>
    </row>
    <row r="217" spans="1:38" outlineLevel="2" x14ac:dyDescent="0.35">
      <c r="A217" s="45"/>
      <c r="B217" s="54"/>
      <c r="C217" s="47">
        <f t="shared" si="29"/>
        <v>3</v>
      </c>
      <c r="D217" s="73"/>
      <c r="E217" s="70"/>
      <c r="F217" s="70" t="s">
        <v>703</v>
      </c>
      <c r="G217" s="73"/>
      <c r="H217" s="76" t="s">
        <v>704</v>
      </c>
      <c r="I217" s="96" t="s">
        <v>705</v>
      </c>
      <c r="J217" s="96"/>
      <c r="K217" s="97">
        <v>3.375E-3</v>
      </c>
      <c r="L217" s="97">
        <v>3.375E-3</v>
      </c>
      <c r="M217" s="97">
        <v>4.2200000000000001E-2</v>
      </c>
      <c r="N217" s="97">
        <v>3.3799999999999997E-2</v>
      </c>
      <c r="O217" s="97">
        <v>4.2200000000000001E-2</v>
      </c>
      <c r="P217" s="97">
        <v>4.2200000000000001E-2</v>
      </c>
      <c r="Q217" s="76"/>
      <c r="R217" s="76" t="s">
        <v>700</v>
      </c>
      <c r="S217" s="76" t="s">
        <v>700</v>
      </c>
      <c r="T217" s="76"/>
      <c r="U217" s="260">
        <f t="shared" si="30"/>
        <v>3.375E-3</v>
      </c>
      <c r="V217" s="260">
        <f t="shared" si="30"/>
        <v>3.375E-3</v>
      </c>
      <c r="W217" s="260">
        <f t="shared" si="30"/>
        <v>3.375E-3</v>
      </c>
      <c r="X217" s="260">
        <f t="shared" si="30"/>
        <v>3.375E-3</v>
      </c>
      <c r="Y217" s="260">
        <f t="shared" si="30"/>
        <v>3.375E-3</v>
      </c>
      <c r="Z217" s="260">
        <f t="shared" si="30"/>
        <v>3.375E-3</v>
      </c>
      <c r="AA217" s="260">
        <f t="shared" si="30"/>
        <v>3.375E-3</v>
      </c>
      <c r="AB217" s="260">
        <f t="shared" si="30"/>
        <v>3.375E-3</v>
      </c>
      <c r="AC217" s="76"/>
      <c r="AD217" s="76"/>
      <c r="AE217" s="76"/>
      <c r="AF217" s="97">
        <v>1</v>
      </c>
      <c r="AG217" s="97">
        <v>1</v>
      </c>
      <c r="AH217" s="73"/>
      <c r="AI217" s="57"/>
      <c r="AJ217" s="45"/>
      <c r="AK217" s="45"/>
      <c r="AL217" s="45"/>
    </row>
    <row r="218" spans="1:38" outlineLevel="2" x14ac:dyDescent="0.35">
      <c r="A218" s="45"/>
      <c r="B218" s="54"/>
      <c r="C218" s="47">
        <f t="shared" si="29"/>
        <v>3</v>
      </c>
      <c r="D218" s="73"/>
      <c r="E218" s="70"/>
      <c r="F218" s="70" t="s">
        <v>706</v>
      </c>
      <c r="G218" s="73"/>
      <c r="H218" s="76" t="s">
        <v>707</v>
      </c>
      <c r="I218" s="96" t="s">
        <v>708</v>
      </c>
      <c r="J218" s="96"/>
      <c r="K218" s="76"/>
      <c r="L218" s="76"/>
      <c r="M218" s="97">
        <v>1.1E-4</v>
      </c>
      <c r="N218" s="97">
        <v>1.1E-4</v>
      </c>
      <c r="O218" s="97">
        <v>1.1E-4</v>
      </c>
      <c r="P218" s="97">
        <v>1.1E-4</v>
      </c>
      <c r="Q218" s="76"/>
      <c r="R218" s="76"/>
      <c r="S218" s="76" t="s">
        <v>524</v>
      </c>
      <c r="T218" s="76"/>
      <c r="U218" s="260">
        <f t="shared" si="30"/>
        <v>0</v>
      </c>
      <c r="V218" s="260">
        <f t="shared" si="30"/>
        <v>0</v>
      </c>
      <c r="W218" s="260">
        <f t="shared" si="30"/>
        <v>0</v>
      </c>
      <c r="X218" s="260">
        <f t="shared" si="30"/>
        <v>0</v>
      </c>
      <c r="Y218" s="260">
        <f t="shared" si="30"/>
        <v>0</v>
      </c>
      <c r="Z218" s="260">
        <f t="shared" si="30"/>
        <v>0</v>
      </c>
      <c r="AA218" s="260">
        <f t="shared" si="30"/>
        <v>0</v>
      </c>
      <c r="AB218" s="260">
        <f t="shared" si="30"/>
        <v>0</v>
      </c>
      <c r="AC218" s="76"/>
      <c r="AD218" s="76"/>
      <c r="AE218" s="76"/>
      <c r="AF218" s="97">
        <v>1</v>
      </c>
      <c r="AG218" s="97">
        <v>1</v>
      </c>
      <c r="AH218" s="73"/>
      <c r="AI218" s="57"/>
      <c r="AJ218" s="45"/>
      <c r="AK218" s="45"/>
      <c r="AL218" s="45"/>
    </row>
    <row r="219" spans="1:38" outlineLevel="3" x14ac:dyDescent="0.35">
      <c r="A219" s="45"/>
      <c r="B219" s="54"/>
      <c r="C219" s="47">
        <f>INT($C$29)+3</f>
        <v>4</v>
      </c>
      <c r="D219" s="73"/>
      <c r="E219" s="70"/>
      <c r="F219" s="70" t="s">
        <v>709</v>
      </c>
      <c r="G219" s="73"/>
      <c r="H219" s="76" t="s">
        <v>710</v>
      </c>
      <c r="I219" s="96" t="s">
        <v>514</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35">
      <c r="A220" s="45"/>
      <c r="B220" s="54"/>
      <c r="C220" s="47">
        <f t="shared" ref="C220:C230" si="31">INT($C$29)+2</f>
        <v>3</v>
      </c>
      <c r="D220" s="73"/>
      <c r="E220" s="70"/>
      <c r="F220" s="70" t="s">
        <v>711</v>
      </c>
      <c r="G220" s="73"/>
      <c r="H220" s="76" t="s">
        <v>712</v>
      </c>
      <c r="I220" s="96" t="s">
        <v>2270</v>
      </c>
      <c r="J220" s="96"/>
      <c r="K220" s="97">
        <v>2.5999999999999999E-3</v>
      </c>
      <c r="L220" s="97">
        <v>2.5999999999999999E-3</v>
      </c>
      <c r="M220" s="97">
        <v>2.5999999999999999E-3</v>
      </c>
      <c r="N220" s="97">
        <v>2.5999999999999999E-3</v>
      </c>
      <c r="O220" s="97">
        <v>2.5999999999999999E-3</v>
      </c>
      <c r="P220" s="97">
        <v>2.5999999999999999E-3</v>
      </c>
      <c r="Q220" s="76"/>
      <c r="R220" s="76"/>
      <c r="S220" s="76" t="s">
        <v>524</v>
      </c>
      <c r="T220" s="76"/>
      <c r="U220" s="260">
        <f t="shared" ref="U220:AB230" si="32">INDEX($K220:$Q220,1,U$43)</f>
        <v>2.5999999999999999E-3</v>
      </c>
      <c r="V220" s="260">
        <f t="shared" si="32"/>
        <v>2.5999999999999999E-3</v>
      </c>
      <c r="W220" s="260">
        <f t="shared" si="32"/>
        <v>2.5999999999999999E-3</v>
      </c>
      <c r="X220" s="260">
        <f t="shared" si="32"/>
        <v>2.5999999999999999E-3</v>
      </c>
      <c r="Y220" s="260">
        <f t="shared" si="32"/>
        <v>2.5999999999999999E-3</v>
      </c>
      <c r="Z220" s="260">
        <f t="shared" si="32"/>
        <v>2.5999999999999999E-3</v>
      </c>
      <c r="AA220" s="260">
        <f t="shared" si="32"/>
        <v>2.5999999999999999E-3</v>
      </c>
      <c r="AB220" s="260">
        <f t="shared" si="32"/>
        <v>2.5999999999999999E-3</v>
      </c>
      <c r="AC220" s="76"/>
      <c r="AD220" s="76"/>
      <c r="AE220" s="76"/>
      <c r="AF220" s="97">
        <v>1</v>
      </c>
      <c r="AG220" s="97">
        <v>1</v>
      </c>
      <c r="AH220" s="73"/>
      <c r="AI220" s="57"/>
      <c r="AJ220" s="45"/>
      <c r="AK220" s="45"/>
      <c r="AL220" s="45"/>
    </row>
    <row r="221" spans="1:38" outlineLevel="2" x14ac:dyDescent="0.35">
      <c r="A221" s="45"/>
      <c r="B221" s="54"/>
      <c r="C221" s="47">
        <f t="shared" si="31"/>
        <v>3</v>
      </c>
      <c r="D221" s="73"/>
      <c r="E221" s="70"/>
      <c r="F221" s="70" t="s">
        <v>713</v>
      </c>
      <c r="G221" s="73"/>
      <c r="H221" s="76" t="s">
        <v>714</v>
      </c>
      <c r="I221" s="96" t="s">
        <v>715</v>
      </c>
      <c r="J221" s="96"/>
      <c r="K221" s="97">
        <v>40</v>
      </c>
      <c r="L221" s="97">
        <v>40</v>
      </c>
      <c r="M221" s="97">
        <v>5</v>
      </c>
      <c r="N221" s="97">
        <v>5</v>
      </c>
      <c r="O221" s="97">
        <v>5</v>
      </c>
      <c r="P221" s="97">
        <v>5</v>
      </c>
      <c r="Q221" s="76"/>
      <c r="R221" s="76" t="s">
        <v>524</v>
      </c>
      <c r="S221" s="76"/>
      <c r="T221" s="76"/>
      <c r="U221" s="260">
        <f t="shared" si="32"/>
        <v>40</v>
      </c>
      <c r="V221" s="260">
        <f t="shared" si="32"/>
        <v>40</v>
      </c>
      <c r="W221" s="260">
        <f t="shared" si="32"/>
        <v>40</v>
      </c>
      <c r="X221" s="260">
        <f t="shared" si="32"/>
        <v>40</v>
      </c>
      <c r="Y221" s="260">
        <f t="shared" si="32"/>
        <v>40</v>
      </c>
      <c r="Z221" s="260">
        <f t="shared" si="32"/>
        <v>40</v>
      </c>
      <c r="AA221" s="260">
        <f t="shared" si="32"/>
        <v>40</v>
      </c>
      <c r="AB221" s="260">
        <f t="shared" si="32"/>
        <v>40</v>
      </c>
      <c r="AC221" s="76"/>
      <c r="AD221" s="76"/>
      <c r="AE221" s="76"/>
      <c r="AF221" s="97">
        <v>1</v>
      </c>
      <c r="AG221" s="97">
        <v>1</v>
      </c>
      <c r="AH221" s="73"/>
      <c r="AI221" s="57"/>
      <c r="AJ221" s="45"/>
      <c r="AK221" s="45"/>
      <c r="AL221" s="45"/>
    </row>
    <row r="222" spans="1:38" outlineLevel="2" x14ac:dyDescent="0.35">
      <c r="A222" s="45"/>
      <c r="B222" s="54"/>
      <c r="C222" s="47">
        <f t="shared" si="31"/>
        <v>3</v>
      </c>
      <c r="D222" s="73"/>
      <c r="E222" s="70"/>
      <c r="F222" s="70" t="s">
        <v>716</v>
      </c>
      <c r="G222" s="73"/>
      <c r="H222" s="76" t="s">
        <v>717</v>
      </c>
      <c r="I222" s="96" t="s">
        <v>718</v>
      </c>
      <c r="J222" s="96"/>
      <c r="K222" s="97">
        <v>100</v>
      </c>
      <c r="L222" s="97">
        <v>100</v>
      </c>
      <c r="M222" s="97">
        <v>100</v>
      </c>
      <c r="N222" s="97">
        <v>100</v>
      </c>
      <c r="O222" s="97">
        <v>100</v>
      </c>
      <c r="P222" s="97">
        <v>100</v>
      </c>
      <c r="Q222" s="76"/>
      <c r="R222" s="76" t="s">
        <v>524</v>
      </c>
      <c r="S222" s="76"/>
      <c r="T222" s="76"/>
      <c r="U222" s="260">
        <f t="shared" si="32"/>
        <v>100</v>
      </c>
      <c r="V222" s="260">
        <f t="shared" si="32"/>
        <v>100</v>
      </c>
      <c r="W222" s="260">
        <f t="shared" si="32"/>
        <v>100</v>
      </c>
      <c r="X222" s="260">
        <f t="shared" si="32"/>
        <v>100</v>
      </c>
      <c r="Y222" s="260">
        <f t="shared" si="32"/>
        <v>100</v>
      </c>
      <c r="Z222" s="260">
        <f t="shared" si="32"/>
        <v>100</v>
      </c>
      <c r="AA222" s="260">
        <f t="shared" si="32"/>
        <v>100</v>
      </c>
      <c r="AB222" s="260">
        <f t="shared" si="32"/>
        <v>100</v>
      </c>
      <c r="AC222" s="76"/>
      <c r="AD222" s="76"/>
      <c r="AE222" s="76"/>
      <c r="AF222" s="97">
        <v>1</v>
      </c>
      <c r="AG222" s="97">
        <v>1</v>
      </c>
      <c r="AH222" s="73"/>
      <c r="AI222" s="57"/>
      <c r="AJ222" s="45"/>
      <c r="AK222" s="45"/>
      <c r="AL222" s="45"/>
    </row>
    <row r="223" spans="1:38" outlineLevel="2" x14ac:dyDescent="0.35">
      <c r="A223" s="45"/>
      <c r="B223" s="54"/>
      <c r="C223" s="47">
        <f t="shared" si="31"/>
        <v>3</v>
      </c>
      <c r="D223" s="73"/>
      <c r="E223" s="70"/>
      <c r="F223" s="70" t="s">
        <v>719</v>
      </c>
      <c r="G223" s="73"/>
      <c r="H223" s="76" t="s">
        <v>720</v>
      </c>
      <c r="I223" s="96" t="s">
        <v>718</v>
      </c>
      <c r="J223" s="96"/>
      <c r="K223" s="97">
        <v>100</v>
      </c>
      <c r="L223" s="97">
        <v>100</v>
      </c>
      <c r="M223" s="97">
        <v>100</v>
      </c>
      <c r="N223" s="97">
        <v>100</v>
      </c>
      <c r="O223" s="97">
        <v>100</v>
      </c>
      <c r="P223" s="97">
        <v>100</v>
      </c>
      <c r="Q223" s="76"/>
      <c r="R223" s="76" t="s">
        <v>524</v>
      </c>
      <c r="S223" s="76"/>
      <c r="T223" s="76"/>
      <c r="U223" s="260">
        <f t="shared" si="32"/>
        <v>100</v>
      </c>
      <c r="V223" s="260">
        <f t="shared" si="32"/>
        <v>100</v>
      </c>
      <c r="W223" s="260">
        <f t="shared" si="32"/>
        <v>100</v>
      </c>
      <c r="X223" s="260">
        <f t="shared" si="32"/>
        <v>100</v>
      </c>
      <c r="Y223" s="260">
        <f t="shared" si="32"/>
        <v>100</v>
      </c>
      <c r="Z223" s="260">
        <f t="shared" si="32"/>
        <v>100</v>
      </c>
      <c r="AA223" s="260">
        <f t="shared" si="32"/>
        <v>100</v>
      </c>
      <c r="AB223" s="260">
        <f t="shared" si="32"/>
        <v>100</v>
      </c>
      <c r="AC223" s="76"/>
      <c r="AD223" s="76"/>
      <c r="AE223" s="76"/>
      <c r="AF223" s="97">
        <v>1</v>
      </c>
      <c r="AG223" s="97">
        <v>1</v>
      </c>
      <c r="AH223" s="73"/>
      <c r="AI223" s="57"/>
      <c r="AJ223" s="45"/>
      <c r="AK223" s="45"/>
      <c r="AL223" s="45"/>
    </row>
    <row r="224" spans="1:38" outlineLevel="2" x14ac:dyDescent="0.35">
      <c r="A224" s="45"/>
      <c r="B224" s="54"/>
      <c r="C224" s="47">
        <f t="shared" si="31"/>
        <v>3</v>
      </c>
      <c r="D224" s="73"/>
      <c r="E224" s="70"/>
      <c r="F224" s="70" t="s">
        <v>2881</v>
      </c>
      <c r="G224" s="73"/>
      <c r="H224" s="76" t="s">
        <v>3254</v>
      </c>
      <c r="I224" s="96" t="s">
        <v>2884</v>
      </c>
      <c r="J224" s="96"/>
      <c r="K224" s="97">
        <v>0</v>
      </c>
      <c r="L224" s="97">
        <v>0</v>
      </c>
      <c r="M224" s="97">
        <v>0</v>
      </c>
      <c r="N224" s="97">
        <v>0</v>
      </c>
      <c r="O224" s="97">
        <v>0</v>
      </c>
      <c r="P224" s="97">
        <v>0</v>
      </c>
      <c r="Q224" s="76"/>
      <c r="R224" s="76" t="s">
        <v>3262</v>
      </c>
      <c r="S224" s="76" t="s">
        <v>3262</v>
      </c>
      <c r="T224" s="76"/>
      <c r="U224" s="260">
        <f t="shared" si="32"/>
        <v>0</v>
      </c>
      <c r="V224" s="260">
        <f t="shared" si="32"/>
        <v>0</v>
      </c>
      <c r="W224" s="260">
        <f t="shared" si="32"/>
        <v>0</v>
      </c>
      <c r="X224" s="260">
        <f t="shared" si="32"/>
        <v>0</v>
      </c>
      <c r="Y224" s="260">
        <f t="shared" si="32"/>
        <v>0</v>
      </c>
      <c r="Z224" s="260">
        <f t="shared" si="32"/>
        <v>0</v>
      </c>
      <c r="AA224" s="260">
        <f t="shared" si="32"/>
        <v>0</v>
      </c>
      <c r="AB224" s="260">
        <f t="shared" si="32"/>
        <v>0</v>
      </c>
      <c r="AC224" s="76"/>
      <c r="AD224" s="76"/>
      <c r="AE224" s="76"/>
      <c r="AF224" s="97">
        <v>1</v>
      </c>
      <c r="AG224" s="97">
        <v>1</v>
      </c>
      <c r="AH224" s="73"/>
      <c r="AI224" s="57"/>
      <c r="AJ224" s="45"/>
      <c r="AK224" s="45"/>
      <c r="AL224" s="45"/>
    </row>
    <row r="225" spans="1:38" outlineLevel="2" x14ac:dyDescent="0.35">
      <c r="A225" s="45"/>
      <c r="B225" s="54"/>
      <c r="C225" s="47">
        <f t="shared" si="31"/>
        <v>3</v>
      </c>
      <c r="D225" s="73"/>
      <c r="E225" s="70"/>
      <c r="F225" s="70" t="s">
        <v>2882</v>
      </c>
      <c r="G225" s="73"/>
      <c r="H225" s="76" t="s">
        <v>2885</v>
      </c>
      <c r="I225" s="96" t="s">
        <v>2884</v>
      </c>
      <c r="J225" s="96"/>
      <c r="K225" s="97">
        <v>1.9E-2</v>
      </c>
      <c r="L225" s="97">
        <v>1.9E-2</v>
      </c>
      <c r="M225" s="97">
        <v>1.9E-2</v>
      </c>
      <c r="N225" s="97">
        <v>1.9E-2</v>
      </c>
      <c r="O225" s="97">
        <v>1.9E-2</v>
      </c>
      <c r="P225" s="97">
        <v>1.9E-2</v>
      </c>
      <c r="Q225" s="76"/>
      <c r="R225" s="76" t="s">
        <v>3262</v>
      </c>
      <c r="S225" s="76" t="s">
        <v>3262</v>
      </c>
      <c r="T225" s="76"/>
      <c r="U225" s="260">
        <f t="shared" si="32"/>
        <v>1.9E-2</v>
      </c>
      <c r="V225" s="260">
        <f t="shared" si="32"/>
        <v>1.9E-2</v>
      </c>
      <c r="W225" s="260">
        <f t="shared" si="32"/>
        <v>1.9E-2</v>
      </c>
      <c r="X225" s="260">
        <f t="shared" si="32"/>
        <v>1.9E-2</v>
      </c>
      <c r="Y225" s="260">
        <f t="shared" si="32"/>
        <v>1.9E-2</v>
      </c>
      <c r="Z225" s="260">
        <f t="shared" si="32"/>
        <v>1.9E-2</v>
      </c>
      <c r="AA225" s="260">
        <f t="shared" si="32"/>
        <v>1.9E-2</v>
      </c>
      <c r="AB225" s="260">
        <f t="shared" si="32"/>
        <v>1.9E-2</v>
      </c>
      <c r="AC225" s="76"/>
      <c r="AD225" s="76"/>
      <c r="AE225" s="76"/>
      <c r="AF225" s="97">
        <v>1</v>
      </c>
      <c r="AG225" s="97">
        <v>1</v>
      </c>
      <c r="AH225" s="73"/>
      <c r="AI225" s="57"/>
      <c r="AJ225" s="45"/>
      <c r="AK225" s="45"/>
      <c r="AL225" s="45"/>
    </row>
    <row r="226" spans="1:38" outlineLevel="2" x14ac:dyDescent="0.35">
      <c r="A226" s="45"/>
      <c r="B226" s="54"/>
      <c r="C226" s="47">
        <f t="shared" si="31"/>
        <v>3</v>
      </c>
      <c r="D226" s="73"/>
      <c r="E226" s="70"/>
      <c r="F226" s="70" t="s">
        <v>2883</v>
      </c>
      <c r="G226" s="73"/>
      <c r="H226" s="76" t="s">
        <v>2886</v>
      </c>
      <c r="I226" s="96" t="s">
        <v>2884</v>
      </c>
      <c r="J226" s="96"/>
      <c r="K226" s="97">
        <v>0.185</v>
      </c>
      <c r="L226" s="97">
        <v>0.185</v>
      </c>
      <c r="M226" s="97">
        <v>0.185</v>
      </c>
      <c r="N226" s="97">
        <v>0.185</v>
      </c>
      <c r="O226" s="97">
        <v>0.185</v>
      </c>
      <c r="P226" s="97">
        <v>0.185</v>
      </c>
      <c r="Q226" s="76"/>
      <c r="R226" s="76" t="s">
        <v>3262</v>
      </c>
      <c r="S226" s="76" t="s">
        <v>3262</v>
      </c>
      <c r="T226" s="76"/>
      <c r="U226" s="260">
        <f t="shared" si="32"/>
        <v>0.185</v>
      </c>
      <c r="V226" s="260">
        <f t="shared" si="32"/>
        <v>0.185</v>
      </c>
      <c r="W226" s="260">
        <f t="shared" si="32"/>
        <v>0.185</v>
      </c>
      <c r="X226" s="260">
        <f t="shared" si="32"/>
        <v>0.185</v>
      </c>
      <c r="Y226" s="260">
        <f t="shared" si="32"/>
        <v>0.185</v>
      </c>
      <c r="Z226" s="260">
        <f t="shared" si="32"/>
        <v>0.185</v>
      </c>
      <c r="AA226" s="260">
        <f t="shared" si="32"/>
        <v>0.185</v>
      </c>
      <c r="AB226" s="260">
        <f t="shared" si="32"/>
        <v>0.185</v>
      </c>
      <c r="AC226" s="76"/>
      <c r="AD226" s="76"/>
      <c r="AE226" s="76"/>
      <c r="AF226" s="97">
        <v>1</v>
      </c>
      <c r="AG226" s="97">
        <v>1</v>
      </c>
      <c r="AH226" s="73"/>
      <c r="AI226" s="57"/>
      <c r="AJ226" s="45"/>
      <c r="AK226" s="45"/>
      <c r="AL226" s="45"/>
    </row>
    <row r="227" spans="1:38" outlineLevel="2" x14ac:dyDescent="0.35">
      <c r="A227" s="45"/>
      <c r="B227" s="54"/>
      <c r="C227" s="47">
        <f t="shared" si="31"/>
        <v>3</v>
      </c>
      <c r="D227" s="73"/>
      <c r="E227" s="70"/>
      <c r="F227" s="70" t="s">
        <v>3256</v>
      </c>
      <c r="G227" s="73"/>
      <c r="H227" s="76" t="s">
        <v>675</v>
      </c>
      <c r="I227" s="96" t="s">
        <v>514</v>
      </c>
      <c r="J227" s="96"/>
      <c r="K227" s="97">
        <v>0.106</v>
      </c>
      <c r="L227" s="97">
        <v>0.106</v>
      </c>
      <c r="M227" s="97">
        <v>0.106</v>
      </c>
      <c r="N227" s="97">
        <v>0.106</v>
      </c>
      <c r="O227" s="97">
        <v>0.106</v>
      </c>
      <c r="P227" s="97">
        <v>0.106</v>
      </c>
      <c r="Q227" s="76"/>
      <c r="R227" s="76" t="s">
        <v>3261</v>
      </c>
      <c r="S227" s="76" t="s">
        <v>3261</v>
      </c>
      <c r="T227" s="76"/>
      <c r="U227" s="260">
        <f t="shared" si="32"/>
        <v>0.106</v>
      </c>
      <c r="V227" s="260">
        <f t="shared" si="32"/>
        <v>0.106</v>
      </c>
      <c r="W227" s="260">
        <f t="shared" si="32"/>
        <v>0.106</v>
      </c>
      <c r="X227" s="260">
        <f t="shared" si="32"/>
        <v>0.106</v>
      </c>
      <c r="Y227" s="260">
        <f t="shared" si="32"/>
        <v>0.106</v>
      </c>
      <c r="Z227" s="260">
        <f t="shared" si="32"/>
        <v>0.106</v>
      </c>
      <c r="AA227" s="260">
        <f t="shared" si="32"/>
        <v>0.106</v>
      </c>
      <c r="AB227" s="260">
        <f t="shared" si="32"/>
        <v>0.106</v>
      </c>
      <c r="AC227" s="76"/>
      <c r="AD227" s="76"/>
      <c r="AE227" s="76"/>
      <c r="AF227" s="97">
        <v>1</v>
      </c>
      <c r="AG227" s="97">
        <v>1</v>
      </c>
      <c r="AH227" s="73"/>
      <c r="AI227" s="57"/>
      <c r="AJ227" s="45"/>
      <c r="AK227" s="45"/>
      <c r="AL227" s="45"/>
    </row>
    <row r="228" spans="1:38" outlineLevel="2" x14ac:dyDescent="0.35">
      <c r="A228" s="45"/>
      <c r="B228" s="54"/>
      <c r="C228" s="47">
        <f t="shared" si="31"/>
        <v>3</v>
      </c>
      <c r="D228" s="73"/>
      <c r="E228" s="70"/>
      <c r="F228" s="70" t="s">
        <v>3257</v>
      </c>
      <c r="G228" s="73"/>
      <c r="H228" s="76" t="s">
        <v>677</v>
      </c>
      <c r="I228" s="96" t="s">
        <v>678</v>
      </c>
      <c r="J228" s="96"/>
      <c r="K228" s="97">
        <v>0.14699999999999999</v>
      </c>
      <c r="L228" s="97">
        <v>0.14699999999999999</v>
      </c>
      <c r="M228" s="97">
        <v>0.14699999999999999</v>
      </c>
      <c r="N228" s="97">
        <v>0.14699999999999999</v>
      </c>
      <c r="O228" s="97">
        <v>0.14699999999999999</v>
      </c>
      <c r="P228" s="97">
        <v>0.14699999999999999</v>
      </c>
      <c r="Q228" s="76"/>
      <c r="R228" s="76" t="s">
        <v>3261</v>
      </c>
      <c r="S228" s="76" t="s">
        <v>3261</v>
      </c>
      <c r="T228" s="76"/>
      <c r="U228" s="260">
        <f t="shared" si="32"/>
        <v>0.14699999999999999</v>
      </c>
      <c r="V228" s="260">
        <f t="shared" si="32"/>
        <v>0.14699999999999999</v>
      </c>
      <c r="W228" s="260">
        <f t="shared" si="32"/>
        <v>0.14699999999999999</v>
      </c>
      <c r="X228" s="260">
        <f t="shared" si="32"/>
        <v>0.14699999999999999</v>
      </c>
      <c r="Y228" s="260">
        <f t="shared" si="32"/>
        <v>0.14699999999999999</v>
      </c>
      <c r="Z228" s="260">
        <f t="shared" si="32"/>
        <v>0.14699999999999999</v>
      </c>
      <c r="AA228" s="260">
        <f t="shared" si="32"/>
        <v>0.14699999999999999</v>
      </c>
      <c r="AB228" s="260">
        <f t="shared" si="32"/>
        <v>0.14699999999999999</v>
      </c>
      <c r="AC228" s="76"/>
      <c r="AD228" s="76"/>
      <c r="AE228" s="76"/>
      <c r="AF228" s="97">
        <v>1</v>
      </c>
      <c r="AG228" s="97">
        <v>1</v>
      </c>
      <c r="AH228" s="73"/>
      <c r="AI228" s="57"/>
      <c r="AJ228" s="45"/>
      <c r="AK228" s="45"/>
      <c r="AL228" s="45"/>
    </row>
    <row r="229" spans="1:38" outlineLevel="2" x14ac:dyDescent="0.35">
      <c r="A229" s="45"/>
      <c r="B229" s="54"/>
      <c r="C229" s="47">
        <f t="shared" si="31"/>
        <v>3</v>
      </c>
      <c r="D229" s="73"/>
      <c r="E229" s="70"/>
      <c r="F229" s="70" t="s">
        <v>3259</v>
      </c>
      <c r="G229" s="73"/>
      <c r="H229" s="76" t="s">
        <v>680</v>
      </c>
      <c r="I229" s="96" t="s">
        <v>541</v>
      </c>
      <c r="J229" s="96"/>
      <c r="K229" s="97">
        <f>0.04/365</f>
        <v>1.0958904109589041E-4</v>
      </c>
      <c r="L229" s="97">
        <f t="shared" ref="L229:P229" si="33">0.04/365</f>
        <v>1.0958904109589041E-4</v>
      </c>
      <c r="M229" s="97">
        <f t="shared" si="33"/>
        <v>1.0958904109589041E-4</v>
      </c>
      <c r="N229" s="97">
        <f t="shared" si="33"/>
        <v>1.0958904109589041E-4</v>
      </c>
      <c r="O229" s="97">
        <f t="shared" si="33"/>
        <v>1.0958904109589041E-4</v>
      </c>
      <c r="P229" s="97">
        <f t="shared" si="33"/>
        <v>1.0958904109589041E-4</v>
      </c>
      <c r="Q229" s="76"/>
      <c r="R229" s="76" t="s">
        <v>3261</v>
      </c>
      <c r="S229" s="76" t="s">
        <v>3261</v>
      </c>
      <c r="T229" s="76"/>
      <c r="U229" s="260">
        <f t="shared" si="32"/>
        <v>1.0958904109589041E-4</v>
      </c>
      <c r="V229" s="260">
        <f t="shared" si="32"/>
        <v>1.0958904109589041E-4</v>
      </c>
      <c r="W229" s="260">
        <f t="shared" si="32"/>
        <v>1.0958904109589041E-4</v>
      </c>
      <c r="X229" s="260">
        <f t="shared" si="32"/>
        <v>1.0958904109589041E-4</v>
      </c>
      <c r="Y229" s="260">
        <f t="shared" si="32"/>
        <v>1.0958904109589041E-4</v>
      </c>
      <c r="Z229" s="260">
        <f t="shared" si="32"/>
        <v>1.0958904109589041E-4</v>
      </c>
      <c r="AA229" s="260">
        <f t="shared" si="32"/>
        <v>1.0958904109589041E-4</v>
      </c>
      <c r="AB229" s="260">
        <f t="shared" si="32"/>
        <v>1.0958904109589041E-4</v>
      </c>
      <c r="AC229" s="76"/>
      <c r="AD229" s="76"/>
      <c r="AE229" s="76"/>
      <c r="AF229" s="97">
        <v>1</v>
      </c>
      <c r="AG229" s="97">
        <v>1</v>
      </c>
      <c r="AH229" s="73"/>
      <c r="AI229" s="57"/>
      <c r="AJ229" s="45"/>
      <c r="AK229" s="45"/>
      <c r="AL229" s="45"/>
    </row>
    <row r="230" spans="1:38" outlineLevel="2" x14ac:dyDescent="0.35">
      <c r="A230" s="45"/>
      <c r="B230" s="54"/>
      <c r="C230" s="47">
        <f t="shared" si="31"/>
        <v>3</v>
      </c>
      <c r="D230" s="73"/>
      <c r="E230" s="70"/>
      <c r="F230" s="70" t="s">
        <v>3258</v>
      </c>
      <c r="G230" s="73"/>
      <c r="H230" s="76" t="s">
        <v>684</v>
      </c>
      <c r="I230" s="96" t="s">
        <v>514</v>
      </c>
      <c r="J230" s="96"/>
      <c r="K230" s="97">
        <v>0.39</v>
      </c>
      <c r="L230" s="97">
        <v>0.39</v>
      </c>
      <c r="M230" s="97">
        <v>0.39</v>
      </c>
      <c r="N230" s="97">
        <v>0.39</v>
      </c>
      <c r="O230" s="97">
        <v>0.39</v>
      </c>
      <c r="P230" s="97">
        <v>0.39</v>
      </c>
      <c r="Q230" s="76"/>
      <c r="R230" s="76" t="s">
        <v>3261</v>
      </c>
      <c r="S230" s="76" t="s">
        <v>3261</v>
      </c>
      <c r="T230" s="76"/>
      <c r="U230" s="260">
        <f t="shared" si="32"/>
        <v>0.39</v>
      </c>
      <c r="V230" s="260">
        <f t="shared" si="32"/>
        <v>0.39</v>
      </c>
      <c r="W230" s="260">
        <f t="shared" si="32"/>
        <v>0.39</v>
      </c>
      <c r="X230" s="260">
        <f t="shared" si="32"/>
        <v>0.39</v>
      </c>
      <c r="Y230" s="260">
        <f t="shared" si="32"/>
        <v>0.39</v>
      </c>
      <c r="Z230" s="260">
        <f t="shared" si="32"/>
        <v>0.39</v>
      </c>
      <c r="AA230" s="260">
        <f t="shared" si="32"/>
        <v>0.39</v>
      </c>
      <c r="AB230" s="260">
        <f t="shared" si="32"/>
        <v>0.39</v>
      </c>
      <c r="AC230" s="76"/>
      <c r="AD230" s="76"/>
      <c r="AE230" s="76"/>
      <c r="AF230" s="97">
        <v>1</v>
      </c>
      <c r="AG230" s="97">
        <v>1</v>
      </c>
      <c r="AH230" s="73"/>
      <c r="AI230" s="57"/>
      <c r="AJ230" s="45"/>
      <c r="AK230" s="45"/>
      <c r="AL230" s="45"/>
    </row>
    <row r="231" spans="1:38" outlineLevel="1" collapsed="1" x14ac:dyDescent="0.35">
      <c r="A231" s="45"/>
      <c r="B231" s="54"/>
      <c r="C231" s="47">
        <f>INT($C$29)+1</f>
        <v>2</v>
      </c>
      <c r="D231" s="73"/>
      <c r="E231" s="70"/>
      <c r="F231" s="263" t="s">
        <v>721</v>
      </c>
      <c r="G231" s="73"/>
      <c r="H231" s="253" t="s">
        <v>722</v>
      </c>
      <c r="I231" s="96"/>
      <c r="J231" s="96" t="s">
        <v>531</v>
      </c>
      <c r="K231" s="76"/>
      <c r="L231" s="76"/>
      <c r="M231" s="76"/>
      <c r="N231" s="76"/>
      <c r="O231" s="76"/>
      <c r="P231" s="76"/>
      <c r="Q231" s="76"/>
      <c r="R231" s="76"/>
      <c r="S231" s="76"/>
      <c r="T231" s="76"/>
      <c r="U231" s="79">
        <v>8</v>
      </c>
      <c r="V231" s="76"/>
      <c r="W231" s="79">
        <v>0</v>
      </c>
      <c r="X231" s="76"/>
      <c r="Y231" s="76"/>
      <c r="Z231" s="76"/>
      <c r="AA231" s="76"/>
      <c r="AB231" s="76"/>
      <c r="AC231" s="76"/>
      <c r="AD231" s="76"/>
      <c r="AE231" s="76"/>
      <c r="AF231" s="76"/>
      <c r="AG231" s="76"/>
      <c r="AH231" s="73"/>
      <c r="AI231" s="57"/>
      <c r="AJ231" s="45"/>
      <c r="AK231" s="45"/>
      <c r="AL231" s="45"/>
    </row>
    <row r="232" spans="1:38" hidden="1" outlineLevel="3" x14ac:dyDescent="0.35">
      <c r="A232" s="45"/>
      <c r="B232" s="54"/>
      <c r="C232" s="47">
        <f>INT($C$29)+3</f>
        <v>4</v>
      </c>
      <c r="D232" s="73"/>
      <c r="E232" s="70" t="s">
        <v>723</v>
      </c>
      <c r="F232" s="70" t="s">
        <v>724</v>
      </c>
      <c r="G232" s="73"/>
      <c r="H232" s="76" t="s">
        <v>507</v>
      </c>
      <c r="I232" s="96"/>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2" x14ac:dyDescent="0.35">
      <c r="A233" s="45"/>
      <c r="B233" s="54"/>
      <c r="C233" s="47">
        <f t="shared" ref="C233:C239" si="34">INT($C$29)+2</f>
        <v>3</v>
      </c>
      <c r="D233" s="73"/>
      <c r="E233" s="70"/>
      <c r="F233" s="70" t="s">
        <v>725</v>
      </c>
      <c r="G233" s="73"/>
      <c r="H233" s="76" t="s">
        <v>726</v>
      </c>
      <c r="I233" s="96" t="s">
        <v>514</v>
      </c>
      <c r="J233" s="96"/>
      <c r="K233" s="97">
        <v>0.3</v>
      </c>
      <c r="L233" s="97">
        <v>0.3</v>
      </c>
      <c r="M233" s="97">
        <v>0.3</v>
      </c>
      <c r="N233" s="97">
        <v>0.3</v>
      </c>
      <c r="O233" s="97">
        <v>0.3</v>
      </c>
      <c r="P233" s="97">
        <v>0.3</v>
      </c>
      <c r="Q233" s="76"/>
      <c r="R233" s="76" t="s">
        <v>727</v>
      </c>
      <c r="S233" s="76" t="s">
        <v>727</v>
      </c>
      <c r="T233" s="76"/>
      <c r="U233" s="260">
        <f t="shared" ref="U233:AB239" si="35">INDEX($K233:$Q233,1,U$43)</f>
        <v>0.3</v>
      </c>
      <c r="V233" s="260">
        <f t="shared" si="35"/>
        <v>0.3</v>
      </c>
      <c r="W233" s="260">
        <f t="shared" si="35"/>
        <v>0.3</v>
      </c>
      <c r="X233" s="260">
        <f t="shared" si="35"/>
        <v>0.3</v>
      </c>
      <c r="Y233" s="260">
        <f t="shared" si="35"/>
        <v>0.3</v>
      </c>
      <c r="Z233" s="260">
        <f t="shared" si="35"/>
        <v>0.3</v>
      </c>
      <c r="AA233" s="260">
        <f t="shared" si="35"/>
        <v>0.3</v>
      </c>
      <c r="AB233" s="260">
        <f t="shared" si="35"/>
        <v>0.3</v>
      </c>
      <c r="AC233" s="76"/>
      <c r="AD233" s="76"/>
      <c r="AE233" s="76"/>
      <c r="AF233" s="97">
        <v>1</v>
      </c>
      <c r="AG233" s="97">
        <v>1</v>
      </c>
      <c r="AH233" s="73"/>
      <c r="AI233" s="57"/>
      <c r="AJ233" s="45"/>
      <c r="AK233" s="45"/>
      <c r="AL233" s="45"/>
    </row>
    <row r="234" spans="1:38" hidden="1" outlineLevel="2" x14ac:dyDescent="0.35">
      <c r="A234" s="45"/>
      <c r="B234" s="54"/>
      <c r="C234" s="47">
        <f t="shared" si="34"/>
        <v>3</v>
      </c>
      <c r="D234" s="73"/>
      <c r="E234" s="70"/>
      <c r="F234" s="70" t="s">
        <v>728</v>
      </c>
      <c r="G234" s="73"/>
      <c r="H234" s="76" t="s">
        <v>729</v>
      </c>
      <c r="I234" s="96" t="s">
        <v>514</v>
      </c>
      <c r="J234" s="96"/>
      <c r="K234" s="97">
        <v>0.25</v>
      </c>
      <c r="L234" s="97">
        <v>0.25</v>
      </c>
      <c r="M234" s="97">
        <v>0.25</v>
      </c>
      <c r="N234" s="97">
        <v>0.25</v>
      </c>
      <c r="O234" s="97">
        <v>0.25</v>
      </c>
      <c r="P234" s="97">
        <v>0.25</v>
      </c>
      <c r="Q234" s="76"/>
      <c r="R234" s="76" t="s">
        <v>727</v>
      </c>
      <c r="S234" s="76" t="s">
        <v>727</v>
      </c>
      <c r="T234" s="76"/>
      <c r="U234" s="260">
        <f t="shared" si="35"/>
        <v>0.25</v>
      </c>
      <c r="V234" s="260">
        <f t="shared" si="35"/>
        <v>0.25</v>
      </c>
      <c r="W234" s="260">
        <f t="shared" si="35"/>
        <v>0.25</v>
      </c>
      <c r="X234" s="260">
        <f t="shared" si="35"/>
        <v>0.25</v>
      </c>
      <c r="Y234" s="260">
        <f t="shared" si="35"/>
        <v>0.25</v>
      </c>
      <c r="Z234" s="260">
        <f t="shared" si="35"/>
        <v>0.25</v>
      </c>
      <c r="AA234" s="260">
        <f t="shared" si="35"/>
        <v>0.25</v>
      </c>
      <c r="AB234" s="260">
        <f t="shared" si="35"/>
        <v>0.25</v>
      </c>
      <c r="AC234" s="76"/>
      <c r="AD234" s="76"/>
      <c r="AE234" s="76"/>
      <c r="AF234" s="97">
        <v>1</v>
      </c>
      <c r="AG234" s="97">
        <v>1</v>
      </c>
      <c r="AH234" s="73"/>
      <c r="AI234" s="57"/>
      <c r="AJ234" s="45"/>
      <c r="AK234" s="45"/>
      <c r="AL234" s="45"/>
    </row>
    <row r="235" spans="1:38" hidden="1" outlineLevel="2" x14ac:dyDescent="0.35">
      <c r="A235" s="45"/>
      <c r="B235" s="54"/>
      <c r="C235" s="47">
        <f t="shared" si="34"/>
        <v>3</v>
      </c>
      <c r="D235" s="73"/>
      <c r="E235" s="70"/>
      <c r="F235" s="70" t="s">
        <v>730</v>
      </c>
      <c r="G235" s="73"/>
      <c r="H235" s="76" t="s">
        <v>731</v>
      </c>
      <c r="I235" s="96" t="s">
        <v>514</v>
      </c>
      <c r="J235" s="96"/>
      <c r="K235" s="97">
        <v>0.1</v>
      </c>
      <c r="L235" s="97">
        <v>0.1</v>
      </c>
      <c r="M235" s="97">
        <v>0.1</v>
      </c>
      <c r="N235" s="97">
        <v>0.1</v>
      </c>
      <c r="O235" s="97">
        <v>0.1</v>
      </c>
      <c r="P235" s="97">
        <v>0.1</v>
      </c>
      <c r="Q235" s="76"/>
      <c r="R235" s="76" t="s">
        <v>727</v>
      </c>
      <c r="S235" s="76" t="s">
        <v>727</v>
      </c>
      <c r="T235" s="76"/>
      <c r="U235" s="260">
        <f t="shared" si="35"/>
        <v>0.1</v>
      </c>
      <c r="V235" s="260">
        <f t="shared" si="35"/>
        <v>0.1</v>
      </c>
      <c r="W235" s="260">
        <f t="shared" si="35"/>
        <v>0.1</v>
      </c>
      <c r="X235" s="260">
        <f t="shared" si="35"/>
        <v>0.1</v>
      </c>
      <c r="Y235" s="260">
        <f t="shared" si="35"/>
        <v>0.1</v>
      </c>
      <c r="Z235" s="260">
        <f t="shared" si="35"/>
        <v>0.1</v>
      </c>
      <c r="AA235" s="260">
        <f t="shared" si="35"/>
        <v>0.1</v>
      </c>
      <c r="AB235" s="260">
        <f t="shared" si="35"/>
        <v>0.1</v>
      </c>
      <c r="AC235" s="76"/>
      <c r="AD235" s="76"/>
      <c r="AE235" s="76"/>
      <c r="AF235" s="97">
        <v>1</v>
      </c>
      <c r="AG235" s="97">
        <v>1</v>
      </c>
      <c r="AH235" s="73"/>
      <c r="AI235" s="57"/>
      <c r="AJ235" s="45"/>
      <c r="AK235" s="45"/>
      <c r="AL235" s="45"/>
    </row>
    <row r="236" spans="1:38" hidden="1" outlineLevel="2" x14ac:dyDescent="0.35">
      <c r="A236" s="45"/>
      <c r="B236" s="54"/>
      <c r="C236" s="47">
        <f t="shared" si="34"/>
        <v>3</v>
      </c>
      <c r="D236" s="73"/>
      <c r="E236" s="70"/>
      <c r="F236" s="70" t="s">
        <v>732</v>
      </c>
      <c r="G236" s="73"/>
      <c r="H236" s="76" t="s">
        <v>733</v>
      </c>
      <c r="I236" s="96" t="s">
        <v>558</v>
      </c>
      <c r="J236" s="96"/>
      <c r="K236" s="97">
        <v>7.0000000000000001E-3</v>
      </c>
      <c r="L236" s="97">
        <v>7.0000000000000001E-3</v>
      </c>
      <c r="M236" s="97">
        <v>7.0000000000000001E-3</v>
      </c>
      <c r="N236" s="97">
        <v>7.0000000000000001E-3</v>
      </c>
      <c r="O236" s="97">
        <v>7.0000000000000001E-3</v>
      </c>
      <c r="P236" s="97">
        <v>7.0000000000000001E-3</v>
      </c>
      <c r="Q236" s="76"/>
      <c r="R236" s="76" t="s">
        <v>727</v>
      </c>
      <c r="S236" s="76" t="s">
        <v>727</v>
      </c>
      <c r="T236" s="76"/>
      <c r="U236" s="260">
        <f t="shared" si="35"/>
        <v>7.0000000000000001E-3</v>
      </c>
      <c r="V236" s="260">
        <f t="shared" si="35"/>
        <v>7.0000000000000001E-3</v>
      </c>
      <c r="W236" s="260">
        <f t="shared" si="35"/>
        <v>7.0000000000000001E-3</v>
      </c>
      <c r="X236" s="260">
        <f t="shared" si="35"/>
        <v>7.0000000000000001E-3</v>
      </c>
      <c r="Y236" s="260">
        <f t="shared" si="35"/>
        <v>7.0000000000000001E-3</v>
      </c>
      <c r="Z236" s="260">
        <f t="shared" si="35"/>
        <v>7.0000000000000001E-3</v>
      </c>
      <c r="AA236" s="260">
        <f t="shared" si="35"/>
        <v>7.0000000000000001E-3</v>
      </c>
      <c r="AB236" s="260">
        <f t="shared" si="35"/>
        <v>7.0000000000000001E-3</v>
      </c>
      <c r="AC236" s="76"/>
      <c r="AD236" s="76"/>
      <c r="AE236" s="76"/>
      <c r="AF236" s="97">
        <v>1</v>
      </c>
      <c r="AG236" s="97">
        <v>1</v>
      </c>
      <c r="AH236" s="73"/>
      <c r="AI236" s="57"/>
      <c r="AJ236" s="45"/>
      <c r="AK236" s="45"/>
      <c r="AL236" s="45"/>
    </row>
    <row r="237" spans="1:38" hidden="1" outlineLevel="2" x14ac:dyDescent="0.35">
      <c r="A237" s="45"/>
      <c r="B237" s="54"/>
      <c r="C237" s="47">
        <f t="shared" si="34"/>
        <v>3</v>
      </c>
      <c r="D237" s="73"/>
      <c r="E237" s="70"/>
      <c r="F237" s="70" t="s">
        <v>734</v>
      </c>
      <c r="G237" s="73"/>
      <c r="H237" s="76" t="s">
        <v>735</v>
      </c>
      <c r="I237" s="96" t="s">
        <v>558</v>
      </c>
      <c r="J237" s="96"/>
      <c r="K237" s="97">
        <v>5.0000000000000001E-3</v>
      </c>
      <c r="L237" s="97">
        <v>5.0000000000000001E-3</v>
      </c>
      <c r="M237" s="97">
        <v>5.0000000000000001E-3</v>
      </c>
      <c r="N237" s="97">
        <v>5.0000000000000001E-3</v>
      </c>
      <c r="O237" s="97">
        <v>5.0000000000000001E-3</v>
      </c>
      <c r="P237" s="97">
        <v>5.0000000000000001E-3</v>
      </c>
      <c r="Q237" s="76"/>
      <c r="R237" s="76" t="s">
        <v>727</v>
      </c>
      <c r="S237" s="76" t="s">
        <v>727</v>
      </c>
      <c r="T237" s="76"/>
      <c r="U237" s="260">
        <f t="shared" si="35"/>
        <v>5.0000000000000001E-3</v>
      </c>
      <c r="V237" s="260">
        <f t="shared" si="35"/>
        <v>5.0000000000000001E-3</v>
      </c>
      <c r="W237" s="260">
        <f t="shared" si="35"/>
        <v>5.0000000000000001E-3</v>
      </c>
      <c r="X237" s="260">
        <f t="shared" si="35"/>
        <v>5.0000000000000001E-3</v>
      </c>
      <c r="Y237" s="260">
        <f t="shared" si="35"/>
        <v>5.0000000000000001E-3</v>
      </c>
      <c r="Z237" s="260">
        <f t="shared" si="35"/>
        <v>5.0000000000000001E-3</v>
      </c>
      <c r="AA237" s="260">
        <f t="shared" si="35"/>
        <v>5.0000000000000001E-3</v>
      </c>
      <c r="AB237" s="260">
        <f t="shared" si="35"/>
        <v>5.0000000000000001E-3</v>
      </c>
      <c r="AC237" s="76"/>
      <c r="AD237" s="76"/>
      <c r="AE237" s="76"/>
      <c r="AF237" s="97">
        <v>1</v>
      </c>
      <c r="AG237" s="97">
        <v>1</v>
      </c>
      <c r="AH237" s="73"/>
      <c r="AI237" s="57"/>
      <c r="AJ237" s="45"/>
      <c r="AK237" s="45"/>
      <c r="AL237" s="45"/>
    </row>
    <row r="238" spans="1:38" hidden="1" outlineLevel="2" x14ac:dyDescent="0.35">
      <c r="A238" s="45"/>
      <c r="B238" s="54"/>
      <c r="C238" s="47">
        <f t="shared" si="34"/>
        <v>3</v>
      </c>
      <c r="D238" s="73"/>
      <c r="E238" s="70"/>
      <c r="F238" s="70" t="s">
        <v>736</v>
      </c>
      <c r="G238" s="73"/>
      <c r="H238" s="76" t="s">
        <v>737</v>
      </c>
      <c r="I238" s="96" t="s">
        <v>514</v>
      </c>
      <c r="J238" s="96"/>
      <c r="K238" s="97">
        <v>0.35</v>
      </c>
      <c r="L238" s="97">
        <v>0.35</v>
      </c>
      <c r="M238" s="97">
        <v>0.35</v>
      </c>
      <c r="N238" s="97">
        <v>0.35</v>
      </c>
      <c r="O238" s="97">
        <v>0.35</v>
      </c>
      <c r="P238" s="97">
        <v>0.35</v>
      </c>
      <c r="Q238" s="76"/>
      <c r="R238" s="76" t="s">
        <v>727</v>
      </c>
      <c r="S238" s="76" t="s">
        <v>727</v>
      </c>
      <c r="T238" s="76"/>
      <c r="U238" s="260">
        <f t="shared" si="35"/>
        <v>0.35</v>
      </c>
      <c r="V238" s="260">
        <f t="shared" si="35"/>
        <v>0.35</v>
      </c>
      <c r="W238" s="260">
        <f t="shared" si="35"/>
        <v>0.35</v>
      </c>
      <c r="X238" s="260">
        <f t="shared" si="35"/>
        <v>0.35</v>
      </c>
      <c r="Y238" s="260">
        <f t="shared" si="35"/>
        <v>0.35</v>
      </c>
      <c r="Z238" s="260">
        <f t="shared" si="35"/>
        <v>0.35</v>
      </c>
      <c r="AA238" s="260">
        <f t="shared" si="35"/>
        <v>0.35</v>
      </c>
      <c r="AB238" s="260">
        <f t="shared" si="35"/>
        <v>0.35</v>
      </c>
      <c r="AC238" s="76"/>
      <c r="AD238" s="76"/>
      <c r="AE238" s="76"/>
      <c r="AF238" s="97">
        <v>1</v>
      </c>
      <c r="AG238" s="97">
        <v>1</v>
      </c>
      <c r="AH238" s="73"/>
      <c r="AI238" s="57"/>
      <c r="AJ238" s="45"/>
      <c r="AK238" s="45"/>
      <c r="AL238" s="45"/>
    </row>
    <row r="239" spans="1:38" hidden="1" outlineLevel="2" x14ac:dyDescent="0.35">
      <c r="A239" s="45"/>
      <c r="B239" s="54"/>
      <c r="C239" s="47">
        <f t="shared" si="34"/>
        <v>3</v>
      </c>
      <c r="D239" s="73"/>
      <c r="E239" s="70"/>
      <c r="F239" s="70" t="s">
        <v>738</v>
      </c>
      <c r="G239" s="73"/>
      <c r="H239" s="76" t="s">
        <v>739</v>
      </c>
      <c r="I239" s="96" t="s">
        <v>514</v>
      </c>
      <c r="J239" s="96"/>
      <c r="K239" s="97">
        <v>0.1</v>
      </c>
      <c r="L239" s="97">
        <v>0.1</v>
      </c>
      <c r="M239" s="97">
        <v>0.1</v>
      </c>
      <c r="N239" s="97">
        <v>0.1</v>
      </c>
      <c r="O239" s="97">
        <v>0.1</v>
      </c>
      <c r="P239" s="97">
        <v>0.1</v>
      </c>
      <c r="Q239" s="76"/>
      <c r="R239" s="76" t="s">
        <v>685</v>
      </c>
      <c r="S239" s="76" t="s">
        <v>727</v>
      </c>
      <c r="T239" s="76"/>
      <c r="U239" s="260">
        <f t="shared" si="35"/>
        <v>0.1</v>
      </c>
      <c r="V239" s="260">
        <f t="shared" si="35"/>
        <v>0.1</v>
      </c>
      <c r="W239" s="260">
        <f t="shared" si="35"/>
        <v>0.1</v>
      </c>
      <c r="X239" s="260">
        <f t="shared" si="35"/>
        <v>0.1</v>
      </c>
      <c r="Y239" s="260">
        <f t="shared" si="35"/>
        <v>0.1</v>
      </c>
      <c r="Z239" s="260">
        <f t="shared" si="35"/>
        <v>0.1</v>
      </c>
      <c r="AA239" s="260">
        <f t="shared" si="35"/>
        <v>0.1</v>
      </c>
      <c r="AB239" s="260">
        <f t="shared" si="35"/>
        <v>0.1</v>
      </c>
      <c r="AC239" s="76"/>
      <c r="AD239" s="76"/>
      <c r="AE239" s="76"/>
      <c r="AF239" s="97">
        <v>1</v>
      </c>
      <c r="AG239" s="97">
        <v>1</v>
      </c>
      <c r="AH239" s="73"/>
      <c r="AI239" s="57"/>
      <c r="AJ239" s="45"/>
      <c r="AK239" s="45"/>
      <c r="AL239" s="45"/>
    </row>
    <row r="240" spans="1:38" outlineLevel="1" collapsed="1" x14ac:dyDescent="0.35">
      <c r="A240" s="45"/>
      <c r="B240" s="54"/>
      <c r="C240" s="47">
        <f>INT($C$29)+1</f>
        <v>2</v>
      </c>
      <c r="D240" s="73"/>
      <c r="E240" s="70"/>
      <c r="F240" s="263" t="s">
        <v>740</v>
      </c>
      <c r="G240" s="73"/>
      <c r="H240" s="253" t="s">
        <v>741</v>
      </c>
      <c r="I240" s="96"/>
      <c r="J240" s="96" t="s">
        <v>531</v>
      </c>
      <c r="K240" s="76"/>
      <c r="L240" s="76"/>
      <c r="M240" s="76"/>
      <c r="N240" s="76"/>
      <c r="O240" s="76"/>
      <c r="P240" s="76"/>
      <c r="Q240" s="76"/>
      <c r="R240" s="76"/>
      <c r="S240" s="76"/>
      <c r="T240" s="76"/>
      <c r="U240" s="79">
        <v>10</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35">
      <c r="A241" s="45"/>
      <c r="B241" s="54"/>
      <c r="C241" s="47">
        <f>INT($C$29)+3</f>
        <v>4</v>
      </c>
      <c r="D241" s="73"/>
      <c r="E241" s="70" t="s">
        <v>742</v>
      </c>
      <c r="F241" s="70" t="s">
        <v>743</v>
      </c>
      <c r="G241" s="73"/>
      <c r="H241" s="76" t="s">
        <v>507</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35">
      <c r="A242" s="45"/>
      <c r="B242" s="54"/>
      <c r="C242" s="47">
        <f t="shared" ref="C242:C250" si="36">INT($C$29)+2</f>
        <v>3</v>
      </c>
      <c r="D242" s="73"/>
      <c r="E242" s="70"/>
      <c r="F242" s="70" t="s">
        <v>744</v>
      </c>
      <c r="G242" s="73"/>
      <c r="H242" s="76" t="s">
        <v>745</v>
      </c>
      <c r="I242" s="96" t="s">
        <v>514</v>
      </c>
      <c r="J242" s="96"/>
      <c r="K242" s="97">
        <v>0.05</v>
      </c>
      <c r="L242" s="97">
        <v>0.05</v>
      </c>
      <c r="M242" s="97">
        <v>0.05</v>
      </c>
      <c r="N242" s="97">
        <v>0.05</v>
      </c>
      <c r="O242" s="97">
        <v>0.05</v>
      </c>
      <c r="P242" s="97">
        <v>0.05</v>
      </c>
      <c r="Q242" s="76"/>
      <c r="R242" s="76" t="s">
        <v>746</v>
      </c>
      <c r="S242" s="76" t="s">
        <v>746</v>
      </c>
      <c r="T242" s="76"/>
      <c r="U242" s="260">
        <f t="shared" ref="U242:AB250" si="37">INDEX($K242:$Q242,1,U$43)</f>
        <v>0.05</v>
      </c>
      <c r="V242" s="260">
        <f t="shared" si="37"/>
        <v>0.05</v>
      </c>
      <c r="W242" s="260">
        <f t="shared" si="37"/>
        <v>0.05</v>
      </c>
      <c r="X242" s="260">
        <f t="shared" si="37"/>
        <v>0.05</v>
      </c>
      <c r="Y242" s="260">
        <f t="shared" si="37"/>
        <v>0.05</v>
      </c>
      <c r="Z242" s="260">
        <f t="shared" si="37"/>
        <v>0.05</v>
      </c>
      <c r="AA242" s="260">
        <f t="shared" si="37"/>
        <v>0.05</v>
      </c>
      <c r="AB242" s="260">
        <f t="shared" si="37"/>
        <v>0.05</v>
      </c>
      <c r="AC242" s="76"/>
      <c r="AD242" s="76"/>
      <c r="AE242" s="76"/>
      <c r="AF242" s="97">
        <v>1</v>
      </c>
      <c r="AG242" s="97">
        <v>1</v>
      </c>
      <c r="AH242" s="73"/>
      <c r="AI242" s="57"/>
      <c r="AJ242" s="45"/>
      <c r="AK242" s="45"/>
      <c r="AL242" s="45"/>
    </row>
    <row r="243" spans="1:38" hidden="1" outlineLevel="2" x14ac:dyDescent="0.35">
      <c r="A243" s="45"/>
      <c r="B243" s="54"/>
      <c r="C243" s="47">
        <f t="shared" si="36"/>
        <v>3</v>
      </c>
      <c r="D243" s="73"/>
      <c r="E243" s="70"/>
      <c r="F243" s="70" t="s">
        <v>747</v>
      </c>
      <c r="G243" s="73"/>
      <c r="H243" s="76" t="s">
        <v>748</v>
      </c>
      <c r="I243" s="96" t="s">
        <v>514</v>
      </c>
      <c r="J243" s="96"/>
      <c r="K243" s="97">
        <v>0.85</v>
      </c>
      <c r="L243" s="97">
        <v>0.85</v>
      </c>
      <c r="M243" s="97">
        <v>0.85</v>
      </c>
      <c r="N243" s="97">
        <v>0.85</v>
      </c>
      <c r="O243" s="97">
        <v>0.85</v>
      </c>
      <c r="P243" s="97">
        <v>0.85</v>
      </c>
      <c r="Q243" s="76"/>
      <c r="R243" s="76" t="s">
        <v>746</v>
      </c>
      <c r="S243" s="76" t="s">
        <v>746</v>
      </c>
      <c r="T243" s="76"/>
      <c r="U243" s="260">
        <f t="shared" si="37"/>
        <v>0.85</v>
      </c>
      <c r="V243" s="260">
        <f t="shared" si="37"/>
        <v>0.85</v>
      </c>
      <c r="W243" s="260">
        <f t="shared" si="37"/>
        <v>0.85</v>
      </c>
      <c r="X243" s="260">
        <f t="shared" si="37"/>
        <v>0.85</v>
      </c>
      <c r="Y243" s="260">
        <f t="shared" si="37"/>
        <v>0.85</v>
      </c>
      <c r="Z243" s="260">
        <f t="shared" si="37"/>
        <v>0.85</v>
      </c>
      <c r="AA243" s="260">
        <f t="shared" si="37"/>
        <v>0.85</v>
      </c>
      <c r="AB243" s="260">
        <f t="shared" si="37"/>
        <v>0.85</v>
      </c>
      <c r="AC243" s="76"/>
      <c r="AD243" s="76"/>
      <c r="AE243" s="76"/>
      <c r="AF243" s="97">
        <v>1</v>
      </c>
      <c r="AG243" s="97">
        <v>1</v>
      </c>
      <c r="AH243" s="73"/>
      <c r="AI243" s="57"/>
      <c r="AJ243" s="45"/>
      <c r="AK243" s="45"/>
      <c r="AL243" s="45"/>
    </row>
    <row r="244" spans="1:38" hidden="1" outlineLevel="2" x14ac:dyDescent="0.35">
      <c r="A244" s="45"/>
      <c r="B244" s="54"/>
      <c r="C244" s="47">
        <f t="shared" si="36"/>
        <v>3</v>
      </c>
      <c r="D244" s="73"/>
      <c r="E244" s="70"/>
      <c r="F244" s="70" t="s">
        <v>749</v>
      </c>
      <c r="G244" s="73"/>
      <c r="H244" s="76" t="s">
        <v>750</v>
      </c>
      <c r="I244" s="96" t="s">
        <v>514</v>
      </c>
      <c r="J244" s="96"/>
      <c r="K244" s="97">
        <v>5.5</v>
      </c>
      <c r="L244" s="97">
        <v>5.5</v>
      </c>
      <c r="M244" s="97">
        <v>5.5</v>
      </c>
      <c r="N244" s="97">
        <v>5.5</v>
      </c>
      <c r="O244" s="97">
        <v>5.5</v>
      </c>
      <c r="P244" s="97">
        <v>5.5</v>
      </c>
      <c r="Q244" s="76"/>
      <c r="R244" s="76" t="s">
        <v>746</v>
      </c>
      <c r="S244" s="76" t="s">
        <v>746</v>
      </c>
      <c r="T244" s="76"/>
      <c r="U244" s="260">
        <f t="shared" si="37"/>
        <v>5.5</v>
      </c>
      <c r="V244" s="260">
        <f t="shared" si="37"/>
        <v>5.5</v>
      </c>
      <c r="W244" s="260">
        <f t="shared" si="37"/>
        <v>5.5</v>
      </c>
      <c r="X244" s="260">
        <f t="shared" si="37"/>
        <v>5.5</v>
      </c>
      <c r="Y244" s="260">
        <f t="shared" si="37"/>
        <v>5.5</v>
      </c>
      <c r="Z244" s="260">
        <f t="shared" si="37"/>
        <v>5.5</v>
      </c>
      <c r="AA244" s="260">
        <f t="shared" si="37"/>
        <v>5.5</v>
      </c>
      <c r="AB244" s="260">
        <f t="shared" si="37"/>
        <v>5.5</v>
      </c>
      <c r="AC244" s="76"/>
      <c r="AD244" s="76"/>
      <c r="AE244" s="76"/>
      <c r="AF244" s="97">
        <v>1</v>
      </c>
      <c r="AG244" s="97">
        <v>1</v>
      </c>
      <c r="AH244" s="73"/>
      <c r="AI244" s="57"/>
      <c r="AJ244" s="45"/>
      <c r="AK244" s="45"/>
      <c r="AL244" s="45"/>
    </row>
    <row r="245" spans="1:38" hidden="1" outlineLevel="2" x14ac:dyDescent="0.35">
      <c r="A245" s="45"/>
      <c r="B245" s="54"/>
      <c r="C245" s="47">
        <f t="shared" si="36"/>
        <v>3</v>
      </c>
      <c r="D245" s="73"/>
      <c r="E245" s="70"/>
      <c r="F245" s="70" t="s">
        <v>751</v>
      </c>
      <c r="G245" s="73"/>
      <c r="H245" s="76" t="s">
        <v>752</v>
      </c>
      <c r="I245" s="96" t="s">
        <v>514</v>
      </c>
      <c r="J245" s="96"/>
      <c r="K245" s="97">
        <v>0.17799999999999999</v>
      </c>
      <c r="L245" s="97">
        <v>0.17799999999999999</v>
      </c>
      <c r="M245" s="97">
        <v>0.17799999999999999</v>
      </c>
      <c r="N245" s="97">
        <v>0.17799999999999999</v>
      </c>
      <c r="O245" s="97">
        <v>0.17799999999999999</v>
      </c>
      <c r="P245" s="97">
        <v>0.17799999999999999</v>
      </c>
      <c r="Q245" s="76"/>
      <c r="R245" s="76" t="s">
        <v>746</v>
      </c>
      <c r="S245" s="76" t="s">
        <v>746</v>
      </c>
      <c r="T245" s="76"/>
      <c r="U245" s="260">
        <f t="shared" si="37"/>
        <v>0.17799999999999999</v>
      </c>
      <c r="V245" s="260">
        <f t="shared" si="37"/>
        <v>0.17799999999999999</v>
      </c>
      <c r="W245" s="260">
        <f t="shared" si="37"/>
        <v>0.17799999999999999</v>
      </c>
      <c r="X245" s="260">
        <f t="shared" si="37"/>
        <v>0.17799999999999999</v>
      </c>
      <c r="Y245" s="260">
        <f t="shared" si="37"/>
        <v>0.17799999999999999</v>
      </c>
      <c r="Z245" s="260">
        <f t="shared" si="37"/>
        <v>0.17799999999999999</v>
      </c>
      <c r="AA245" s="260">
        <f t="shared" si="37"/>
        <v>0.17799999999999999</v>
      </c>
      <c r="AB245" s="260">
        <f t="shared" si="37"/>
        <v>0.17799999999999999</v>
      </c>
      <c r="AC245" s="76"/>
      <c r="AD245" s="76"/>
      <c r="AE245" s="76"/>
      <c r="AF245" s="97">
        <v>1</v>
      </c>
      <c r="AG245" s="97">
        <v>1</v>
      </c>
      <c r="AH245" s="73"/>
      <c r="AI245" s="57"/>
      <c r="AJ245" s="45"/>
      <c r="AK245" s="45"/>
      <c r="AL245" s="45"/>
    </row>
    <row r="246" spans="1:38" hidden="1" outlineLevel="2" x14ac:dyDescent="0.35">
      <c r="A246" s="45"/>
      <c r="B246" s="54"/>
      <c r="C246" s="47">
        <f t="shared" si="36"/>
        <v>3</v>
      </c>
      <c r="D246" s="73"/>
      <c r="E246" s="70"/>
      <c r="F246" s="70" t="s">
        <v>753</v>
      </c>
      <c r="G246" s="73"/>
      <c r="H246" s="76" t="s">
        <v>754</v>
      </c>
      <c r="I246" s="96" t="s">
        <v>586</v>
      </c>
      <c r="J246" s="96"/>
      <c r="K246" s="97">
        <v>0.92</v>
      </c>
      <c r="L246" s="97">
        <v>0.92</v>
      </c>
      <c r="M246" s="97">
        <v>0.92</v>
      </c>
      <c r="N246" s="97">
        <v>0.92</v>
      </c>
      <c r="O246" s="97">
        <v>0.92</v>
      </c>
      <c r="P246" s="97">
        <v>0.92</v>
      </c>
      <c r="Q246" s="76"/>
      <c r="R246" s="76" t="s">
        <v>639</v>
      </c>
      <c r="S246" s="76" t="s">
        <v>639</v>
      </c>
      <c r="T246" s="76"/>
      <c r="U246" s="260">
        <f t="shared" si="37"/>
        <v>0.92</v>
      </c>
      <c r="V246" s="260">
        <f t="shared" si="37"/>
        <v>0.92</v>
      </c>
      <c r="W246" s="260">
        <f t="shared" si="37"/>
        <v>0.92</v>
      </c>
      <c r="X246" s="260">
        <f t="shared" si="37"/>
        <v>0.92</v>
      </c>
      <c r="Y246" s="260">
        <f t="shared" si="37"/>
        <v>0.92</v>
      </c>
      <c r="Z246" s="260">
        <f t="shared" si="37"/>
        <v>0.92</v>
      </c>
      <c r="AA246" s="260">
        <f t="shared" si="37"/>
        <v>0.92</v>
      </c>
      <c r="AB246" s="260">
        <f t="shared" si="37"/>
        <v>0.92</v>
      </c>
      <c r="AC246" s="76"/>
      <c r="AD246" s="76"/>
      <c r="AE246" s="76"/>
      <c r="AF246" s="97">
        <v>1</v>
      </c>
      <c r="AG246" s="97">
        <v>1</v>
      </c>
      <c r="AH246" s="73"/>
      <c r="AI246" s="57"/>
      <c r="AJ246" s="45"/>
      <c r="AK246" s="45"/>
      <c r="AL246" s="45"/>
    </row>
    <row r="247" spans="1:38" hidden="1" outlineLevel="2" x14ac:dyDescent="0.35">
      <c r="A247" s="45"/>
      <c r="B247" s="54"/>
      <c r="C247" s="47">
        <f t="shared" si="36"/>
        <v>3</v>
      </c>
      <c r="D247" s="73"/>
      <c r="E247" s="70"/>
      <c r="F247" s="70" t="s">
        <v>755</v>
      </c>
      <c r="G247" s="73"/>
      <c r="H247" s="76" t="s">
        <v>756</v>
      </c>
      <c r="I247" s="96" t="s">
        <v>514</v>
      </c>
      <c r="J247" s="96"/>
      <c r="K247" s="97">
        <v>1</v>
      </c>
      <c r="L247" s="97">
        <v>1</v>
      </c>
      <c r="M247" s="97">
        <v>1</v>
      </c>
      <c r="N247" s="97">
        <v>1</v>
      </c>
      <c r="O247" s="97">
        <v>1</v>
      </c>
      <c r="P247" s="97">
        <v>1</v>
      </c>
      <c r="Q247" s="76"/>
      <c r="R247" s="76" t="s">
        <v>700</v>
      </c>
      <c r="S247" s="76" t="s">
        <v>700</v>
      </c>
      <c r="T247" s="76"/>
      <c r="U247" s="260">
        <f t="shared" si="37"/>
        <v>1</v>
      </c>
      <c r="V247" s="260">
        <f t="shared" si="37"/>
        <v>1</v>
      </c>
      <c r="W247" s="260">
        <f t="shared" si="37"/>
        <v>1</v>
      </c>
      <c r="X247" s="260">
        <f t="shared" si="37"/>
        <v>1</v>
      </c>
      <c r="Y247" s="260">
        <f t="shared" si="37"/>
        <v>1</v>
      </c>
      <c r="Z247" s="260">
        <f t="shared" si="37"/>
        <v>1</v>
      </c>
      <c r="AA247" s="260">
        <f t="shared" si="37"/>
        <v>1</v>
      </c>
      <c r="AB247" s="260">
        <f t="shared" si="37"/>
        <v>1</v>
      </c>
      <c r="AC247" s="76"/>
      <c r="AD247" s="76"/>
      <c r="AE247" s="76"/>
      <c r="AF247" s="97">
        <v>1</v>
      </c>
      <c r="AG247" s="97">
        <v>1</v>
      </c>
      <c r="AH247" s="73"/>
      <c r="AI247" s="57"/>
      <c r="AJ247" s="45"/>
      <c r="AK247" s="45"/>
      <c r="AL247" s="45"/>
    </row>
    <row r="248" spans="1:38" hidden="1" outlineLevel="2" x14ac:dyDescent="0.35">
      <c r="A248" s="45"/>
      <c r="B248" s="54"/>
      <c r="C248" s="47">
        <f t="shared" si="36"/>
        <v>3</v>
      </c>
      <c r="D248" s="73"/>
      <c r="E248" s="70"/>
      <c r="F248" s="70" t="s">
        <v>757</v>
      </c>
      <c r="G248" s="73"/>
      <c r="H248" s="76" t="s">
        <v>758</v>
      </c>
      <c r="I248" s="96" t="s">
        <v>514</v>
      </c>
      <c r="J248" s="96"/>
      <c r="K248" s="97">
        <v>0.6</v>
      </c>
      <c r="L248" s="97">
        <v>0.6</v>
      </c>
      <c r="M248" s="97">
        <v>0.6</v>
      </c>
      <c r="N248" s="97">
        <v>0.6</v>
      </c>
      <c r="O248" s="97">
        <v>0.6</v>
      </c>
      <c r="P248" s="97">
        <v>0.6</v>
      </c>
      <c r="Q248" s="76"/>
      <c r="R248" s="76" t="s">
        <v>700</v>
      </c>
      <c r="S248" s="76" t="s">
        <v>700</v>
      </c>
      <c r="T248" s="76"/>
      <c r="U248" s="260">
        <f t="shared" si="37"/>
        <v>0.6</v>
      </c>
      <c r="V248" s="260">
        <f t="shared" si="37"/>
        <v>0.6</v>
      </c>
      <c r="W248" s="260">
        <f t="shared" si="37"/>
        <v>0.6</v>
      </c>
      <c r="X248" s="260">
        <f t="shared" si="37"/>
        <v>0.6</v>
      </c>
      <c r="Y248" s="260">
        <f t="shared" si="37"/>
        <v>0.6</v>
      </c>
      <c r="Z248" s="260">
        <f t="shared" si="37"/>
        <v>0.6</v>
      </c>
      <c r="AA248" s="260">
        <f t="shared" si="37"/>
        <v>0.6</v>
      </c>
      <c r="AB248" s="260">
        <f t="shared" si="37"/>
        <v>0.6</v>
      </c>
      <c r="AC248" s="76"/>
      <c r="AD248" s="76"/>
      <c r="AE248" s="76"/>
      <c r="AF248" s="97">
        <v>1</v>
      </c>
      <c r="AG248" s="97">
        <v>1</v>
      </c>
      <c r="AH248" s="73"/>
      <c r="AI248" s="57"/>
      <c r="AJ248" s="45"/>
      <c r="AK248" s="45"/>
      <c r="AL248" s="45"/>
    </row>
    <row r="249" spans="1:38" hidden="1" outlineLevel="2" x14ac:dyDescent="0.35">
      <c r="A249" s="45"/>
      <c r="B249" s="54"/>
      <c r="C249" s="47">
        <f t="shared" si="36"/>
        <v>3</v>
      </c>
      <c r="D249" s="73"/>
      <c r="E249" s="70"/>
      <c r="F249" s="70" t="s">
        <v>759</v>
      </c>
      <c r="G249" s="73"/>
      <c r="H249" s="76" t="s">
        <v>760</v>
      </c>
      <c r="I249" s="96" t="s">
        <v>514</v>
      </c>
      <c r="J249" s="96"/>
      <c r="K249" s="97">
        <v>0.25</v>
      </c>
      <c r="L249" s="97">
        <v>0.25</v>
      </c>
      <c r="M249" s="97">
        <v>0.25</v>
      </c>
      <c r="N249" s="97">
        <v>0.25</v>
      </c>
      <c r="O249" s="97">
        <v>0.25</v>
      </c>
      <c r="P249" s="97">
        <v>0.25</v>
      </c>
      <c r="Q249" s="76"/>
      <c r="R249" s="76" t="s">
        <v>700</v>
      </c>
      <c r="S249" s="76" t="s">
        <v>700</v>
      </c>
      <c r="T249" s="76"/>
      <c r="U249" s="260">
        <f t="shared" si="37"/>
        <v>0.25</v>
      </c>
      <c r="V249" s="260">
        <f t="shared" si="37"/>
        <v>0.25</v>
      </c>
      <c r="W249" s="260">
        <f t="shared" si="37"/>
        <v>0.25</v>
      </c>
      <c r="X249" s="260">
        <f t="shared" si="37"/>
        <v>0.25</v>
      </c>
      <c r="Y249" s="260">
        <f t="shared" si="37"/>
        <v>0.25</v>
      </c>
      <c r="Z249" s="260">
        <f t="shared" si="37"/>
        <v>0.25</v>
      </c>
      <c r="AA249" s="260">
        <f t="shared" si="37"/>
        <v>0.25</v>
      </c>
      <c r="AB249" s="260">
        <f t="shared" si="37"/>
        <v>0.25</v>
      </c>
      <c r="AC249" s="76"/>
      <c r="AD249" s="76"/>
      <c r="AE249" s="76"/>
      <c r="AF249" s="97">
        <v>1</v>
      </c>
      <c r="AG249" s="97">
        <v>1</v>
      </c>
      <c r="AH249" s="73"/>
      <c r="AI249" s="57"/>
      <c r="AJ249" s="45"/>
      <c r="AK249" s="45"/>
      <c r="AL249" s="45"/>
    </row>
    <row r="250" spans="1:38" hidden="1" outlineLevel="2" x14ac:dyDescent="0.35">
      <c r="A250" s="45"/>
      <c r="B250" s="54"/>
      <c r="C250" s="47">
        <f t="shared" si="36"/>
        <v>3</v>
      </c>
      <c r="D250" s="73"/>
      <c r="E250" s="70"/>
      <c r="F250" s="70" t="s">
        <v>761</v>
      </c>
      <c r="G250" s="73"/>
      <c r="H250" s="76" t="s">
        <v>762</v>
      </c>
      <c r="I250" s="96" t="s">
        <v>514</v>
      </c>
      <c r="J250" s="96"/>
      <c r="K250" s="97">
        <v>0.9</v>
      </c>
      <c r="L250" s="97">
        <v>0.9</v>
      </c>
      <c r="M250" s="97">
        <v>0.9</v>
      </c>
      <c r="N250" s="97">
        <v>0.9</v>
      </c>
      <c r="O250" s="97">
        <v>0.9</v>
      </c>
      <c r="P250" s="97">
        <v>0.9</v>
      </c>
      <c r="Q250" s="76"/>
      <c r="R250" s="76" t="s">
        <v>763</v>
      </c>
      <c r="S250" s="76" t="s">
        <v>763</v>
      </c>
      <c r="T250" s="76"/>
      <c r="U250" s="260">
        <f t="shared" si="37"/>
        <v>0.9</v>
      </c>
      <c r="V250" s="260">
        <f t="shared" si="37"/>
        <v>0.9</v>
      </c>
      <c r="W250" s="260">
        <f t="shared" si="37"/>
        <v>0.9</v>
      </c>
      <c r="X250" s="260">
        <f t="shared" si="37"/>
        <v>0.9</v>
      </c>
      <c r="Y250" s="260">
        <f t="shared" si="37"/>
        <v>0.9</v>
      </c>
      <c r="Z250" s="260">
        <f t="shared" si="37"/>
        <v>0.9</v>
      </c>
      <c r="AA250" s="260">
        <f t="shared" si="37"/>
        <v>0.9</v>
      </c>
      <c r="AB250" s="260">
        <f t="shared" si="37"/>
        <v>0.9</v>
      </c>
      <c r="AC250" s="76"/>
      <c r="AD250" s="76"/>
      <c r="AE250" s="76"/>
      <c r="AF250" s="97">
        <v>1</v>
      </c>
      <c r="AG250" s="97">
        <v>1</v>
      </c>
      <c r="AH250" s="73"/>
      <c r="AI250" s="57"/>
      <c r="AJ250" s="45"/>
      <c r="AK250" s="45"/>
      <c r="AL250" s="45"/>
    </row>
    <row r="251" spans="1:38" outlineLevel="1" collapsed="1" x14ac:dyDescent="0.35">
      <c r="A251" s="45"/>
      <c r="B251" s="54"/>
      <c r="C251" s="47">
        <f>INT($C$29)+1</f>
        <v>2</v>
      </c>
      <c r="D251" s="73"/>
      <c r="E251" s="70"/>
      <c r="F251" s="263" t="s">
        <v>764</v>
      </c>
      <c r="G251" s="73"/>
      <c r="H251" s="253" t="s">
        <v>765</v>
      </c>
      <c r="I251" s="96"/>
      <c r="J251" s="96" t="s">
        <v>531</v>
      </c>
      <c r="K251" s="76"/>
      <c r="L251" s="76"/>
      <c r="M251" s="76"/>
      <c r="N251" s="76"/>
      <c r="O251" s="76"/>
      <c r="P251" s="76"/>
      <c r="Q251" s="76"/>
      <c r="R251" s="76"/>
      <c r="S251" s="76"/>
      <c r="T251" s="76"/>
      <c r="U251" s="79">
        <f>COUNTA($F$251:$F$271)-1</f>
        <v>20</v>
      </c>
      <c r="V251" s="76"/>
      <c r="W251" s="79">
        <v>0</v>
      </c>
      <c r="X251" s="76"/>
      <c r="Y251" s="76"/>
      <c r="Z251" s="76"/>
      <c r="AA251" s="76"/>
      <c r="AB251" s="76"/>
      <c r="AC251" s="76"/>
      <c r="AD251" s="76"/>
      <c r="AE251" s="76"/>
      <c r="AF251" s="76"/>
      <c r="AG251" s="76"/>
      <c r="AH251" s="73"/>
      <c r="AI251" s="57"/>
      <c r="AJ251" s="45"/>
      <c r="AK251" s="45"/>
      <c r="AL251" s="45"/>
    </row>
    <row r="252" spans="1:38" hidden="1" outlineLevel="2" x14ac:dyDescent="0.35">
      <c r="A252" s="45"/>
      <c r="B252" s="54"/>
      <c r="C252" s="47">
        <f>INT($C$29)+3</f>
        <v>4</v>
      </c>
      <c r="D252" s="73"/>
      <c r="E252" s="70" t="s">
        <v>766</v>
      </c>
      <c r="F252" s="70" t="s">
        <v>767</v>
      </c>
      <c r="G252" s="73"/>
      <c r="H252" s="76" t="s">
        <v>768</v>
      </c>
      <c r="I252" s="96" t="s">
        <v>543</v>
      </c>
      <c r="J252" s="96"/>
      <c r="K252" s="97">
        <v>90</v>
      </c>
      <c r="L252" s="97">
        <v>90</v>
      </c>
      <c r="M252" s="97">
        <v>0</v>
      </c>
      <c r="N252" s="97">
        <v>0</v>
      </c>
      <c r="O252" s="97">
        <v>0</v>
      </c>
      <c r="P252" s="97">
        <v>0</v>
      </c>
      <c r="Q252" s="76"/>
      <c r="R252" s="76" t="s">
        <v>769</v>
      </c>
      <c r="S252" s="76"/>
      <c r="T252" s="76"/>
      <c r="U252" s="260">
        <f t="shared" ref="U252:AB265" si="38">INDEX($K252:$Q252,1,U$43)</f>
        <v>90</v>
      </c>
      <c r="V252" s="260">
        <f t="shared" si="38"/>
        <v>90</v>
      </c>
      <c r="W252" s="260">
        <f t="shared" si="38"/>
        <v>90</v>
      </c>
      <c r="X252" s="260">
        <f t="shared" si="38"/>
        <v>90</v>
      </c>
      <c r="Y252" s="260">
        <f t="shared" si="38"/>
        <v>90</v>
      </c>
      <c r="Z252" s="260">
        <f t="shared" si="38"/>
        <v>90</v>
      </c>
      <c r="AA252" s="260">
        <f t="shared" si="38"/>
        <v>90</v>
      </c>
      <c r="AB252" s="260">
        <f t="shared" si="38"/>
        <v>90</v>
      </c>
      <c r="AC252" s="76"/>
      <c r="AD252" s="76"/>
      <c r="AE252" s="76"/>
      <c r="AF252" s="97">
        <v>1</v>
      </c>
      <c r="AG252" s="97">
        <v>1</v>
      </c>
      <c r="AH252" s="73"/>
      <c r="AI252" s="57"/>
      <c r="AJ252" s="45"/>
      <c r="AK252" s="45"/>
      <c r="AL252" s="45"/>
    </row>
    <row r="253" spans="1:38" hidden="1" outlineLevel="2" x14ac:dyDescent="0.35">
      <c r="A253" s="45"/>
      <c r="B253" s="54"/>
      <c r="C253" s="47">
        <f t="shared" ref="C253:C265" si="39">INT($C$29)+2</f>
        <v>3</v>
      </c>
      <c r="D253" s="73"/>
      <c r="E253" s="70"/>
      <c r="F253" s="70" t="s">
        <v>770</v>
      </c>
      <c r="G253" s="73"/>
      <c r="H253" s="76" t="s">
        <v>771</v>
      </c>
      <c r="I253" s="96" t="s">
        <v>543</v>
      </c>
      <c r="J253" s="96"/>
      <c r="K253" s="97">
        <v>150</v>
      </c>
      <c r="L253" s="97">
        <v>150</v>
      </c>
      <c r="M253" s="97">
        <v>285</v>
      </c>
      <c r="N253" s="97">
        <v>285</v>
      </c>
      <c r="O253" s="97">
        <v>285</v>
      </c>
      <c r="P253" s="97">
        <v>285</v>
      </c>
      <c r="Q253" s="76"/>
      <c r="R253" s="76" t="s">
        <v>772</v>
      </c>
      <c r="S253" s="76" t="s">
        <v>772</v>
      </c>
      <c r="T253" s="76"/>
      <c r="U253" s="260">
        <f t="shared" si="38"/>
        <v>150</v>
      </c>
      <c r="V253" s="260">
        <f t="shared" si="38"/>
        <v>150</v>
      </c>
      <c r="W253" s="260">
        <f t="shared" si="38"/>
        <v>150</v>
      </c>
      <c r="X253" s="260">
        <f t="shared" si="38"/>
        <v>150</v>
      </c>
      <c r="Y253" s="260">
        <f t="shared" si="38"/>
        <v>150</v>
      </c>
      <c r="Z253" s="260">
        <f t="shared" si="38"/>
        <v>150</v>
      </c>
      <c r="AA253" s="260">
        <f t="shared" si="38"/>
        <v>150</v>
      </c>
      <c r="AB253" s="260">
        <f t="shared" si="38"/>
        <v>150</v>
      </c>
      <c r="AC253" s="76"/>
      <c r="AD253" s="76"/>
      <c r="AE253" s="76"/>
      <c r="AF253" s="97">
        <v>1</v>
      </c>
      <c r="AG253" s="97">
        <v>1</v>
      </c>
      <c r="AH253" s="73"/>
      <c r="AI253" s="57"/>
      <c r="AJ253" s="45"/>
      <c r="AK253" s="45"/>
      <c r="AL253" s="45"/>
    </row>
    <row r="254" spans="1:38" hidden="1" outlineLevel="2" x14ac:dyDescent="0.35">
      <c r="A254" s="45"/>
      <c r="B254" s="54"/>
      <c r="C254" s="47">
        <f t="shared" si="39"/>
        <v>3</v>
      </c>
      <c r="D254" s="73"/>
      <c r="E254" s="70"/>
      <c r="F254" s="70" t="s">
        <v>773</v>
      </c>
      <c r="G254" s="73"/>
      <c r="H254" s="76" t="s">
        <v>774</v>
      </c>
      <c r="I254" s="96" t="s">
        <v>514</v>
      </c>
      <c r="J254" s="96"/>
      <c r="K254" s="97">
        <v>1.304</v>
      </c>
      <c r="L254" s="97">
        <v>1.304</v>
      </c>
      <c r="M254" s="97">
        <v>2.2000000000000002</v>
      </c>
      <c r="N254" s="97">
        <v>2.2000000000000002</v>
      </c>
      <c r="O254" s="97">
        <v>2.2000000000000002</v>
      </c>
      <c r="P254" s="97">
        <v>2.2000000000000002</v>
      </c>
      <c r="Q254" s="76"/>
      <c r="R254" s="76" t="s">
        <v>772</v>
      </c>
      <c r="S254" s="76" t="s">
        <v>772</v>
      </c>
      <c r="T254" s="76"/>
      <c r="U254" s="260">
        <f t="shared" si="38"/>
        <v>1.304</v>
      </c>
      <c r="V254" s="260">
        <f t="shared" si="38"/>
        <v>1.304</v>
      </c>
      <c r="W254" s="260">
        <f t="shared" si="38"/>
        <v>1.304</v>
      </c>
      <c r="X254" s="260">
        <f t="shared" si="38"/>
        <v>1.304</v>
      </c>
      <c r="Y254" s="260">
        <f t="shared" si="38"/>
        <v>1.304</v>
      </c>
      <c r="Z254" s="260">
        <f t="shared" si="38"/>
        <v>1.304</v>
      </c>
      <c r="AA254" s="260">
        <f t="shared" si="38"/>
        <v>1.304</v>
      </c>
      <c r="AB254" s="260">
        <f t="shared" si="38"/>
        <v>1.304</v>
      </c>
      <c r="AC254" s="76"/>
      <c r="AD254" s="76"/>
      <c r="AE254" s="76"/>
      <c r="AF254" s="97">
        <v>1</v>
      </c>
      <c r="AG254" s="97">
        <v>1</v>
      </c>
      <c r="AH254" s="73"/>
      <c r="AI254" s="57"/>
      <c r="AJ254" s="45"/>
      <c r="AK254" s="45"/>
      <c r="AL254" s="45"/>
    </row>
    <row r="255" spans="1:38" hidden="1" outlineLevel="2" x14ac:dyDescent="0.35">
      <c r="A255" s="45"/>
      <c r="B255" s="54"/>
      <c r="C255" s="47">
        <f t="shared" si="39"/>
        <v>3</v>
      </c>
      <c r="D255" s="73"/>
      <c r="E255" s="70"/>
      <c r="F255" s="70" t="s">
        <v>775</v>
      </c>
      <c r="G255" s="73"/>
      <c r="H255" s="76" t="s">
        <v>774</v>
      </c>
      <c r="I255" s="96" t="s">
        <v>514</v>
      </c>
      <c r="J255" s="96"/>
      <c r="K255" s="97">
        <v>2.625</v>
      </c>
      <c r="L255" s="97">
        <v>2.625</v>
      </c>
      <c r="M255" s="97">
        <v>1.77</v>
      </c>
      <c r="N255" s="97">
        <v>1.77</v>
      </c>
      <c r="O255" s="97">
        <v>1.77</v>
      </c>
      <c r="P255" s="97">
        <v>1.77</v>
      </c>
      <c r="Q255" s="76"/>
      <c r="R255" s="76" t="s">
        <v>772</v>
      </c>
      <c r="S255" s="76" t="s">
        <v>772</v>
      </c>
      <c r="T255" s="76"/>
      <c r="U255" s="260">
        <f t="shared" si="38"/>
        <v>2.625</v>
      </c>
      <c r="V255" s="260">
        <f t="shared" si="38"/>
        <v>2.625</v>
      </c>
      <c r="W255" s="260">
        <f t="shared" si="38"/>
        <v>2.625</v>
      </c>
      <c r="X255" s="260">
        <f t="shared" si="38"/>
        <v>2.625</v>
      </c>
      <c r="Y255" s="260">
        <f t="shared" si="38"/>
        <v>2.625</v>
      </c>
      <c r="Z255" s="260">
        <f t="shared" si="38"/>
        <v>2.625</v>
      </c>
      <c r="AA255" s="260">
        <f t="shared" si="38"/>
        <v>2.625</v>
      </c>
      <c r="AB255" s="260">
        <f t="shared" si="38"/>
        <v>2.625</v>
      </c>
      <c r="AC255" s="76"/>
      <c r="AD255" s="76"/>
      <c r="AE255" s="76"/>
      <c r="AF255" s="97">
        <v>1</v>
      </c>
      <c r="AG255" s="97">
        <v>1</v>
      </c>
      <c r="AH255" s="73"/>
      <c r="AI255" s="57"/>
      <c r="AJ255" s="45"/>
      <c r="AK255" s="45"/>
      <c r="AL255" s="45"/>
    </row>
    <row r="256" spans="1:38" hidden="1" outlineLevel="2" x14ac:dyDescent="0.35">
      <c r="A256" s="45"/>
      <c r="B256" s="54"/>
      <c r="C256" s="47">
        <f t="shared" si="39"/>
        <v>3</v>
      </c>
      <c r="D256" s="73"/>
      <c r="E256" s="70"/>
      <c r="F256" s="70" t="s">
        <v>776</v>
      </c>
      <c r="G256" s="73"/>
      <c r="H256" s="76" t="s">
        <v>777</v>
      </c>
      <c r="I256" s="96" t="s">
        <v>514</v>
      </c>
      <c r="J256" s="96"/>
      <c r="K256" s="97">
        <v>0.33</v>
      </c>
      <c r="L256" s="97">
        <v>0.33</v>
      </c>
      <c r="M256" s="97">
        <v>0.33</v>
      </c>
      <c r="N256" s="97">
        <v>0.33</v>
      </c>
      <c r="O256" s="97">
        <v>0.33</v>
      </c>
      <c r="P256" s="97">
        <v>0.33</v>
      </c>
      <c r="Q256" s="76"/>
      <c r="R256" s="76" t="s">
        <v>772</v>
      </c>
      <c r="S256" s="76" t="s">
        <v>772</v>
      </c>
      <c r="T256" s="76"/>
      <c r="U256" s="260">
        <f t="shared" si="38"/>
        <v>0.33</v>
      </c>
      <c r="V256" s="260">
        <f t="shared" si="38"/>
        <v>0.33</v>
      </c>
      <c r="W256" s="260">
        <f t="shared" si="38"/>
        <v>0.33</v>
      </c>
      <c r="X256" s="260">
        <f t="shared" si="38"/>
        <v>0.33</v>
      </c>
      <c r="Y256" s="260">
        <f t="shared" si="38"/>
        <v>0.33</v>
      </c>
      <c r="Z256" s="260">
        <f t="shared" si="38"/>
        <v>0.33</v>
      </c>
      <c r="AA256" s="260">
        <f t="shared" si="38"/>
        <v>0.33</v>
      </c>
      <c r="AB256" s="260">
        <f t="shared" si="38"/>
        <v>0.33</v>
      </c>
      <c r="AC256" s="76"/>
      <c r="AD256" s="76"/>
      <c r="AE256" s="76"/>
      <c r="AF256" s="97">
        <v>1</v>
      </c>
      <c r="AG256" s="97">
        <v>1</v>
      </c>
      <c r="AH256" s="73"/>
      <c r="AI256" s="57"/>
      <c r="AJ256" s="45"/>
      <c r="AK256" s="45"/>
      <c r="AL256" s="45"/>
    </row>
    <row r="257" spans="1:38" hidden="1" outlineLevel="2" x14ac:dyDescent="0.35">
      <c r="A257" s="45"/>
      <c r="B257" s="54"/>
      <c r="C257" s="47">
        <f t="shared" si="39"/>
        <v>3</v>
      </c>
      <c r="D257" s="73"/>
      <c r="E257" s="70"/>
      <c r="F257" s="70" t="s">
        <v>778</v>
      </c>
      <c r="G257" s="73"/>
      <c r="H257" s="76" t="s">
        <v>779</v>
      </c>
      <c r="I257" s="96" t="s">
        <v>780</v>
      </c>
      <c r="J257" s="96"/>
      <c r="K257" s="97">
        <v>1.43</v>
      </c>
      <c r="L257" s="97">
        <v>1.43</v>
      </c>
      <c r="M257" s="97">
        <v>1.8</v>
      </c>
      <c r="N257" s="97">
        <v>1.8</v>
      </c>
      <c r="O257" s="97">
        <v>1.8</v>
      </c>
      <c r="P257" s="97">
        <v>1.8</v>
      </c>
      <c r="Q257" s="76"/>
      <c r="R257" s="76" t="s">
        <v>772</v>
      </c>
      <c r="S257" s="76" t="s">
        <v>772</v>
      </c>
      <c r="T257" s="76"/>
      <c r="U257" s="260">
        <f t="shared" si="38"/>
        <v>1.43</v>
      </c>
      <c r="V257" s="260">
        <f t="shared" si="38"/>
        <v>1.43</v>
      </c>
      <c r="W257" s="260">
        <f t="shared" si="38"/>
        <v>1.43</v>
      </c>
      <c r="X257" s="260">
        <f t="shared" si="38"/>
        <v>1.43</v>
      </c>
      <c r="Y257" s="260">
        <f t="shared" si="38"/>
        <v>1.43</v>
      </c>
      <c r="Z257" s="260">
        <f t="shared" si="38"/>
        <v>1.43</v>
      </c>
      <c r="AA257" s="260">
        <f t="shared" si="38"/>
        <v>1.43</v>
      </c>
      <c r="AB257" s="260">
        <f t="shared" si="38"/>
        <v>1.43</v>
      </c>
      <c r="AC257" s="76"/>
      <c r="AD257" s="76"/>
      <c r="AE257" s="76"/>
      <c r="AF257" s="97">
        <v>1</v>
      </c>
      <c r="AG257" s="97">
        <v>1</v>
      </c>
      <c r="AH257" s="73"/>
      <c r="AI257" s="57"/>
      <c r="AJ257" s="45"/>
      <c r="AK257" s="45"/>
      <c r="AL257" s="45"/>
    </row>
    <row r="258" spans="1:38" hidden="1" outlineLevel="2" x14ac:dyDescent="0.35">
      <c r="A258" s="45"/>
      <c r="B258" s="54"/>
      <c r="C258" s="47">
        <f t="shared" si="39"/>
        <v>3</v>
      </c>
      <c r="D258" s="73"/>
      <c r="E258" s="70"/>
      <c r="F258" s="70" t="s">
        <v>781</v>
      </c>
      <c r="G258" s="73"/>
      <c r="H258" s="76" t="s">
        <v>782</v>
      </c>
      <c r="I258" s="96" t="s">
        <v>514</v>
      </c>
      <c r="J258" s="96"/>
      <c r="K258" s="97">
        <v>3.38</v>
      </c>
      <c r="L258" s="97">
        <v>3.38</v>
      </c>
      <c r="M258" s="97">
        <v>2.42</v>
      </c>
      <c r="N258" s="97">
        <v>2.42</v>
      </c>
      <c r="O258" s="97">
        <v>2.42</v>
      </c>
      <c r="P258" s="97">
        <v>2.42</v>
      </c>
      <c r="Q258" s="76"/>
      <c r="R258" s="76" t="s">
        <v>772</v>
      </c>
      <c r="S258" s="76" t="s">
        <v>772</v>
      </c>
      <c r="T258" s="76"/>
      <c r="U258" s="260">
        <f t="shared" si="38"/>
        <v>3.38</v>
      </c>
      <c r="V258" s="260">
        <f t="shared" si="38"/>
        <v>3.38</v>
      </c>
      <c r="W258" s="260">
        <f t="shared" si="38"/>
        <v>3.38</v>
      </c>
      <c r="X258" s="260">
        <f t="shared" si="38"/>
        <v>3.38</v>
      </c>
      <c r="Y258" s="260">
        <f t="shared" si="38"/>
        <v>3.38</v>
      </c>
      <c r="Z258" s="260">
        <f t="shared" si="38"/>
        <v>3.38</v>
      </c>
      <c r="AA258" s="260">
        <f t="shared" si="38"/>
        <v>3.38</v>
      </c>
      <c r="AB258" s="260">
        <f t="shared" si="38"/>
        <v>3.38</v>
      </c>
      <c r="AC258" s="76"/>
      <c r="AD258" s="76"/>
      <c r="AE258" s="76"/>
      <c r="AF258" s="97">
        <v>1</v>
      </c>
      <c r="AG258" s="97">
        <v>1</v>
      </c>
      <c r="AH258" s="73"/>
      <c r="AI258" s="57"/>
      <c r="AJ258" s="45"/>
      <c r="AK258" s="45"/>
      <c r="AL258" s="45"/>
    </row>
    <row r="259" spans="1:38" hidden="1" outlineLevel="2" x14ac:dyDescent="0.35">
      <c r="A259" s="45"/>
      <c r="B259" s="54"/>
      <c r="C259" s="47">
        <f t="shared" si="39"/>
        <v>3</v>
      </c>
      <c r="D259" s="73"/>
      <c r="E259" s="70"/>
      <c r="F259" s="70" t="s">
        <v>783</v>
      </c>
      <c r="G259" s="73"/>
      <c r="H259" s="76" t="s">
        <v>784</v>
      </c>
      <c r="I259" s="96" t="s">
        <v>514</v>
      </c>
      <c r="J259" s="96"/>
      <c r="K259" s="97">
        <v>0.91</v>
      </c>
      <c r="L259" s="97">
        <v>0.91</v>
      </c>
      <c r="M259" s="97">
        <v>1.1599999999999999</v>
      </c>
      <c r="N259" s="97">
        <v>1.1599999999999999</v>
      </c>
      <c r="O259" s="97">
        <v>1.1599999999999999</v>
      </c>
      <c r="P259" s="97">
        <v>1.1599999999999999</v>
      </c>
      <c r="Q259" s="76"/>
      <c r="R259" s="76" t="s">
        <v>772</v>
      </c>
      <c r="S259" s="76" t="s">
        <v>772</v>
      </c>
      <c r="T259" s="76"/>
      <c r="U259" s="260">
        <f t="shared" si="38"/>
        <v>0.91</v>
      </c>
      <c r="V259" s="260">
        <f t="shared" si="38"/>
        <v>0.91</v>
      </c>
      <c r="W259" s="260">
        <f t="shared" si="38"/>
        <v>0.91</v>
      </c>
      <c r="X259" s="260">
        <f t="shared" si="38"/>
        <v>0.91</v>
      </c>
      <c r="Y259" s="260">
        <f t="shared" si="38"/>
        <v>0.91</v>
      </c>
      <c r="Z259" s="260">
        <f t="shared" si="38"/>
        <v>0.91</v>
      </c>
      <c r="AA259" s="260">
        <f t="shared" si="38"/>
        <v>0.91</v>
      </c>
      <c r="AB259" s="260">
        <f t="shared" si="38"/>
        <v>0.91</v>
      </c>
      <c r="AC259" s="76"/>
      <c r="AD259" s="76"/>
      <c r="AE259" s="76"/>
      <c r="AF259" s="97">
        <v>1</v>
      </c>
      <c r="AG259" s="97">
        <v>1</v>
      </c>
      <c r="AH259" s="73"/>
      <c r="AI259" s="57"/>
      <c r="AJ259" s="45"/>
      <c r="AK259" s="45"/>
      <c r="AL259" s="45"/>
    </row>
    <row r="260" spans="1:38" hidden="1" outlineLevel="2" x14ac:dyDescent="0.35">
      <c r="A260" s="45"/>
      <c r="B260" s="54"/>
      <c r="C260" s="47">
        <f t="shared" si="39"/>
        <v>3</v>
      </c>
      <c r="D260" s="73"/>
      <c r="E260" s="70"/>
      <c r="F260" s="70" t="s">
        <v>785</v>
      </c>
      <c r="G260" s="73"/>
      <c r="H260" s="76" t="s">
        <v>786</v>
      </c>
      <c r="I260" s="96" t="s">
        <v>787</v>
      </c>
      <c r="J260" s="96"/>
      <c r="K260" s="97">
        <v>4.33</v>
      </c>
      <c r="L260" s="97">
        <v>4.33</v>
      </c>
      <c r="M260" s="97">
        <v>4.1100000000000003</v>
      </c>
      <c r="N260" s="97">
        <v>4.1100000000000003</v>
      </c>
      <c r="O260" s="97">
        <v>4.1100000000000003</v>
      </c>
      <c r="P260" s="97">
        <v>4.1100000000000003</v>
      </c>
      <c r="Q260" s="76"/>
      <c r="R260" s="76" t="s">
        <v>772</v>
      </c>
      <c r="S260" s="76" t="s">
        <v>772</v>
      </c>
      <c r="T260" s="76"/>
      <c r="U260" s="260">
        <f t="shared" si="38"/>
        <v>4.33</v>
      </c>
      <c r="V260" s="260">
        <f t="shared" si="38"/>
        <v>4.33</v>
      </c>
      <c r="W260" s="260">
        <f t="shared" si="38"/>
        <v>4.33</v>
      </c>
      <c r="X260" s="260">
        <f t="shared" si="38"/>
        <v>4.33</v>
      </c>
      <c r="Y260" s="260">
        <f t="shared" si="38"/>
        <v>4.33</v>
      </c>
      <c r="Z260" s="260">
        <f t="shared" si="38"/>
        <v>4.33</v>
      </c>
      <c r="AA260" s="260">
        <f t="shared" si="38"/>
        <v>4.33</v>
      </c>
      <c r="AB260" s="260">
        <f t="shared" si="38"/>
        <v>4.33</v>
      </c>
      <c r="AC260" s="76"/>
      <c r="AD260" s="76"/>
      <c r="AE260" s="76"/>
      <c r="AF260" s="97">
        <v>1</v>
      </c>
      <c r="AG260" s="97">
        <v>1</v>
      </c>
      <c r="AH260" s="73"/>
      <c r="AI260" s="57"/>
      <c r="AJ260" s="45"/>
      <c r="AK260" s="45"/>
      <c r="AL260" s="45"/>
    </row>
    <row r="261" spans="1:38" hidden="1" outlineLevel="2" x14ac:dyDescent="0.35">
      <c r="A261" s="45"/>
      <c r="B261" s="54"/>
      <c r="C261" s="47">
        <f t="shared" si="39"/>
        <v>3</v>
      </c>
      <c r="D261" s="73"/>
      <c r="E261" s="70"/>
      <c r="F261" s="70" t="s">
        <v>788</v>
      </c>
      <c r="G261" s="73"/>
      <c r="H261" s="76" t="s">
        <v>789</v>
      </c>
      <c r="I261" s="96" t="s">
        <v>514</v>
      </c>
      <c r="J261" s="96"/>
      <c r="K261" s="97">
        <v>4.37</v>
      </c>
      <c r="L261" s="97">
        <v>4.37</v>
      </c>
      <c r="M261" s="97">
        <v>343.5</v>
      </c>
      <c r="N261" s="97">
        <v>343.5</v>
      </c>
      <c r="O261" s="97">
        <v>343.5</v>
      </c>
      <c r="P261" s="97">
        <v>343.5</v>
      </c>
      <c r="Q261" s="76"/>
      <c r="R261" s="76" t="s">
        <v>772</v>
      </c>
      <c r="S261" s="76" t="s">
        <v>772</v>
      </c>
      <c r="T261" s="76"/>
      <c r="U261" s="260">
        <f t="shared" si="38"/>
        <v>4.37</v>
      </c>
      <c r="V261" s="260">
        <f t="shared" si="38"/>
        <v>4.37</v>
      </c>
      <c r="W261" s="260">
        <f t="shared" si="38"/>
        <v>4.37</v>
      </c>
      <c r="X261" s="260">
        <f t="shared" si="38"/>
        <v>4.37</v>
      </c>
      <c r="Y261" s="260">
        <f t="shared" si="38"/>
        <v>4.37</v>
      </c>
      <c r="Z261" s="260">
        <f t="shared" si="38"/>
        <v>4.37</v>
      </c>
      <c r="AA261" s="260">
        <f t="shared" si="38"/>
        <v>4.37</v>
      </c>
      <c r="AB261" s="260">
        <f t="shared" si="38"/>
        <v>4.37</v>
      </c>
      <c r="AC261" s="76"/>
      <c r="AD261" s="76"/>
      <c r="AE261" s="76"/>
      <c r="AF261" s="97">
        <v>1</v>
      </c>
      <c r="AG261" s="97">
        <v>1</v>
      </c>
      <c r="AH261" s="73"/>
      <c r="AI261" s="57"/>
      <c r="AJ261" s="45"/>
      <c r="AK261" s="45"/>
      <c r="AL261" s="45"/>
    </row>
    <row r="262" spans="1:38" hidden="1" outlineLevel="2" x14ac:dyDescent="0.35">
      <c r="A262" s="45"/>
      <c r="B262" s="54"/>
      <c r="C262" s="47">
        <f t="shared" si="39"/>
        <v>3</v>
      </c>
      <c r="D262" s="73"/>
      <c r="E262" s="70"/>
      <c r="F262" s="70" t="s">
        <v>790</v>
      </c>
      <c r="G262" s="73"/>
      <c r="H262" s="76" t="s">
        <v>791</v>
      </c>
      <c r="I262" s="96" t="s">
        <v>514</v>
      </c>
      <c r="J262" s="96"/>
      <c r="K262" s="97">
        <v>0.96499999999999997</v>
      </c>
      <c r="L262" s="97">
        <v>0.96499999999999997</v>
      </c>
      <c r="M262" s="97">
        <v>1.6400000000000001E-2</v>
      </c>
      <c r="N262" s="97">
        <v>1.6400000000000001E-2</v>
      </c>
      <c r="O262" s="97">
        <v>1.6400000000000001E-2</v>
      </c>
      <c r="P262" s="97">
        <v>1.6400000000000001E-2</v>
      </c>
      <c r="Q262" s="76"/>
      <c r="R262" s="76" t="s">
        <v>772</v>
      </c>
      <c r="S262" s="76" t="s">
        <v>772</v>
      </c>
      <c r="T262" s="76"/>
      <c r="U262" s="260">
        <f t="shared" si="38"/>
        <v>0.96499999999999997</v>
      </c>
      <c r="V262" s="260">
        <f t="shared" si="38"/>
        <v>0.96499999999999997</v>
      </c>
      <c r="W262" s="260">
        <f t="shared" si="38"/>
        <v>0.96499999999999997</v>
      </c>
      <c r="X262" s="260">
        <f t="shared" si="38"/>
        <v>0.96499999999999997</v>
      </c>
      <c r="Y262" s="260">
        <f t="shared" si="38"/>
        <v>0.96499999999999997</v>
      </c>
      <c r="Z262" s="260">
        <f t="shared" si="38"/>
        <v>0.96499999999999997</v>
      </c>
      <c r="AA262" s="260">
        <f t="shared" si="38"/>
        <v>0.96499999999999997</v>
      </c>
      <c r="AB262" s="260">
        <f t="shared" si="38"/>
        <v>0.96499999999999997</v>
      </c>
      <c r="AC262" s="76"/>
      <c r="AD262" s="76"/>
      <c r="AE262" s="76"/>
      <c r="AF262" s="97">
        <v>1</v>
      </c>
      <c r="AG262" s="97">
        <v>1</v>
      </c>
      <c r="AH262" s="73"/>
      <c r="AI262" s="57"/>
      <c r="AJ262" s="45"/>
      <c r="AK262" s="45"/>
      <c r="AL262" s="45"/>
    </row>
    <row r="263" spans="1:38" hidden="1" outlineLevel="2" x14ac:dyDescent="0.35">
      <c r="A263" s="45"/>
      <c r="B263" s="54"/>
      <c r="C263" s="47">
        <f t="shared" si="39"/>
        <v>3</v>
      </c>
      <c r="D263" s="73"/>
      <c r="E263" s="70"/>
      <c r="F263" s="70" t="s">
        <v>792</v>
      </c>
      <c r="G263" s="73"/>
      <c r="H263" s="76" t="s">
        <v>793</v>
      </c>
      <c r="I263" s="96" t="s">
        <v>780</v>
      </c>
      <c r="J263" s="96"/>
      <c r="K263" s="97">
        <v>0.14499999999999999</v>
      </c>
      <c r="L263" s="97">
        <v>0.14499999999999999</v>
      </c>
      <c r="M263" s="97">
        <v>0.13400000000000001</v>
      </c>
      <c r="N263" s="97">
        <v>0.13400000000000001</v>
      </c>
      <c r="O263" s="97">
        <v>0.13400000000000001</v>
      </c>
      <c r="P263" s="97">
        <v>0.13400000000000001</v>
      </c>
      <c r="Q263" s="76"/>
      <c r="R263" s="76" t="s">
        <v>772</v>
      </c>
      <c r="S263" s="76" t="s">
        <v>772</v>
      </c>
      <c r="T263" s="76"/>
      <c r="U263" s="260">
        <f t="shared" si="38"/>
        <v>0.14499999999999999</v>
      </c>
      <c r="V263" s="260">
        <f t="shared" si="38"/>
        <v>0.14499999999999999</v>
      </c>
      <c r="W263" s="260">
        <f t="shared" si="38"/>
        <v>0.14499999999999999</v>
      </c>
      <c r="X263" s="260">
        <f t="shared" si="38"/>
        <v>0.14499999999999999</v>
      </c>
      <c r="Y263" s="260">
        <f t="shared" si="38"/>
        <v>0.14499999999999999</v>
      </c>
      <c r="Z263" s="260">
        <f t="shared" si="38"/>
        <v>0.14499999999999999</v>
      </c>
      <c r="AA263" s="260">
        <f t="shared" si="38"/>
        <v>0.14499999999999999</v>
      </c>
      <c r="AB263" s="260">
        <f t="shared" si="38"/>
        <v>0.14499999999999999</v>
      </c>
      <c r="AC263" s="76"/>
      <c r="AD263" s="76"/>
      <c r="AE263" s="76"/>
      <c r="AF263" s="97">
        <v>1</v>
      </c>
      <c r="AG263" s="97">
        <v>1</v>
      </c>
      <c r="AH263" s="73"/>
      <c r="AI263" s="57"/>
      <c r="AJ263" s="45"/>
      <c r="AK263" s="45"/>
      <c r="AL263" s="45"/>
    </row>
    <row r="264" spans="1:38" hidden="1" outlineLevel="2" x14ac:dyDescent="0.35">
      <c r="A264" s="45"/>
      <c r="B264" s="54"/>
      <c r="C264" s="47">
        <f t="shared" si="39"/>
        <v>3</v>
      </c>
      <c r="D264" s="73"/>
      <c r="E264" s="70"/>
      <c r="F264" s="70" t="s">
        <v>794</v>
      </c>
      <c r="G264" s="73"/>
      <c r="H264" s="76" t="s">
        <v>795</v>
      </c>
      <c r="I264" s="96" t="s">
        <v>514</v>
      </c>
      <c r="J264" s="96"/>
      <c r="K264" s="97">
        <v>4.5599999999999996</v>
      </c>
      <c r="L264" s="97">
        <v>4.5599999999999996</v>
      </c>
      <c r="M264" s="97">
        <v>6.22</v>
      </c>
      <c r="N264" s="97">
        <v>6.22</v>
      </c>
      <c r="O264" s="97">
        <v>6.22</v>
      </c>
      <c r="P264" s="97">
        <v>6.22</v>
      </c>
      <c r="Q264" s="76"/>
      <c r="R264" s="76" t="s">
        <v>772</v>
      </c>
      <c r="S264" s="76" t="s">
        <v>772</v>
      </c>
      <c r="T264" s="76"/>
      <c r="U264" s="260">
        <f t="shared" si="38"/>
        <v>4.5599999999999996</v>
      </c>
      <c r="V264" s="260">
        <f t="shared" si="38"/>
        <v>4.5599999999999996</v>
      </c>
      <c r="W264" s="260">
        <f t="shared" si="38"/>
        <v>4.5599999999999996</v>
      </c>
      <c r="X264" s="260">
        <f t="shared" si="38"/>
        <v>4.5599999999999996</v>
      </c>
      <c r="Y264" s="260">
        <f t="shared" si="38"/>
        <v>4.5599999999999996</v>
      </c>
      <c r="Z264" s="260">
        <f t="shared" si="38"/>
        <v>4.5599999999999996</v>
      </c>
      <c r="AA264" s="260">
        <f t="shared" si="38"/>
        <v>4.5599999999999996</v>
      </c>
      <c r="AB264" s="260">
        <f t="shared" si="38"/>
        <v>4.5599999999999996</v>
      </c>
      <c r="AC264" s="76"/>
      <c r="AD264" s="76"/>
      <c r="AE264" s="76"/>
      <c r="AF264" s="97">
        <v>1</v>
      </c>
      <c r="AG264" s="97">
        <v>1</v>
      </c>
      <c r="AH264" s="73"/>
      <c r="AI264" s="57"/>
      <c r="AJ264" s="45"/>
      <c r="AK264" s="45"/>
      <c r="AL264" s="45"/>
    </row>
    <row r="265" spans="1:38" hidden="1" outlineLevel="2" collapsed="1" x14ac:dyDescent="0.35">
      <c r="A265" s="45"/>
      <c r="B265" s="54"/>
      <c r="C265" s="47">
        <f t="shared" si="39"/>
        <v>3</v>
      </c>
      <c r="D265" s="73"/>
      <c r="E265" s="70"/>
      <c r="F265" s="70" t="s">
        <v>796</v>
      </c>
      <c r="G265" s="73"/>
      <c r="H265" s="76" t="s">
        <v>791</v>
      </c>
      <c r="I265" s="96" t="s">
        <v>541</v>
      </c>
      <c r="J265" s="96"/>
      <c r="K265" s="97">
        <v>0.9</v>
      </c>
      <c r="L265" s="97">
        <v>0.9</v>
      </c>
      <c r="M265" s="97">
        <v>0.747</v>
      </c>
      <c r="N265" s="97">
        <v>0.747</v>
      </c>
      <c r="O265" s="97">
        <v>0.747</v>
      </c>
      <c r="P265" s="97">
        <v>0.747</v>
      </c>
      <c r="Q265" s="76"/>
      <c r="R265" s="76" t="s">
        <v>772</v>
      </c>
      <c r="S265" s="76" t="s">
        <v>772</v>
      </c>
      <c r="T265" s="76"/>
      <c r="U265" s="260">
        <f t="shared" si="38"/>
        <v>0.9</v>
      </c>
      <c r="V265" s="260">
        <f t="shared" si="38"/>
        <v>0.9</v>
      </c>
      <c r="W265" s="260">
        <f t="shared" si="38"/>
        <v>0.9</v>
      </c>
      <c r="X265" s="260">
        <f t="shared" si="38"/>
        <v>0.9</v>
      </c>
      <c r="Y265" s="260">
        <f t="shared" si="38"/>
        <v>0.9</v>
      </c>
      <c r="Z265" s="260">
        <f t="shared" si="38"/>
        <v>0.9</v>
      </c>
      <c r="AA265" s="260">
        <f t="shared" si="38"/>
        <v>0.9</v>
      </c>
      <c r="AB265" s="260">
        <f t="shared" si="38"/>
        <v>0.9</v>
      </c>
      <c r="AC265" s="76"/>
      <c r="AD265" s="76"/>
      <c r="AE265" s="76"/>
      <c r="AF265" s="97">
        <v>1</v>
      </c>
      <c r="AG265" s="97">
        <v>1</v>
      </c>
      <c r="AH265" s="73"/>
      <c r="AI265" s="57"/>
      <c r="AJ265" s="45"/>
      <c r="AK265" s="45"/>
      <c r="AL265" s="45"/>
    </row>
    <row r="266" spans="1:38" hidden="1" outlineLevel="3" x14ac:dyDescent="0.35">
      <c r="A266" s="45"/>
      <c r="B266" s="54"/>
      <c r="C266" s="47">
        <f t="shared" ref="C266:C271" si="40">INT($C$29)+3</f>
        <v>4</v>
      </c>
      <c r="D266" s="73"/>
      <c r="E266" s="70" t="s">
        <v>797</v>
      </c>
      <c r="F266" s="70" t="s">
        <v>798</v>
      </c>
      <c r="G266" s="73"/>
      <c r="H266" s="76" t="s">
        <v>799</v>
      </c>
      <c r="I266" s="96" t="s">
        <v>514</v>
      </c>
      <c r="J266" s="96"/>
      <c r="K266" s="76"/>
      <c r="L266" s="76"/>
      <c r="M266" s="76"/>
      <c r="N266" s="76"/>
      <c r="O266" s="76"/>
      <c r="P266" s="76"/>
      <c r="Q266" s="76"/>
      <c r="R266" s="76"/>
      <c r="S266" s="76"/>
      <c r="T266" s="76"/>
      <c r="U266" s="76"/>
      <c r="V266" s="76"/>
      <c r="W266" s="76"/>
      <c r="X266" s="76"/>
      <c r="Y266" s="76"/>
      <c r="Z266" s="76"/>
      <c r="AA266" s="76"/>
      <c r="AB266" s="76"/>
      <c r="AC266" s="76"/>
      <c r="AD266" s="76"/>
      <c r="AE266" s="76"/>
      <c r="AF266" s="76">
        <v>1</v>
      </c>
      <c r="AG266" s="76">
        <v>1</v>
      </c>
      <c r="AH266" s="73"/>
      <c r="AI266" s="57"/>
      <c r="AJ266" s="45"/>
      <c r="AK266" s="45"/>
      <c r="AL266" s="45"/>
    </row>
    <row r="267" spans="1:38" hidden="1" outlineLevel="3" x14ac:dyDescent="0.35">
      <c r="A267" s="45"/>
      <c r="B267" s="54"/>
      <c r="C267" s="47">
        <f t="shared" si="40"/>
        <v>4</v>
      </c>
      <c r="D267" s="73"/>
      <c r="E267" s="70" t="s">
        <v>800</v>
      </c>
      <c r="F267" s="70" t="s">
        <v>709</v>
      </c>
      <c r="G267" s="73"/>
      <c r="H267" s="76" t="s">
        <v>801</v>
      </c>
      <c r="I267" s="96" t="s">
        <v>514</v>
      </c>
      <c r="J267" s="96"/>
      <c r="K267" s="76"/>
      <c r="L267" s="76"/>
      <c r="M267" s="76"/>
      <c r="N267" s="76"/>
      <c r="O267" s="76"/>
      <c r="P267" s="76"/>
      <c r="Q267" s="76"/>
      <c r="R267" s="76"/>
      <c r="S267" s="76"/>
      <c r="T267" s="76"/>
      <c r="U267" s="76"/>
      <c r="V267" s="76"/>
      <c r="W267" s="76"/>
      <c r="X267" s="76"/>
      <c r="Y267" s="76"/>
      <c r="Z267" s="76"/>
      <c r="AA267" s="76"/>
      <c r="AB267" s="76"/>
      <c r="AC267" s="76"/>
      <c r="AD267" s="76"/>
      <c r="AE267" s="76"/>
      <c r="AF267" s="76">
        <v>1</v>
      </c>
      <c r="AG267" s="76">
        <v>1</v>
      </c>
      <c r="AH267" s="73"/>
      <c r="AI267" s="57"/>
      <c r="AJ267" s="45"/>
      <c r="AK267" s="45"/>
      <c r="AL267" s="45"/>
    </row>
    <row r="268" spans="1:38" hidden="1" outlineLevel="2" x14ac:dyDescent="0.35">
      <c r="A268" s="45"/>
      <c r="B268" s="54"/>
      <c r="C268" s="47">
        <f t="shared" si="40"/>
        <v>4</v>
      </c>
      <c r="D268" s="73"/>
      <c r="E268" s="70"/>
      <c r="F268" s="70" t="s">
        <v>2902</v>
      </c>
      <c r="G268" s="73"/>
      <c r="H268" s="76" t="s">
        <v>2905</v>
      </c>
      <c r="I268" s="96"/>
      <c r="J268" s="96"/>
      <c r="K268" s="97">
        <v>5.9630000000000001</v>
      </c>
      <c r="L268" s="97">
        <v>5.9630000000000001</v>
      </c>
      <c r="M268" s="97"/>
      <c r="N268" s="97"/>
      <c r="O268" s="97"/>
      <c r="P268" s="97"/>
      <c r="Q268" s="76"/>
      <c r="R268" s="76" t="s">
        <v>2908</v>
      </c>
      <c r="S268" s="76"/>
      <c r="T268" s="76"/>
      <c r="U268" s="260">
        <f t="shared" ref="U268:AB271" si="41">INDEX($K268:$Q268,1,U$43)</f>
        <v>5.9630000000000001</v>
      </c>
      <c r="V268" s="260">
        <f t="shared" si="41"/>
        <v>5.9630000000000001</v>
      </c>
      <c r="W268" s="260">
        <f t="shared" si="41"/>
        <v>5.9630000000000001</v>
      </c>
      <c r="X268" s="260">
        <f t="shared" si="41"/>
        <v>5.9630000000000001</v>
      </c>
      <c r="Y268" s="260">
        <f t="shared" si="41"/>
        <v>5.9630000000000001</v>
      </c>
      <c r="Z268" s="260">
        <f t="shared" si="41"/>
        <v>5.9630000000000001</v>
      </c>
      <c r="AA268" s="260">
        <f t="shared" si="41"/>
        <v>5.9630000000000001</v>
      </c>
      <c r="AB268" s="260">
        <f t="shared" si="41"/>
        <v>5.9630000000000001</v>
      </c>
      <c r="AC268" s="76"/>
      <c r="AD268" s="76"/>
      <c r="AE268" s="76"/>
      <c r="AF268" s="97">
        <v>1</v>
      </c>
      <c r="AG268" s="97">
        <v>1</v>
      </c>
      <c r="AH268" s="73"/>
      <c r="AI268" s="57"/>
      <c r="AJ268" s="45"/>
      <c r="AK268" s="45"/>
      <c r="AL268" s="45"/>
    </row>
    <row r="269" spans="1:38" hidden="1" outlineLevel="2" x14ac:dyDescent="0.35">
      <c r="A269" s="45"/>
      <c r="B269" s="54"/>
      <c r="C269" s="47">
        <f t="shared" si="40"/>
        <v>4</v>
      </c>
      <c r="D269" s="73"/>
      <c r="E269" s="70"/>
      <c r="F269" s="70" t="s">
        <v>2903</v>
      </c>
      <c r="G269" s="73"/>
      <c r="H269" s="76" t="s">
        <v>2906</v>
      </c>
      <c r="I269" s="96"/>
      <c r="J269" s="96"/>
      <c r="K269" s="97">
        <v>11.2</v>
      </c>
      <c r="L269" s="97">
        <v>11.2</v>
      </c>
      <c r="M269" s="97"/>
      <c r="N269" s="97"/>
      <c r="O269" s="97"/>
      <c r="P269" s="97"/>
      <c r="Q269" s="76"/>
      <c r="R269" s="76" t="s">
        <v>2908</v>
      </c>
      <c r="S269" s="76"/>
      <c r="T269" s="76"/>
      <c r="U269" s="260">
        <f t="shared" si="41"/>
        <v>11.2</v>
      </c>
      <c r="V269" s="260">
        <f t="shared" si="41"/>
        <v>11.2</v>
      </c>
      <c r="W269" s="260">
        <f t="shared" si="41"/>
        <v>11.2</v>
      </c>
      <c r="X269" s="260">
        <f t="shared" si="41"/>
        <v>11.2</v>
      </c>
      <c r="Y269" s="260">
        <f t="shared" si="41"/>
        <v>11.2</v>
      </c>
      <c r="Z269" s="260">
        <f t="shared" si="41"/>
        <v>11.2</v>
      </c>
      <c r="AA269" s="260">
        <f t="shared" si="41"/>
        <v>11.2</v>
      </c>
      <c r="AB269" s="260">
        <f t="shared" si="41"/>
        <v>11.2</v>
      </c>
      <c r="AC269" s="76"/>
      <c r="AD269" s="76"/>
      <c r="AE269" s="76"/>
      <c r="AF269" s="97">
        <v>1</v>
      </c>
      <c r="AG269" s="97">
        <v>1</v>
      </c>
      <c r="AH269" s="73"/>
      <c r="AI269" s="57"/>
      <c r="AJ269" s="45"/>
      <c r="AK269" s="45"/>
      <c r="AL269" s="45"/>
    </row>
    <row r="270" spans="1:38" hidden="1" outlineLevel="2" x14ac:dyDescent="0.35">
      <c r="A270" s="45"/>
      <c r="B270" s="54"/>
      <c r="C270" s="47">
        <f t="shared" si="40"/>
        <v>4</v>
      </c>
      <c r="D270" s="73"/>
      <c r="E270" s="70"/>
      <c r="F270" s="70" t="s">
        <v>2904</v>
      </c>
      <c r="G270" s="73"/>
      <c r="H270" s="76" t="s">
        <v>2907</v>
      </c>
      <c r="I270" s="96"/>
      <c r="J270" s="96"/>
      <c r="K270" s="97">
        <v>9.4500000000000001E-3</v>
      </c>
      <c r="L270" s="97">
        <v>9.4500000000000001E-3</v>
      </c>
      <c r="M270" s="97"/>
      <c r="N270" s="97"/>
      <c r="O270" s="97"/>
      <c r="P270" s="97"/>
      <c r="Q270" s="76"/>
      <c r="R270" s="76" t="s">
        <v>2908</v>
      </c>
      <c r="S270" s="76"/>
      <c r="T270" s="76"/>
      <c r="U270" s="260">
        <f t="shared" si="41"/>
        <v>9.4500000000000001E-3</v>
      </c>
      <c r="V270" s="260">
        <f t="shared" si="41"/>
        <v>9.4500000000000001E-3</v>
      </c>
      <c r="W270" s="260">
        <f t="shared" si="41"/>
        <v>9.4500000000000001E-3</v>
      </c>
      <c r="X270" s="260">
        <f t="shared" si="41"/>
        <v>9.4500000000000001E-3</v>
      </c>
      <c r="Y270" s="260">
        <f t="shared" si="41"/>
        <v>9.4500000000000001E-3</v>
      </c>
      <c r="Z270" s="260">
        <f t="shared" si="41"/>
        <v>9.4500000000000001E-3</v>
      </c>
      <c r="AA270" s="260">
        <f t="shared" si="41"/>
        <v>9.4500000000000001E-3</v>
      </c>
      <c r="AB270" s="260">
        <f t="shared" si="41"/>
        <v>9.4500000000000001E-3</v>
      </c>
      <c r="AC270" s="76"/>
      <c r="AD270" s="76"/>
      <c r="AE270" s="76"/>
      <c r="AF270" s="97">
        <v>1</v>
      </c>
      <c r="AG270" s="97">
        <v>1</v>
      </c>
      <c r="AH270" s="73"/>
      <c r="AI270" s="57"/>
      <c r="AJ270" s="45"/>
      <c r="AK270" s="45"/>
      <c r="AL270" s="45"/>
    </row>
    <row r="271" spans="1:38" hidden="1" outlineLevel="2" x14ac:dyDescent="0.35">
      <c r="A271" s="45"/>
      <c r="B271" s="54"/>
      <c r="C271" s="47">
        <f t="shared" si="40"/>
        <v>4</v>
      </c>
      <c r="D271" s="73"/>
      <c r="E271" s="70"/>
      <c r="F271" s="70" t="s">
        <v>2909</v>
      </c>
      <c r="G271" s="73"/>
      <c r="H271" s="76" t="s">
        <v>2910</v>
      </c>
      <c r="I271" s="96"/>
      <c r="J271" s="96"/>
      <c r="K271" s="97">
        <v>0</v>
      </c>
      <c r="L271" s="97">
        <v>0</v>
      </c>
      <c r="M271" s="97"/>
      <c r="N271" s="97"/>
      <c r="O271" s="97"/>
      <c r="P271" s="97"/>
      <c r="Q271" s="76"/>
      <c r="R271" s="76" t="s">
        <v>2908</v>
      </c>
      <c r="S271" s="76"/>
      <c r="T271" s="76"/>
      <c r="U271" s="260">
        <f t="shared" si="41"/>
        <v>0</v>
      </c>
      <c r="V271" s="260">
        <f t="shared" si="41"/>
        <v>0</v>
      </c>
      <c r="W271" s="260">
        <f t="shared" si="41"/>
        <v>0</v>
      </c>
      <c r="X271" s="260">
        <f t="shared" si="41"/>
        <v>0</v>
      </c>
      <c r="Y271" s="260">
        <f t="shared" si="41"/>
        <v>0</v>
      </c>
      <c r="Z271" s="260">
        <f t="shared" si="41"/>
        <v>0</v>
      </c>
      <c r="AA271" s="260">
        <f t="shared" si="41"/>
        <v>0</v>
      </c>
      <c r="AB271" s="260">
        <f t="shared" si="41"/>
        <v>0</v>
      </c>
      <c r="AC271" s="76"/>
      <c r="AD271" s="76"/>
      <c r="AE271" s="76"/>
      <c r="AF271" s="97">
        <v>1</v>
      </c>
      <c r="AG271" s="97">
        <v>1</v>
      </c>
      <c r="AH271" s="73"/>
      <c r="AI271" s="57"/>
      <c r="AJ271" s="45"/>
      <c r="AK271" s="45"/>
      <c r="AL271" s="45"/>
    </row>
    <row r="272" spans="1:38" outlineLevel="1" collapsed="1" x14ac:dyDescent="0.35">
      <c r="A272" s="45"/>
      <c r="B272" s="54"/>
      <c r="C272" s="47">
        <f>INT($C$29)+1</f>
        <v>2</v>
      </c>
      <c r="D272" s="73"/>
      <c r="E272" s="70"/>
      <c r="F272" s="263" t="s">
        <v>802</v>
      </c>
      <c r="G272" s="73"/>
      <c r="H272" s="253" t="s">
        <v>803</v>
      </c>
      <c r="I272" s="96"/>
      <c r="J272" s="96" t="s">
        <v>531</v>
      </c>
      <c r="K272" s="76"/>
      <c r="L272" s="76"/>
      <c r="M272" s="76"/>
      <c r="N272" s="76"/>
      <c r="O272" s="76"/>
      <c r="P272" s="76"/>
      <c r="Q272" s="76"/>
      <c r="R272" s="76"/>
      <c r="S272" s="76"/>
      <c r="T272" s="76"/>
      <c r="U272" s="79">
        <v>26</v>
      </c>
      <c r="V272" s="76"/>
      <c r="W272" s="266">
        <v>0</v>
      </c>
      <c r="X272" s="76"/>
      <c r="Y272" s="76"/>
      <c r="Z272" s="76"/>
      <c r="AA272" s="76"/>
      <c r="AB272" s="76"/>
      <c r="AC272" s="76"/>
      <c r="AD272" s="76"/>
      <c r="AE272" s="76"/>
      <c r="AF272" s="76"/>
      <c r="AG272" s="76"/>
      <c r="AH272" s="73"/>
      <c r="AI272" s="57"/>
      <c r="AJ272" s="45"/>
      <c r="AK272" s="45"/>
      <c r="AL272" s="45"/>
    </row>
    <row r="273" spans="1:38" hidden="1" outlineLevel="2" x14ac:dyDescent="0.35">
      <c r="A273" s="45"/>
      <c r="B273" s="54"/>
      <c r="C273" s="47">
        <f>INT($C$29)+3</f>
        <v>4</v>
      </c>
      <c r="D273" s="73"/>
      <c r="E273" s="70" t="s">
        <v>804</v>
      </c>
      <c r="F273" s="70" t="s">
        <v>2617</v>
      </c>
      <c r="G273" s="73"/>
      <c r="H273" s="76" t="s">
        <v>805</v>
      </c>
      <c r="I273" s="96" t="s">
        <v>678</v>
      </c>
      <c r="J273" s="96"/>
      <c r="K273" s="76"/>
      <c r="L273" s="76"/>
      <c r="M273" s="76"/>
      <c r="N273" s="76"/>
      <c r="O273" s="76"/>
      <c r="P273" s="76"/>
      <c r="Q273" s="76"/>
      <c r="R273" s="76"/>
      <c r="S273" s="76"/>
      <c r="T273" s="76"/>
      <c r="U273" s="97">
        <v>1</v>
      </c>
      <c r="V273" s="97">
        <v>1</v>
      </c>
      <c r="W273" s="97">
        <v>1</v>
      </c>
      <c r="X273" s="97">
        <v>1.25</v>
      </c>
      <c r="Y273" s="97">
        <v>1.25</v>
      </c>
      <c r="Z273" s="97">
        <v>1.25</v>
      </c>
      <c r="AA273" s="97">
        <v>1.25</v>
      </c>
      <c r="AB273" s="97">
        <v>1.25</v>
      </c>
      <c r="AC273" s="76"/>
      <c r="AD273" s="97" t="s">
        <v>2616</v>
      </c>
      <c r="AE273" s="76"/>
      <c r="AF273" s="97">
        <v>1</v>
      </c>
      <c r="AG273" s="97">
        <v>1</v>
      </c>
      <c r="AH273" s="73"/>
      <c r="AI273" s="57"/>
      <c r="AJ273" s="45"/>
      <c r="AK273" s="45"/>
      <c r="AL273" s="45"/>
    </row>
    <row r="274" spans="1:38" hidden="1" outlineLevel="2" x14ac:dyDescent="0.35">
      <c r="A274" s="45"/>
      <c r="B274" s="54"/>
      <c r="C274" s="47">
        <f t="shared" ref="C274:C298" si="42">INT($C$29)+2</f>
        <v>3</v>
      </c>
      <c r="D274" s="73"/>
      <c r="E274" s="70"/>
      <c r="F274" s="70" t="s">
        <v>806</v>
      </c>
      <c r="G274" s="73"/>
      <c r="H274" s="76" t="s">
        <v>807</v>
      </c>
      <c r="I274" s="96" t="s">
        <v>543</v>
      </c>
      <c r="J274" s="96"/>
      <c r="K274" s="97">
        <v>2</v>
      </c>
      <c r="L274" s="97">
        <v>2</v>
      </c>
      <c r="M274" s="97">
        <v>4</v>
      </c>
      <c r="N274" s="97">
        <v>4</v>
      </c>
      <c r="O274" s="97">
        <v>4</v>
      </c>
      <c r="P274" s="97">
        <v>4</v>
      </c>
      <c r="Q274" s="76"/>
      <c r="R274" s="76" t="s">
        <v>685</v>
      </c>
      <c r="S274" s="76" t="s">
        <v>808</v>
      </c>
      <c r="T274" s="76"/>
      <c r="U274" s="260">
        <f t="shared" ref="U274:AB280" si="43">INDEX($K274:$Q274,1,U$43)</f>
        <v>2</v>
      </c>
      <c r="V274" s="260">
        <f t="shared" si="43"/>
        <v>2</v>
      </c>
      <c r="W274" s="260">
        <f t="shared" si="43"/>
        <v>2</v>
      </c>
      <c r="X274" s="260">
        <f t="shared" si="43"/>
        <v>2</v>
      </c>
      <c r="Y274" s="260">
        <f t="shared" si="43"/>
        <v>2</v>
      </c>
      <c r="Z274" s="260">
        <f t="shared" si="43"/>
        <v>2</v>
      </c>
      <c r="AA274" s="260">
        <f t="shared" si="43"/>
        <v>2</v>
      </c>
      <c r="AB274" s="260">
        <f t="shared" si="43"/>
        <v>2</v>
      </c>
      <c r="AC274" s="76"/>
      <c r="AD274" s="76"/>
      <c r="AE274" s="76"/>
      <c r="AF274" s="97">
        <v>1</v>
      </c>
      <c r="AG274" s="97">
        <v>1</v>
      </c>
      <c r="AH274" s="73"/>
      <c r="AI274" s="57"/>
      <c r="AJ274" s="45"/>
      <c r="AK274" s="45"/>
      <c r="AL274" s="45"/>
    </row>
    <row r="275" spans="1:38" hidden="1" outlineLevel="2" x14ac:dyDescent="0.35">
      <c r="A275" s="45"/>
      <c r="B275" s="54"/>
      <c r="C275" s="47">
        <f t="shared" si="42"/>
        <v>3</v>
      </c>
      <c r="D275" s="73"/>
      <c r="E275" s="70"/>
      <c r="F275" s="70" t="s">
        <v>809</v>
      </c>
      <c r="G275" s="73"/>
      <c r="H275" s="76" t="s">
        <v>810</v>
      </c>
      <c r="I275" s="96" t="s">
        <v>543</v>
      </c>
      <c r="J275" s="96"/>
      <c r="K275" s="97">
        <v>22</v>
      </c>
      <c r="L275" s="97">
        <v>22</v>
      </c>
      <c r="M275" s="97">
        <v>30</v>
      </c>
      <c r="N275" s="97">
        <v>30</v>
      </c>
      <c r="O275" s="97">
        <v>30</v>
      </c>
      <c r="P275" s="97">
        <v>30</v>
      </c>
      <c r="Q275" s="76"/>
      <c r="R275" s="76" t="s">
        <v>685</v>
      </c>
      <c r="S275" s="76" t="s">
        <v>808</v>
      </c>
      <c r="T275" s="76"/>
      <c r="U275" s="260">
        <f t="shared" si="43"/>
        <v>22</v>
      </c>
      <c r="V275" s="260">
        <f t="shared" si="43"/>
        <v>22</v>
      </c>
      <c r="W275" s="260">
        <f t="shared" si="43"/>
        <v>22</v>
      </c>
      <c r="X275" s="260">
        <f t="shared" si="43"/>
        <v>22</v>
      </c>
      <c r="Y275" s="260">
        <f t="shared" si="43"/>
        <v>22</v>
      </c>
      <c r="Z275" s="260">
        <f t="shared" si="43"/>
        <v>22</v>
      </c>
      <c r="AA275" s="260">
        <f t="shared" si="43"/>
        <v>22</v>
      </c>
      <c r="AB275" s="260">
        <f t="shared" si="43"/>
        <v>22</v>
      </c>
      <c r="AC275" s="76"/>
      <c r="AD275" s="76"/>
      <c r="AE275" s="76"/>
      <c r="AF275" s="97">
        <v>1</v>
      </c>
      <c r="AG275" s="97">
        <v>1</v>
      </c>
      <c r="AH275" s="73"/>
      <c r="AI275" s="57"/>
      <c r="AJ275" s="45"/>
      <c r="AK275" s="45"/>
      <c r="AL275" s="45"/>
    </row>
    <row r="276" spans="1:38" hidden="1" outlineLevel="2" x14ac:dyDescent="0.35">
      <c r="A276" s="45"/>
      <c r="B276" s="54"/>
      <c r="C276" s="47">
        <f t="shared" si="42"/>
        <v>3</v>
      </c>
      <c r="D276" s="73"/>
      <c r="E276" s="70"/>
      <c r="F276" s="70" t="s">
        <v>811</v>
      </c>
      <c r="G276" s="73"/>
      <c r="H276" s="76" t="s">
        <v>812</v>
      </c>
      <c r="I276" s="96" t="s">
        <v>514</v>
      </c>
      <c r="J276" s="96"/>
      <c r="K276" s="97">
        <v>1</v>
      </c>
      <c r="L276" s="97">
        <v>1</v>
      </c>
      <c r="M276" s="97">
        <v>0.6</v>
      </c>
      <c r="N276" s="97">
        <v>0.6</v>
      </c>
      <c r="O276" s="97">
        <v>0.6</v>
      </c>
      <c r="P276" s="97">
        <v>0.6</v>
      </c>
      <c r="Q276" s="76"/>
      <c r="R276" s="76" t="s">
        <v>685</v>
      </c>
      <c r="S276" s="76" t="s">
        <v>808</v>
      </c>
      <c r="T276" s="76"/>
      <c r="U276" s="260">
        <f t="shared" si="43"/>
        <v>1</v>
      </c>
      <c r="V276" s="260">
        <f t="shared" si="43"/>
        <v>1</v>
      </c>
      <c r="W276" s="260">
        <f t="shared" si="43"/>
        <v>1</v>
      </c>
      <c r="X276" s="260">
        <f t="shared" si="43"/>
        <v>1</v>
      </c>
      <c r="Y276" s="260">
        <f t="shared" si="43"/>
        <v>1</v>
      </c>
      <c r="Z276" s="260">
        <f t="shared" si="43"/>
        <v>1</v>
      </c>
      <c r="AA276" s="260">
        <f t="shared" si="43"/>
        <v>1</v>
      </c>
      <c r="AB276" s="260">
        <f t="shared" si="43"/>
        <v>1</v>
      </c>
      <c r="AC276" s="76"/>
      <c r="AD276" s="76"/>
      <c r="AE276" s="76"/>
      <c r="AF276" s="97">
        <v>1</v>
      </c>
      <c r="AG276" s="97">
        <v>1</v>
      </c>
      <c r="AH276" s="73"/>
      <c r="AI276" s="57"/>
      <c r="AJ276" s="45"/>
      <c r="AK276" s="45"/>
      <c r="AL276" s="45"/>
    </row>
    <row r="277" spans="1:38" hidden="1" outlineLevel="2" x14ac:dyDescent="0.35">
      <c r="A277" s="45"/>
      <c r="B277" s="54"/>
      <c r="C277" s="47">
        <f t="shared" si="42"/>
        <v>3</v>
      </c>
      <c r="D277" s="73"/>
      <c r="E277" s="70"/>
      <c r="F277" s="70" t="s">
        <v>813</v>
      </c>
      <c r="G277" s="73"/>
      <c r="H277" s="76" t="s">
        <v>814</v>
      </c>
      <c r="I277" s="96" t="s">
        <v>514</v>
      </c>
      <c r="J277" s="96"/>
      <c r="K277" s="76"/>
      <c r="L277" s="76"/>
      <c r="M277" s="97">
        <v>0.6</v>
      </c>
      <c r="N277" s="97">
        <v>0.6</v>
      </c>
      <c r="O277" s="97">
        <v>0.6</v>
      </c>
      <c r="P277" s="97">
        <v>0.105</v>
      </c>
      <c r="Q277" s="76"/>
      <c r="R277" s="76"/>
      <c r="S277" s="76" t="s">
        <v>808</v>
      </c>
      <c r="T277" s="76"/>
      <c r="U277" s="260">
        <f t="shared" si="43"/>
        <v>0</v>
      </c>
      <c r="V277" s="260">
        <f t="shared" si="43"/>
        <v>0</v>
      </c>
      <c r="W277" s="260">
        <f t="shared" si="43"/>
        <v>0</v>
      </c>
      <c r="X277" s="260">
        <f t="shared" si="43"/>
        <v>0</v>
      </c>
      <c r="Y277" s="260">
        <f t="shared" si="43"/>
        <v>0</v>
      </c>
      <c r="Z277" s="260">
        <f t="shared" si="43"/>
        <v>0</v>
      </c>
      <c r="AA277" s="260">
        <f t="shared" si="43"/>
        <v>0</v>
      </c>
      <c r="AB277" s="260">
        <f t="shared" si="43"/>
        <v>0</v>
      </c>
      <c r="AC277" s="76"/>
      <c r="AD277" s="76"/>
      <c r="AE277" s="76"/>
      <c r="AF277" s="97">
        <v>1</v>
      </c>
      <c r="AG277" s="97">
        <v>1</v>
      </c>
      <c r="AH277" s="73"/>
      <c r="AI277" s="57"/>
      <c r="AJ277" s="45"/>
      <c r="AK277" s="45"/>
      <c r="AL277" s="45"/>
    </row>
    <row r="278" spans="1:38" hidden="1" outlineLevel="2" x14ac:dyDescent="0.35">
      <c r="A278" s="45"/>
      <c r="B278" s="54"/>
      <c r="C278" s="47">
        <f t="shared" si="42"/>
        <v>3</v>
      </c>
      <c r="D278" s="73"/>
      <c r="E278" s="70"/>
      <c r="F278" s="70" t="s">
        <v>815</v>
      </c>
      <c r="G278" s="73"/>
      <c r="H278" s="76" t="s">
        <v>816</v>
      </c>
      <c r="I278" s="96" t="s">
        <v>586</v>
      </c>
      <c r="J278" s="96"/>
      <c r="K278" s="97">
        <v>0.94</v>
      </c>
      <c r="L278" s="97">
        <v>0.94</v>
      </c>
      <c r="M278" s="97">
        <v>0.94</v>
      </c>
      <c r="N278" s="97">
        <v>0.94</v>
      </c>
      <c r="O278" s="97">
        <v>0.94</v>
      </c>
      <c r="P278" s="97">
        <v>0.94</v>
      </c>
      <c r="Q278" s="76"/>
      <c r="R278" s="76" t="s">
        <v>639</v>
      </c>
      <c r="S278" s="76" t="s">
        <v>639</v>
      </c>
      <c r="T278" s="76"/>
      <c r="U278" s="260">
        <f t="shared" si="43"/>
        <v>0.94</v>
      </c>
      <c r="V278" s="260">
        <f t="shared" si="43"/>
        <v>0.94</v>
      </c>
      <c r="W278" s="260">
        <f t="shared" si="43"/>
        <v>0.94</v>
      </c>
      <c r="X278" s="260">
        <f t="shared" si="43"/>
        <v>0.94</v>
      </c>
      <c r="Y278" s="260">
        <f t="shared" si="43"/>
        <v>0.94</v>
      </c>
      <c r="Z278" s="260">
        <f t="shared" si="43"/>
        <v>0.94</v>
      </c>
      <c r="AA278" s="260">
        <f t="shared" si="43"/>
        <v>0.94</v>
      </c>
      <c r="AB278" s="260">
        <f t="shared" si="43"/>
        <v>0.94</v>
      </c>
      <c r="AC278" s="76"/>
      <c r="AD278" s="76"/>
      <c r="AE278" s="76"/>
      <c r="AF278" s="97">
        <v>1</v>
      </c>
      <c r="AG278" s="97">
        <v>1</v>
      </c>
      <c r="AH278" s="73"/>
      <c r="AI278" s="57"/>
      <c r="AJ278" s="45"/>
      <c r="AK278" s="45"/>
      <c r="AL278" s="45"/>
    </row>
    <row r="279" spans="1:38" hidden="1" outlineLevel="2" x14ac:dyDescent="0.35">
      <c r="A279" s="45"/>
      <c r="B279" s="54"/>
      <c r="C279" s="47">
        <f t="shared" si="42"/>
        <v>3</v>
      </c>
      <c r="D279" s="73"/>
      <c r="E279" s="70"/>
      <c r="F279" s="70" t="s">
        <v>817</v>
      </c>
      <c r="G279" s="73"/>
      <c r="H279" s="76" t="s">
        <v>818</v>
      </c>
      <c r="I279" s="96" t="s">
        <v>607</v>
      </c>
      <c r="J279" s="96"/>
      <c r="K279" s="97">
        <v>4.7</v>
      </c>
      <c r="L279" s="97">
        <v>4.7</v>
      </c>
      <c r="M279" s="97">
        <v>3.1</v>
      </c>
      <c r="N279" s="97">
        <v>3.1</v>
      </c>
      <c r="O279" s="97">
        <v>3.1</v>
      </c>
      <c r="P279" s="97">
        <v>3.1</v>
      </c>
      <c r="Q279" s="76"/>
      <c r="R279" s="76" t="s">
        <v>819</v>
      </c>
      <c r="S279" s="76" t="s">
        <v>524</v>
      </c>
      <c r="T279" s="76"/>
      <c r="U279" s="260">
        <f t="shared" si="43"/>
        <v>4.7</v>
      </c>
      <c r="V279" s="260">
        <f t="shared" si="43"/>
        <v>4.7</v>
      </c>
      <c r="W279" s="260">
        <f t="shared" si="43"/>
        <v>4.7</v>
      </c>
      <c r="X279" s="260">
        <f t="shared" si="43"/>
        <v>4.7</v>
      </c>
      <c r="Y279" s="260">
        <f t="shared" si="43"/>
        <v>4.7</v>
      </c>
      <c r="Z279" s="260">
        <f t="shared" si="43"/>
        <v>4.7</v>
      </c>
      <c r="AA279" s="260">
        <f t="shared" si="43"/>
        <v>4.7</v>
      </c>
      <c r="AB279" s="260">
        <f t="shared" si="43"/>
        <v>4.7</v>
      </c>
      <c r="AC279" s="76"/>
      <c r="AD279" s="76"/>
      <c r="AE279" s="76"/>
      <c r="AF279" s="97">
        <v>1</v>
      </c>
      <c r="AG279" s="97">
        <v>1</v>
      </c>
      <c r="AH279" s="73"/>
      <c r="AI279" s="57"/>
      <c r="AJ279" s="45"/>
      <c r="AK279" s="45"/>
      <c r="AL279" s="45"/>
    </row>
    <row r="280" spans="1:38" hidden="1" outlineLevel="2" collapsed="1" x14ac:dyDescent="0.35">
      <c r="A280" s="45"/>
      <c r="B280" s="54"/>
      <c r="C280" s="47">
        <f t="shared" si="42"/>
        <v>3</v>
      </c>
      <c r="D280" s="73"/>
      <c r="E280" s="70"/>
      <c r="F280" s="70" t="s">
        <v>820</v>
      </c>
      <c r="G280" s="73"/>
      <c r="H280" s="76" t="s">
        <v>821</v>
      </c>
      <c r="I280" s="96" t="s">
        <v>514</v>
      </c>
      <c r="J280" s="96"/>
      <c r="K280" s="97">
        <v>1.17</v>
      </c>
      <c r="L280" s="97">
        <v>1.17</v>
      </c>
      <c r="M280" s="97">
        <v>1.17</v>
      </c>
      <c r="N280" s="97">
        <v>1.17</v>
      </c>
      <c r="O280" s="97">
        <v>1.17</v>
      </c>
      <c r="P280" s="97">
        <v>1.17</v>
      </c>
      <c r="Q280" s="76"/>
      <c r="R280" s="76" t="s">
        <v>685</v>
      </c>
      <c r="S280" s="76" t="s">
        <v>562</v>
      </c>
      <c r="T280" s="76"/>
      <c r="U280" s="260">
        <f t="shared" si="43"/>
        <v>1.17</v>
      </c>
      <c r="V280" s="260">
        <f t="shared" si="43"/>
        <v>1.17</v>
      </c>
      <c r="W280" s="260">
        <f t="shared" si="43"/>
        <v>1.17</v>
      </c>
      <c r="X280" s="260">
        <f t="shared" si="43"/>
        <v>1.17</v>
      </c>
      <c r="Y280" s="260">
        <f t="shared" si="43"/>
        <v>1.17</v>
      </c>
      <c r="Z280" s="260">
        <f t="shared" si="43"/>
        <v>1.17</v>
      </c>
      <c r="AA280" s="260">
        <f t="shared" si="43"/>
        <v>1.17</v>
      </c>
      <c r="AB280" s="260">
        <f t="shared" si="43"/>
        <v>1.17</v>
      </c>
      <c r="AC280" s="76"/>
      <c r="AD280" s="76"/>
      <c r="AE280" s="76"/>
      <c r="AF280" s="97">
        <v>1</v>
      </c>
      <c r="AG280" s="97">
        <v>1</v>
      </c>
      <c r="AH280" s="73"/>
      <c r="AI280" s="57"/>
      <c r="AJ280" s="45"/>
      <c r="AK280" s="45"/>
      <c r="AL280" s="45"/>
    </row>
    <row r="281" spans="1:38" hidden="1" outlineLevel="3" x14ac:dyDescent="0.35">
      <c r="A281" s="45"/>
      <c r="B281" s="54"/>
      <c r="C281" s="47">
        <f t="shared" si="42"/>
        <v>3</v>
      </c>
      <c r="D281" s="73"/>
      <c r="E281" s="70"/>
      <c r="F281" s="70" t="s">
        <v>822</v>
      </c>
      <c r="G281" s="73"/>
      <c r="H281" s="76" t="s">
        <v>568</v>
      </c>
      <c r="I281" s="96" t="s">
        <v>514</v>
      </c>
      <c r="J281" s="96"/>
      <c r="K281" s="97">
        <v>0.77</v>
      </c>
      <c r="L281" s="97">
        <v>0.77</v>
      </c>
      <c r="M281" s="76"/>
      <c r="N281" s="76"/>
      <c r="O281" s="76"/>
      <c r="P281" s="76"/>
      <c r="Q281" s="76"/>
      <c r="R281" s="76" t="s">
        <v>685</v>
      </c>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3" x14ac:dyDescent="0.35">
      <c r="A282" s="45"/>
      <c r="B282" s="54"/>
      <c r="C282" s="47">
        <f t="shared" si="42"/>
        <v>3</v>
      </c>
      <c r="D282" s="73"/>
      <c r="E282" s="70"/>
      <c r="F282" s="70" t="s">
        <v>823</v>
      </c>
      <c r="G282" s="73"/>
      <c r="H282" s="76" t="s">
        <v>568</v>
      </c>
      <c r="I282" s="96" t="s">
        <v>514</v>
      </c>
      <c r="J282" s="96"/>
      <c r="K282" s="97">
        <v>0</v>
      </c>
      <c r="L282" s="97">
        <v>0</v>
      </c>
      <c r="M282" s="76"/>
      <c r="N282" s="76"/>
      <c r="O282" s="76"/>
      <c r="P282" s="76"/>
      <c r="Q282" s="76"/>
      <c r="R282" s="76" t="s">
        <v>685</v>
      </c>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3" x14ac:dyDescent="0.35">
      <c r="A283" s="45"/>
      <c r="B283" s="54"/>
      <c r="C283" s="47">
        <f t="shared" si="42"/>
        <v>3</v>
      </c>
      <c r="D283" s="73"/>
      <c r="E283" s="70"/>
      <c r="F283" s="70" t="s">
        <v>824</v>
      </c>
      <c r="G283" s="73"/>
      <c r="H283" s="76" t="s">
        <v>568</v>
      </c>
      <c r="I283" s="96" t="s">
        <v>514</v>
      </c>
      <c r="J283" s="96"/>
      <c r="K283" s="97">
        <v>0.4</v>
      </c>
      <c r="L283" s="97">
        <v>0.4</v>
      </c>
      <c r="M283" s="97">
        <v>0.04</v>
      </c>
      <c r="N283" s="97">
        <v>0.04</v>
      </c>
      <c r="O283" s="97">
        <v>0.04</v>
      </c>
      <c r="P283" s="97">
        <v>0.04</v>
      </c>
      <c r="Q283" s="76"/>
      <c r="R283" s="76" t="s">
        <v>685</v>
      </c>
      <c r="S283" s="76" t="s">
        <v>562</v>
      </c>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3" x14ac:dyDescent="0.35">
      <c r="A284" s="45"/>
      <c r="B284" s="54"/>
      <c r="C284" s="47">
        <f t="shared" si="42"/>
        <v>3</v>
      </c>
      <c r="D284" s="73"/>
      <c r="E284" s="70"/>
      <c r="F284" s="70" t="s">
        <v>825</v>
      </c>
      <c r="G284" s="73"/>
      <c r="H284" s="76" t="s">
        <v>568</v>
      </c>
      <c r="I284" s="96" t="s">
        <v>514</v>
      </c>
      <c r="J284" s="96"/>
      <c r="K284" s="97">
        <v>30</v>
      </c>
      <c r="L284" s="97">
        <v>30</v>
      </c>
      <c r="M284" s="97">
        <v>90</v>
      </c>
      <c r="N284" s="97">
        <v>90</v>
      </c>
      <c r="O284" s="97">
        <v>90</v>
      </c>
      <c r="P284" s="97">
        <v>90</v>
      </c>
      <c r="Q284" s="76"/>
      <c r="R284" s="76" t="s">
        <v>562</v>
      </c>
      <c r="S284" s="76" t="s">
        <v>562</v>
      </c>
      <c r="T284" s="76"/>
      <c r="U284" s="76"/>
      <c r="V284" s="76"/>
      <c r="W284" s="76"/>
      <c r="X284" s="76"/>
      <c r="Y284" s="76"/>
      <c r="Z284" s="76"/>
      <c r="AA284" s="76"/>
      <c r="AB284" s="76"/>
      <c r="AC284" s="76"/>
      <c r="AD284" s="76"/>
      <c r="AE284" s="76"/>
      <c r="AF284" s="76">
        <v>1</v>
      </c>
      <c r="AG284" s="76">
        <v>1</v>
      </c>
      <c r="AH284" s="73"/>
      <c r="AI284" s="57"/>
      <c r="AJ284" s="45"/>
      <c r="AK284" s="45"/>
      <c r="AL284" s="45"/>
    </row>
    <row r="285" spans="1:38" hidden="1" outlineLevel="2" x14ac:dyDescent="0.35">
      <c r="A285" s="45"/>
      <c r="B285" s="54"/>
      <c r="C285" s="47">
        <f t="shared" si="42"/>
        <v>3</v>
      </c>
      <c r="D285" s="73"/>
      <c r="E285" s="70"/>
      <c r="F285" s="70" t="s">
        <v>826</v>
      </c>
      <c r="G285" s="73"/>
      <c r="H285" s="76" t="s">
        <v>827</v>
      </c>
      <c r="I285" s="96" t="s">
        <v>828</v>
      </c>
      <c r="J285" s="96"/>
      <c r="K285" s="97">
        <v>0.3</v>
      </c>
      <c r="L285" s="97">
        <v>0.3</v>
      </c>
      <c r="M285" s="97">
        <v>0.42</v>
      </c>
      <c r="N285" s="97">
        <v>0.42</v>
      </c>
      <c r="O285" s="97">
        <v>0.42</v>
      </c>
      <c r="P285" s="97">
        <v>0.42</v>
      </c>
      <c r="Q285" s="76"/>
      <c r="R285" s="76" t="s">
        <v>562</v>
      </c>
      <c r="S285" s="76" t="s">
        <v>562</v>
      </c>
      <c r="T285" s="76"/>
      <c r="U285" s="260">
        <f t="shared" ref="U285:AB298" si="44">INDEX($K285:$Q285,1,U$43)</f>
        <v>0.3</v>
      </c>
      <c r="V285" s="260">
        <f t="shared" si="44"/>
        <v>0.3</v>
      </c>
      <c r="W285" s="260">
        <f t="shared" si="44"/>
        <v>0.3</v>
      </c>
      <c r="X285" s="260">
        <f t="shared" si="44"/>
        <v>0.3</v>
      </c>
      <c r="Y285" s="260">
        <f t="shared" si="44"/>
        <v>0.3</v>
      </c>
      <c r="Z285" s="260">
        <f t="shared" si="44"/>
        <v>0.3</v>
      </c>
      <c r="AA285" s="260">
        <f t="shared" si="44"/>
        <v>0.3</v>
      </c>
      <c r="AB285" s="260">
        <f t="shared" si="44"/>
        <v>0.3</v>
      </c>
      <c r="AC285" s="76"/>
      <c r="AD285" s="76"/>
      <c r="AE285" s="76"/>
      <c r="AF285" s="97">
        <v>1</v>
      </c>
      <c r="AG285" s="97">
        <v>1</v>
      </c>
      <c r="AH285" s="73"/>
      <c r="AI285" s="57"/>
      <c r="AJ285" s="45"/>
      <c r="AK285" s="45"/>
      <c r="AL285" s="45"/>
    </row>
    <row r="286" spans="1:38" hidden="1" outlineLevel="2" x14ac:dyDescent="0.35">
      <c r="A286" s="45"/>
      <c r="B286" s="54"/>
      <c r="C286" s="47">
        <f t="shared" si="42"/>
        <v>3</v>
      </c>
      <c r="D286" s="73"/>
      <c r="E286" s="70"/>
      <c r="F286" s="70" t="s">
        <v>829</v>
      </c>
      <c r="G286" s="73"/>
      <c r="H286" s="76" t="s">
        <v>830</v>
      </c>
      <c r="I286" s="96" t="s">
        <v>828</v>
      </c>
      <c r="J286" s="96"/>
      <c r="K286" s="97">
        <v>0.41</v>
      </c>
      <c r="L286" s="97">
        <v>0.41</v>
      </c>
      <c r="M286" s="97">
        <v>0.57999999999999996</v>
      </c>
      <c r="N286" s="97">
        <v>0.57999999999999996</v>
      </c>
      <c r="O286" s="97">
        <v>0.57999999999999996</v>
      </c>
      <c r="P286" s="97">
        <v>0.57999999999999996</v>
      </c>
      <c r="Q286" s="76"/>
      <c r="R286" s="76" t="s">
        <v>831</v>
      </c>
      <c r="S286" s="76" t="s">
        <v>831</v>
      </c>
      <c r="T286" s="76"/>
      <c r="U286" s="260">
        <f t="shared" si="44"/>
        <v>0.41</v>
      </c>
      <c r="V286" s="260">
        <f t="shared" si="44"/>
        <v>0.41</v>
      </c>
      <c r="W286" s="260">
        <f t="shared" si="44"/>
        <v>0.41</v>
      </c>
      <c r="X286" s="260">
        <f t="shared" si="44"/>
        <v>0.41</v>
      </c>
      <c r="Y286" s="260">
        <f t="shared" si="44"/>
        <v>0.41</v>
      </c>
      <c r="Z286" s="260">
        <f t="shared" si="44"/>
        <v>0.41</v>
      </c>
      <c r="AA286" s="260">
        <f t="shared" si="44"/>
        <v>0.41</v>
      </c>
      <c r="AB286" s="260">
        <f t="shared" si="44"/>
        <v>0.41</v>
      </c>
      <c r="AC286" s="76"/>
      <c r="AD286" s="76"/>
      <c r="AE286" s="76"/>
      <c r="AF286" s="97">
        <v>1</v>
      </c>
      <c r="AG286" s="97">
        <v>1</v>
      </c>
      <c r="AH286" s="73"/>
      <c r="AI286" s="57"/>
      <c r="AJ286" s="45"/>
      <c r="AK286" s="45"/>
      <c r="AL286" s="45"/>
    </row>
    <row r="287" spans="1:38" hidden="1" outlineLevel="2" x14ac:dyDescent="0.35">
      <c r="A287" s="45"/>
      <c r="B287" s="54"/>
      <c r="C287" s="47">
        <f t="shared" si="42"/>
        <v>3</v>
      </c>
      <c r="D287" s="73"/>
      <c r="E287" s="70"/>
      <c r="F287" s="70" t="s">
        <v>832</v>
      </c>
      <c r="G287" s="73"/>
      <c r="H287" s="76" t="s">
        <v>833</v>
      </c>
      <c r="I287" s="96" t="s">
        <v>543</v>
      </c>
      <c r="J287" s="96"/>
      <c r="K287" s="97">
        <v>7.0999999999999994E-2</v>
      </c>
      <c r="L287" s="97">
        <v>7.0999999999999994E-2</v>
      </c>
      <c r="M287" s="97">
        <v>3.5999999999999997E-2</v>
      </c>
      <c r="N287" s="97">
        <v>3.5999999999999997E-2</v>
      </c>
      <c r="O287" s="97">
        <v>3.5999999999999997E-2</v>
      </c>
      <c r="P287" s="97">
        <v>3.5999999999999997E-2</v>
      </c>
      <c r="Q287" s="76"/>
      <c r="R287" s="76" t="s">
        <v>831</v>
      </c>
      <c r="S287" s="76" t="s">
        <v>831</v>
      </c>
      <c r="T287" s="76"/>
      <c r="U287" s="260">
        <f t="shared" si="44"/>
        <v>7.0999999999999994E-2</v>
      </c>
      <c r="V287" s="260">
        <f t="shared" si="44"/>
        <v>7.0999999999999994E-2</v>
      </c>
      <c r="W287" s="260">
        <f t="shared" si="44"/>
        <v>7.0999999999999994E-2</v>
      </c>
      <c r="X287" s="260">
        <f t="shared" si="44"/>
        <v>7.0999999999999994E-2</v>
      </c>
      <c r="Y287" s="260">
        <f t="shared" si="44"/>
        <v>7.0999999999999994E-2</v>
      </c>
      <c r="Z287" s="260">
        <f t="shared" si="44"/>
        <v>7.0999999999999994E-2</v>
      </c>
      <c r="AA287" s="260">
        <f t="shared" si="44"/>
        <v>7.0999999999999994E-2</v>
      </c>
      <c r="AB287" s="260">
        <f t="shared" si="44"/>
        <v>7.0999999999999994E-2</v>
      </c>
      <c r="AC287" s="76"/>
      <c r="AD287" s="76"/>
      <c r="AE287" s="76"/>
      <c r="AF287" s="97">
        <v>1</v>
      </c>
      <c r="AG287" s="97">
        <v>1</v>
      </c>
      <c r="AH287" s="73"/>
      <c r="AI287" s="57"/>
      <c r="AJ287" s="45"/>
      <c r="AK287" s="45"/>
      <c r="AL287" s="45"/>
    </row>
    <row r="288" spans="1:38" hidden="1" outlineLevel="2" x14ac:dyDescent="0.35">
      <c r="A288" s="45"/>
      <c r="B288" s="54"/>
      <c r="C288" s="47">
        <f t="shared" si="42"/>
        <v>3</v>
      </c>
      <c r="D288" s="73"/>
      <c r="E288" s="70"/>
      <c r="F288" s="70" t="s">
        <v>834</v>
      </c>
      <c r="G288" s="73"/>
      <c r="H288" s="76" t="s">
        <v>835</v>
      </c>
      <c r="I288" s="96" t="s">
        <v>586</v>
      </c>
      <c r="J288" s="96"/>
      <c r="K288" s="97">
        <v>4.4999999999999998E-2</v>
      </c>
      <c r="L288" s="97">
        <v>4.4999999999999998E-2</v>
      </c>
      <c r="M288" s="97">
        <v>3.2000000000000001E-2</v>
      </c>
      <c r="N288" s="97">
        <v>3.2000000000000001E-2</v>
      </c>
      <c r="O288" s="97">
        <v>3.2000000000000001E-2</v>
      </c>
      <c r="P288" s="97">
        <v>3.2000000000000001E-2</v>
      </c>
      <c r="Q288" s="76"/>
      <c r="R288" s="76" t="s">
        <v>819</v>
      </c>
      <c r="S288" s="76" t="s">
        <v>831</v>
      </c>
      <c r="T288" s="76"/>
      <c r="U288" s="260">
        <f t="shared" si="44"/>
        <v>4.4999999999999998E-2</v>
      </c>
      <c r="V288" s="260">
        <f t="shared" si="44"/>
        <v>4.4999999999999998E-2</v>
      </c>
      <c r="W288" s="260">
        <f t="shared" si="44"/>
        <v>4.4999999999999998E-2</v>
      </c>
      <c r="X288" s="260">
        <f t="shared" si="44"/>
        <v>4.4999999999999998E-2</v>
      </c>
      <c r="Y288" s="260">
        <f t="shared" si="44"/>
        <v>4.4999999999999998E-2</v>
      </c>
      <c r="Z288" s="260">
        <f t="shared" si="44"/>
        <v>4.4999999999999998E-2</v>
      </c>
      <c r="AA288" s="260">
        <f t="shared" si="44"/>
        <v>4.4999999999999998E-2</v>
      </c>
      <c r="AB288" s="260">
        <f t="shared" si="44"/>
        <v>4.4999999999999998E-2</v>
      </c>
      <c r="AC288" s="76"/>
      <c r="AD288" s="76"/>
      <c r="AE288" s="76"/>
      <c r="AF288" s="97">
        <v>1</v>
      </c>
      <c r="AG288" s="97">
        <v>1</v>
      </c>
      <c r="AH288" s="73"/>
      <c r="AI288" s="57"/>
      <c r="AJ288" s="45"/>
      <c r="AK288" s="45"/>
      <c r="AL288" s="45"/>
    </row>
    <row r="289" spans="1:38" hidden="1" outlineLevel="2" x14ac:dyDescent="0.35">
      <c r="A289" s="45"/>
      <c r="B289" s="54"/>
      <c r="C289" s="47">
        <f t="shared" si="42"/>
        <v>3</v>
      </c>
      <c r="D289" s="73"/>
      <c r="E289" s="70"/>
      <c r="F289" s="70" t="s">
        <v>836</v>
      </c>
      <c r="G289" s="73"/>
      <c r="H289" s="76" t="s">
        <v>837</v>
      </c>
      <c r="I289" s="96" t="s">
        <v>514</v>
      </c>
      <c r="J289" s="96"/>
      <c r="K289" s="97">
        <v>0.7</v>
      </c>
      <c r="L289" s="97">
        <v>0.7</v>
      </c>
      <c r="M289" s="97">
        <v>0.7</v>
      </c>
      <c r="N289" s="97">
        <v>0.7</v>
      </c>
      <c r="O289" s="97">
        <v>0.7</v>
      </c>
      <c r="P289" s="97">
        <v>0.7</v>
      </c>
      <c r="Q289" s="76"/>
      <c r="R289" s="76" t="s">
        <v>685</v>
      </c>
      <c r="S289" s="76" t="s">
        <v>562</v>
      </c>
      <c r="T289" s="76"/>
      <c r="U289" s="260">
        <f t="shared" si="44"/>
        <v>0.7</v>
      </c>
      <c r="V289" s="260">
        <f t="shared" si="44"/>
        <v>0.7</v>
      </c>
      <c r="W289" s="260">
        <f t="shared" si="44"/>
        <v>0.7</v>
      </c>
      <c r="X289" s="260">
        <f t="shared" si="44"/>
        <v>0.7</v>
      </c>
      <c r="Y289" s="260">
        <f t="shared" si="44"/>
        <v>0.7</v>
      </c>
      <c r="Z289" s="260">
        <f t="shared" si="44"/>
        <v>0.7</v>
      </c>
      <c r="AA289" s="260">
        <f t="shared" si="44"/>
        <v>0.7</v>
      </c>
      <c r="AB289" s="260">
        <f t="shared" si="44"/>
        <v>0.7</v>
      </c>
      <c r="AC289" s="76"/>
      <c r="AD289" s="76"/>
      <c r="AE289" s="76"/>
      <c r="AF289" s="97">
        <v>1</v>
      </c>
      <c r="AG289" s="97">
        <v>1</v>
      </c>
      <c r="AH289" s="73"/>
      <c r="AI289" s="57"/>
      <c r="AJ289" s="45"/>
      <c r="AK289" s="45"/>
      <c r="AL289" s="45"/>
    </row>
    <row r="290" spans="1:38" hidden="1" outlineLevel="2" x14ac:dyDescent="0.35">
      <c r="A290" s="45"/>
      <c r="B290" s="54"/>
      <c r="C290" s="47">
        <f t="shared" si="42"/>
        <v>3</v>
      </c>
      <c r="D290" s="73"/>
      <c r="E290" s="70"/>
      <c r="F290" s="70" t="s">
        <v>838</v>
      </c>
      <c r="G290" s="73"/>
      <c r="H290" s="76" t="s">
        <v>839</v>
      </c>
      <c r="I290" s="96" t="s">
        <v>514</v>
      </c>
      <c r="J290" s="96"/>
      <c r="K290" s="97">
        <v>0.01</v>
      </c>
      <c r="L290" s="97">
        <v>0.01</v>
      </c>
      <c r="M290" s="97">
        <v>0.01</v>
      </c>
      <c r="N290" s="97">
        <v>0.01</v>
      </c>
      <c r="O290" s="97">
        <v>0.01</v>
      </c>
      <c r="P290" s="97">
        <v>0.01</v>
      </c>
      <c r="Q290" s="76"/>
      <c r="R290" s="76" t="s">
        <v>685</v>
      </c>
      <c r="S290" s="76" t="s">
        <v>562</v>
      </c>
      <c r="T290" s="76"/>
      <c r="U290" s="260">
        <f t="shared" si="44"/>
        <v>0.01</v>
      </c>
      <c r="V290" s="260">
        <f t="shared" si="44"/>
        <v>0.01</v>
      </c>
      <c r="W290" s="260">
        <f t="shared" si="44"/>
        <v>0.01</v>
      </c>
      <c r="X290" s="260">
        <f t="shared" si="44"/>
        <v>0.01</v>
      </c>
      <c r="Y290" s="260">
        <f t="shared" si="44"/>
        <v>0.01</v>
      </c>
      <c r="Z290" s="260">
        <f t="shared" si="44"/>
        <v>0.01</v>
      </c>
      <c r="AA290" s="260">
        <f t="shared" si="44"/>
        <v>0.01</v>
      </c>
      <c r="AB290" s="260">
        <f t="shared" si="44"/>
        <v>0.01</v>
      </c>
      <c r="AC290" s="76"/>
      <c r="AD290" s="76"/>
      <c r="AE290" s="76"/>
      <c r="AF290" s="97">
        <v>1</v>
      </c>
      <c r="AG290" s="97">
        <v>1</v>
      </c>
      <c r="AH290" s="73"/>
      <c r="AI290" s="57"/>
      <c r="AJ290" s="45"/>
      <c r="AK290" s="45"/>
      <c r="AL290" s="45"/>
    </row>
    <row r="291" spans="1:38" hidden="1" outlineLevel="2" x14ac:dyDescent="0.35">
      <c r="A291" s="45"/>
      <c r="B291" s="54"/>
      <c r="C291" s="47">
        <f t="shared" si="42"/>
        <v>3</v>
      </c>
      <c r="D291" s="73"/>
      <c r="E291" s="70"/>
      <c r="F291" s="70" t="s">
        <v>840</v>
      </c>
      <c r="G291" s="73"/>
      <c r="H291" s="76" t="s">
        <v>839</v>
      </c>
      <c r="I291" s="96" t="s">
        <v>514</v>
      </c>
      <c r="J291" s="96"/>
      <c r="K291" s="97">
        <v>0.1</v>
      </c>
      <c r="L291" s="97">
        <v>0.1</v>
      </c>
      <c r="M291" s="97">
        <v>0.1</v>
      </c>
      <c r="N291" s="97">
        <v>0.1</v>
      </c>
      <c r="O291" s="97">
        <v>0.1</v>
      </c>
      <c r="P291" s="97">
        <v>0.1</v>
      </c>
      <c r="Q291" s="76"/>
      <c r="R291" s="76" t="s">
        <v>685</v>
      </c>
      <c r="S291" s="76" t="s">
        <v>562</v>
      </c>
      <c r="T291" s="76"/>
      <c r="U291" s="260">
        <f t="shared" si="44"/>
        <v>0.1</v>
      </c>
      <c r="V291" s="260">
        <f t="shared" si="44"/>
        <v>0.1</v>
      </c>
      <c r="W291" s="260">
        <f t="shared" si="44"/>
        <v>0.1</v>
      </c>
      <c r="X291" s="260">
        <f t="shared" si="44"/>
        <v>0.1</v>
      </c>
      <c r="Y291" s="260">
        <f t="shared" si="44"/>
        <v>0.1</v>
      </c>
      <c r="Z291" s="260">
        <f t="shared" si="44"/>
        <v>0.1</v>
      </c>
      <c r="AA291" s="260">
        <f t="shared" si="44"/>
        <v>0.1</v>
      </c>
      <c r="AB291" s="260">
        <f t="shared" si="44"/>
        <v>0.1</v>
      </c>
      <c r="AC291" s="76"/>
      <c r="AD291" s="76"/>
      <c r="AE291" s="76"/>
      <c r="AF291" s="97">
        <v>1</v>
      </c>
      <c r="AG291" s="97">
        <v>1</v>
      </c>
      <c r="AH291" s="73"/>
      <c r="AI291" s="57"/>
      <c r="AJ291" s="45"/>
      <c r="AK291" s="45"/>
      <c r="AL291" s="45"/>
    </row>
    <row r="292" spans="1:38" hidden="1" outlineLevel="2" x14ac:dyDescent="0.35">
      <c r="A292" s="45"/>
      <c r="B292" s="54"/>
      <c r="C292" s="47">
        <f t="shared" si="42"/>
        <v>3</v>
      </c>
      <c r="D292" s="73"/>
      <c r="E292" s="70"/>
      <c r="F292" s="70" t="s">
        <v>841</v>
      </c>
      <c r="G292" s="73"/>
      <c r="H292" s="76" t="s">
        <v>842</v>
      </c>
      <c r="I292" s="96" t="s">
        <v>514</v>
      </c>
      <c r="J292" s="96"/>
      <c r="K292" s="97">
        <v>1.6</v>
      </c>
      <c r="L292" s="97">
        <v>1.6</v>
      </c>
      <c r="M292" s="97">
        <v>1.6</v>
      </c>
      <c r="N292" s="97">
        <v>1.6</v>
      </c>
      <c r="O292" s="97">
        <v>1.6</v>
      </c>
      <c r="P292" s="97">
        <v>1.6</v>
      </c>
      <c r="Q292" s="76"/>
      <c r="R292" s="76" t="s">
        <v>685</v>
      </c>
      <c r="S292" s="76" t="s">
        <v>562</v>
      </c>
      <c r="T292" s="76"/>
      <c r="U292" s="260">
        <f t="shared" si="44"/>
        <v>1.6</v>
      </c>
      <c r="V292" s="260">
        <f t="shared" si="44"/>
        <v>1.6</v>
      </c>
      <c r="W292" s="260">
        <f t="shared" si="44"/>
        <v>1.6</v>
      </c>
      <c r="X292" s="260">
        <f t="shared" si="44"/>
        <v>1.6</v>
      </c>
      <c r="Y292" s="260">
        <f t="shared" si="44"/>
        <v>1.6</v>
      </c>
      <c r="Z292" s="260">
        <f t="shared" si="44"/>
        <v>1.6</v>
      </c>
      <c r="AA292" s="260">
        <f t="shared" si="44"/>
        <v>1.6</v>
      </c>
      <c r="AB292" s="260">
        <f t="shared" si="44"/>
        <v>1.6</v>
      </c>
      <c r="AC292" s="76"/>
      <c r="AD292" s="76"/>
      <c r="AE292" s="76"/>
      <c r="AF292" s="97">
        <v>1</v>
      </c>
      <c r="AG292" s="97">
        <v>1</v>
      </c>
      <c r="AH292" s="73"/>
      <c r="AI292" s="57"/>
      <c r="AJ292" s="45"/>
      <c r="AK292" s="45"/>
      <c r="AL292" s="45"/>
    </row>
    <row r="293" spans="1:38" hidden="1" outlineLevel="2" x14ac:dyDescent="0.35">
      <c r="A293" s="45"/>
      <c r="B293" s="54"/>
      <c r="C293" s="47">
        <f t="shared" si="42"/>
        <v>3</v>
      </c>
      <c r="D293" s="73"/>
      <c r="E293" s="70"/>
      <c r="F293" s="70" t="s">
        <v>843</v>
      </c>
      <c r="G293" s="73"/>
      <c r="H293" s="76" t="s">
        <v>844</v>
      </c>
      <c r="I293" s="96" t="s">
        <v>514</v>
      </c>
      <c r="J293" s="96"/>
      <c r="K293" s="97">
        <v>4</v>
      </c>
      <c r="L293" s="97">
        <v>4</v>
      </c>
      <c r="M293" s="97">
        <v>4</v>
      </c>
      <c r="N293" s="97">
        <v>4</v>
      </c>
      <c r="O293" s="97">
        <v>4</v>
      </c>
      <c r="P293" s="97">
        <v>4</v>
      </c>
      <c r="Q293" s="76"/>
      <c r="R293" s="76" t="s">
        <v>685</v>
      </c>
      <c r="S293" s="76" t="s">
        <v>562</v>
      </c>
      <c r="T293" s="76"/>
      <c r="U293" s="260">
        <f t="shared" si="44"/>
        <v>4</v>
      </c>
      <c r="V293" s="260">
        <f t="shared" si="44"/>
        <v>4</v>
      </c>
      <c r="W293" s="260">
        <f t="shared" si="44"/>
        <v>4</v>
      </c>
      <c r="X293" s="260">
        <f t="shared" si="44"/>
        <v>4</v>
      </c>
      <c r="Y293" s="260">
        <f t="shared" si="44"/>
        <v>4</v>
      </c>
      <c r="Z293" s="260">
        <f t="shared" si="44"/>
        <v>4</v>
      </c>
      <c r="AA293" s="260">
        <f t="shared" si="44"/>
        <v>4</v>
      </c>
      <c r="AB293" s="260">
        <f t="shared" si="44"/>
        <v>4</v>
      </c>
      <c r="AC293" s="76"/>
      <c r="AD293" s="76"/>
      <c r="AE293" s="76"/>
      <c r="AF293" s="97">
        <v>1</v>
      </c>
      <c r="AG293" s="97">
        <v>1</v>
      </c>
      <c r="AH293" s="73"/>
      <c r="AI293" s="57"/>
      <c r="AJ293" s="45"/>
      <c r="AK293" s="45"/>
      <c r="AL293" s="45"/>
    </row>
    <row r="294" spans="1:38" hidden="1" outlineLevel="2" x14ac:dyDescent="0.35">
      <c r="A294" s="45"/>
      <c r="B294" s="54"/>
      <c r="C294" s="47">
        <f t="shared" si="42"/>
        <v>3</v>
      </c>
      <c r="D294" s="73"/>
      <c r="E294" s="70"/>
      <c r="F294" s="70" t="s">
        <v>845</v>
      </c>
      <c r="G294" s="73"/>
      <c r="H294" s="76" t="s">
        <v>846</v>
      </c>
      <c r="I294" s="96" t="s">
        <v>514</v>
      </c>
      <c r="J294" s="96"/>
      <c r="K294" s="97">
        <v>8.0000000000000002E-3</v>
      </c>
      <c r="L294" s="97">
        <v>8.0000000000000002E-3</v>
      </c>
      <c r="M294" s="97">
        <v>4.0000000000000001E-3</v>
      </c>
      <c r="N294" s="97">
        <v>4.0000000000000001E-3</v>
      </c>
      <c r="O294" s="97">
        <v>4.0000000000000001E-3</v>
      </c>
      <c r="P294" s="97">
        <v>2.7000000000000001E-3</v>
      </c>
      <c r="Q294" s="76"/>
      <c r="R294" s="76" t="s">
        <v>685</v>
      </c>
      <c r="S294" s="76" t="s">
        <v>562</v>
      </c>
      <c r="T294" s="76"/>
      <c r="U294" s="260">
        <f t="shared" si="44"/>
        <v>8.0000000000000002E-3</v>
      </c>
      <c r="V294" s="260">
        <f t="shared" si="44"/>
        <v>8.0000000000000002E-3</v>
      </c>
      <c r="W294" s="260">
        <f t="shared" si="44"/>
        <v>8.0000000000000002E-3</v>
      </c>
      <c r="X294" s="260">
        <f t="shared" si="44"/>
        <v>8.0000000000000002E-3</v>
      </c>
      <c r="Y294" s="260">
        <f t="shared" si="44"/>
        <v>8.0000000000000002E-3</v>
      </c>
      <c r="Z294" s="260">
        <f t="shared" si="44"/>
        <v>8.0000000000000002E-3</v>
      </c>
      <c r="AA294" s="260">
        <f t="shared" si="44"/>
        <v>8.0000000000000002E-3</v>
      </c>
      <c r="AB294" s="260">
        <f t="shared" si="44"/>
        <v>8.0000000000000002E-3</v>
      </c>
      <c r="AC294" s="76"/>
      <c r="AD294" s="76"/>
      <c r="AE294" s="76"/>
      <c r="AF294" s="97">
        <v>1</v>
      </c>
      <c r="AG294" s="97">
        <v>1</v>
      </c>
      <c r="AH294" s="73"/>
      <c r="AI294" s="57"/>
      <c r="AJ294" s="45"/>
      <c r="AK294" s="45"/>
      <c r="AL294" s="45"/>
    </row>
    <row r="295" spans="1:38" hidden="1" outlineLevel="2" x14ac:dyDescent="0.35">
      <c r="A295" s="45"/>
      <c r="B295" s="54"/>
      <c r="C295" s="47">
        <f t="shared" si="42"/>
        <v>3</v>
      </c>
      <c r="D295" s="73"/>
      <c r="E295" s="70"/>
      <c r="F295" s="70" t="s">
        <v>847</v>
      </c>
      <c r="G295" s="73"/>
      <c r="H295" s="76" t="s">
        <v>846</v>
      </c>
      <c r="I295" s="96" t="s">
        <v>514</v>
      </c>
      <c r="J295" s="96"/>
      <c r="K295" s="97">
        <v>1.2E-2</v>
      </c>
      <c r="L295" s="97">
        <v>1.2E-2</v>
      </c>
      <c r="M295" s="97">
        <v>6.0000000000000001E-3</v>
      </c>
      <c r="N295" s="97">
        <v>6.0000000000000001E-3</v>
      </c>
      <c r="O295" s="97">
        <v>6.0000000000000001E-3</v>
      </c>
      <c r="P295" s="97">
        <v>4.0000000000000001E-3</v>
      </c>
      <c r="Q295" s="76"/>
      <c r="R295" s="76" t="s">
        <v>685</v>
      </c>
      <c r="S295" s="76" t="s">
        <v>562</v>
      </c>
      <c r="T295" s="76"/>
      <c r="U295" s="260">
        <f t="shared" si="44"/>
        <v>1.2E-2</v>
      </c>
      <c r="V295" s="260">
        <f t="shared" si="44"/>
        <v>1.2E-2</v>
      </c>
      <c r="W295" s="260">
        <f t="shared" si="44"/>
        <v>1.2E-2</v>
      </c>
      <c r="X295" s="260">
        <f t="shared" si="44"/>
        <v>1.2E-2</v>
      </c>
      <c r="Y295" s="260">
        <f t="shared" si="44"/>
        <v>1.2E-2</v>
      </c>
      <c r="Z295" s="260">
        <f t="shared" si="44"/>
        <v>1.2E-2</v>
      </c>
      <c r="AA295" s="260">
        <f t="shared" si="44"/>
        <v>1.2E-2</v>
      </c>
      <c r="AB295" s="260">
        <f t="shared" si="44"/>
        <v>1.2E-2</v>
      </c>
      <c r="AC295" s="76"/>
      <c r="AD295" s="76"/>
      <c r="AE295" s="76"/>
      <c r="AF295" s="97">
        <v>1</v>
      </c>
      <c r="AG295" s="97">
        <v>1</v>
      </c>
      <c r="AH295" s="73"/>
      <c r="AI295" s="57"/>
      <c r="AJ295" s="45"/>
      <c r="AK295" s="45"/>
      <c r="AL295" s="45"/>
    </row>
    <row r="296" spans="1:38" hidden="1" outlineLevel="2" x14ac:dyDescent="0.35">
      <c r="A296" s="45"/>
      <c r="B296" s="54"/>
      <c r="C296" s="47">
        <f t="shared" si="42"/>
        <v>3</v>
      </c>
      <c r="D296" s="73"/>
      <c r="E296" s="70"/>
      <c r="F296" s="70" t="s">
        <v>848</v>
      </c>
      <c r="G296" s="73"/>
      <c r="H296" s="76" t="s">
        <v>849</v>
      </c>
      <c r="I296" s="96" t="s">
        <v>514</v>
      </c>
      <c r="J296" s="96"/>
      <c r="K296" s="97">
        <v>3</v>
      </c>
      <c r="L296" s="97">
        <v>3</v>
      </c>
      <c r="M296" s="97">
        <v>3</v>
      </c>
      <c r="N296" s="97">
        <v>3</v>
      </c>
      <c r="O296" s="97">
        <v>3</v>
      </c>
      <c r="P296" s="97">
        <v>3</v>
      </c>
      <c r="Q296" s="76"/>
      <c r="R296" s="76" t="s">
        <v>685</v>
      </c>
      <c r="S296" s="76" t="s">
        <v>562</v>
      </c>
      <c r="T296" s="76"/>
      <c r="U296" s="260">
        <f t="shared" si="44"/>
        <v>3</v>
      </c>
      <c r="V296" s="260">
        <f t="shared" si="44"/>
        <v>3</v>
      </c>
      <c r="W296" s="260">
        <f t="shared" si="44"/>
        <v>3</v>
      </c>
      <c r="X296" s="260">
        <f t="shared" si="44"/>
        <v>3</v>
      </c>
      <c r="Y296" s="260">
        <f t="shared" si="44"/>
        <v>3</v>
      </c>
      <c r="Z296" s="260">
        <f t="shared" si="44"/>
        <v>3</v>
      </c>
      <c r="AA296" s="260">
        <f t="shared" si="44"/>
        <v>3</v>
      </c>
      <c r="AB296" s="260">
        <f t="shared" si="44"/>
        <v>3</v>
      </c>
      <c r="AC296" s="76"/>
      <c r="AD296" s="76"/>
      <c r="AE296" s="76"/>
      <c r="AF296" s="97">
        <v>1</v>
      </c>
      <c r="AG296" s="97">
        <v>1</v>
      </c>
      <c r="AH296" s="73"/>
      <c r="AI296" s="57"/>
      <c r="AJ296" s="45"/>
      <c r="AK296" s="45"/>
      <c r="AL296" s="45"/>
    </row>
    <row r="297" spans="1:38" hidden="1" outlineLevel="2" x14ac:dyDescent="0.35">
      <c r="A297" s="45"/>
      <c r="B297" s="54"/>
      <c r="C297" s="47">
        <f t="shared" si="42"/>
        <v>3</v>
      </c>
      <c r="D297" s="73"/>
      <c r="E297" s="70"/>
      <c r="F297" s="70" t="s">
        <v>850</v>
      </c>
      <c r="G297" s="73"/>
      <c r="H297" s="76" t="s">
        <v>849</v>
      </c>
      <c r="I297" s="96" t="s">
        <v>514</v>
      </c>
      <c r="J297" s="96"/>
      <c r="K297" s="97">
        <v>0.6</v>
      </c>
      <c r="L297" s="97">
        <v>0.6</v>
      </c>
      <c r="M297" s="97">
        <v>0.6</v>
      </c>
      <c r="N297" s="97">
        <v>0.6</v>
      </c>
      <c r="O297" s="97">
        <v>0.6</v>
      </c>
      <c r="P297" s="97">
        <v>0.6</v>
      </c>
      <c r="Q297" s="76"/>
      <c r="R297" s="76" t="s">
        <v>851</v>
      </c>
      <c r="S297" s="76" t="s">
        <v>562</v>
      </c>
      <c r="T297" s="76"/>
      <c r="U297" s="260">
        <f t="shared" si="44"/>
        <v>0.6</v>
      </c>
      <c r="V297" s="260">
        <f t="shared" si="44"/>
        <v>0.6</v>
      </c>
      <c r="W297" s="260">
        <f t="shared" si="44"/>
        <v>0.6</v>
      </c>
      <c r="X297" s="260">
        <f t="shared" si="44"/>
        <v>0.6</v>
      </c>
      <c r="Y297" s="260">
        <f t="shared" si="44"/>
        <v>0.6</v>
      </c>
      <c r="Z297" s="260">
        <f t="shared" si="44"/>
        <v>0.6</v>
      </c>
      <c r="AA297" s="260">
        <f t="shared" si="44"/>
        <v>0.6</v>
      </c>
      <c r="AB297" s="260">
        <f t="shared" si="44"/>
        <v>0.6</v>
      </c>
      <c r="AC297" s="76"/>
      <c r="AD297" s="76"/>
      <c r="AE297" s="76"/>
      <c r="AF297" s="97">
        <v>1</v>
      </c>
      <c r="AG297" s="97">
        <v>1</v>
      </c>
      <c r="AH297" s="73"/>
      <c r="AI297" s="57"/>
      <c r="AJ297" s="45"/>
      <c r="AK297" s="45"/>
      <c r="AL297" s="45"/>
    </row>
    <row r="298" spans="1:38" hidden="1" outlineLevel="2" x14ac:dyDescent="0.35">
      <c r="A298" s="45"/>
      <c r="B298" s="54"/>
      <c r="C298" s="47">
        <f t="shared" si="42"/>
        <v>3</v>
      </c>
      <c r="D298" s="73"/>
      <c r="E298" s="70"/>
      <c r="F298" s="70" t="s">
        <v>852</v>
      </c>
      <c r="G298" s="73"/>
      <c r="H298" s="76" t="s">
        <v>853</v>
      </c>
      <c r="I298" s="96" t="s">
        <v>514</v>
      </c>
      <c r="J298" s="96"/>
      <c r="K298" s="97">
        <v>0.17</v>
      </c>
      <c r="L298" s="97">
        <v>0.17</v>
      </c>
      <c r="M298" s="97">
        <v>0.13</v>
      </c>
      <c r="N298" s="97">
        <v>0.13</v>
      </c>
      <c r="O298" s="97">
        <v>0.13</v>
      </c>
      <c r="P298" s="97">
        <v>0.13</v>
      </c>
      <c r="Q298" s="76"/>
      <c r="R298" s="76" t="s">
        <v>854</v>
      </c>
      <c r="S298" s="76"/>
      <c r="T298" s="76"/>
      <c r="U298" s="260">
        <f t="shared" si="44"/>
        <v>0.17</v>
      </c>
      <c r="V298" s="260">
        <f t="shared" si="44"/>
        <v>0.17</v>
      </c>
      <c r="W298" s="260">
        <f t="shared" si="44"/>
        <v>0.17</v>
      </c>
      <c r="X298" s="260">
        <f t="shared" si="44"/>
        <v>0.17</v>
      </c>
      <c r="Y298" s="260">
        <f t="shared" si="44"/>
        <v>0.17</v>
      </c>
      <c r="Z298" s="260">
        <f t="shared" si="44"/>
        <v>0.17</v>
      </c>
      <c r="AA298" s="260">
        <f t="shared" si="44"/>
        <v>0.17</v>
      </c>
      <c r="AB298" s="260">
        <f t="shared" si="44"/>
        <v>0.17</v>
      </c>
      <c r="AC298" s="76"/>
      <c r="AD298" s="76"/>
      <c r="AE298" s="76"/>
      <c r="AF298" s="97">
        <v>1</v>
      </c>
      <c r="AG298" s="97">
        <v>1</v>
      </c>
      <c r="AH298" s="73"/>
      <c r="AI298" s="57"/>
      <c r="AJ298" s="45"/>
      <c r="AK298" s="45"/>
      <c r="AL298" s="45"/>
    </row>
    <row r="299" spans="1:38" outlineLevel="1" collapsed="1" x14ac:dyDescent="0.35">
      <c r="A299" s="45"/>
      <c r="B299" s="54"/>
      <c r="C299" s="47">
        <f>INT($C$29)+1</f>
        <v>2</v>
      </c>
      <c r="D299" s="73"/>
      <c r="E299" s="70"/>
      <c r="F299" s="263" t="s">
        <v>446</v>
      </c>
      <c r="G299" s="73"/>
      <c r="H299" s="253" t="s">
        <v>855</v>
      </c>
      <c r="I299" s="96"/>
      <c r="J299" s="96" t="s">
        <v>531</v>
      </c>
      <c r="K299" s="76"/>
      <c r="L299" s="76"/>
      <c r="M299" s="76"/>
      <c r="N299" s="76"/>
      <c r="O299" s="76"/>
      <c r="P299" s="76"/>
      <c r="Q299" s="76"/>
      <c r="R299" s="76"/>
      <c r="S299" s="76"/>
      <c r="T299" s="76"/>
      <c r="U299" s="79">
        <f>COUNTA($H$300:$H$321)</f>
        <v>22</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35">
      <c r="A300" s="45"/>
      <c r="B300" s="54"/>
      <c r="C300" s="47">
        <f>INT($C$29)+3</f>
        <v>4</v>
      </c>
      <c r="D300" s="73"/>
      <c r="E300" s="70" t="s">
        <v>856</v>
      </c>
      <c r="F300" s="70" t="s">
        <v>857</v>
      </c>
      <c r="G300" s="73"/>
      <c r="H300" s="76" t="s">
        <v>507</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35">
      <c r="A301" s="45"/>
      <c r="B301" s="54"/>
      <c r="C301" s="47">
        <f t="shared" ref="C301:C313" si="45">INT($C$29)+2</f>
        <v>3</v>
      </c>
      <c r="D301" s="73"/>
      <c r="E301" s="70"/>
      <c r="F301" s="70" t="s">
        <v>858</v>
      </c>
      <c r="G301" s="73"/>
      <c r="H301" s="76" t="s">
        <v>2268</v>
      </c>
      <c r="I301" s="96" t="s">
        <v>859</v>
      </c>
      <c r="J301" s="96"/>
      <c r="K301" s="97">
        <f>23*0.85</f>
        <v>19.55</v>
      </c>
      <c r="L301" s="97">
        <f>22*0.85</f>
        <v>18.7</v>
      </c>
      <c r="M301" s="76"/>
      <c r="N301" s="76"/>
      <c r="O301" s="76"/>
      <c r="P301" s="76"/>
      <c r="Q301" s="76"/>
      <c r="R301" s="76" t="s">
        <v>860</v>
      </c>
      <c r="S301" s="76"/>
      <c r="T301" s="76"/>
      <c r="U301" s="260">
        <f t="shared" ref="U301:AB302" si="46">INDEX($K301:$Q301,1,U$43)</f>
        <v>19.55</v>
      </c>
      <c r="V301" s="260">
        <f t="shared" si="46"/>
        <v>19.55</v>
      </c>
      <c r="W301" s="260">
        <f t="shared" si="46"/>
        <v>19.55</v>
      </c>
      <c r="X301" s="260">
        <f t="shared" si="46"/>
        <v>18.7</v>
      </c>
      <c r="Y301" s="260">
        <f t="shared" si="46"/>
        <v>18.7</v>
      </c>
      <c r="Z301" s="260">
        <f t="shared" si="46"/>
        <v>18.7</v>
      </c>
      <c r="AA301" s="260">
        <f t="shared" si="46"/>
        <v>18.7</v>
      </c>
      <c r="AB301" s="260">
        <f t="shared" si="46"/>
        <v>18.7</v>
      </c>
      <c r="AC301" s="76"/>
      <c r="AD301" s="76"/>
      <c r="AE301" s="76"/>
      <c r="AF301" s="97">
        <v>1</v>
      </c>
      <c r="AG301" s="97">
        <v>1</v>
      </c>
      <c r="AH301" s="73"/>
      <c r="AI301" s="57"/>
      <c r="AJ301" s="45"/>
      <c r="AK301" s="45"/>
      <c r="AL301" s="45"/>
    </row>
    <row r="302" spans="1:38" hidden="1" outlineLevel="2" x14ac:dyDescent="0.35">
      <c r="A302" s="45"/>
      <c r="B302" s="54"/>
      <c r="C302" s="47">
        <f t="shared" si="45"/>
        <v>3</v>
      </c>
      <c r="D302" s="73"/>
      <c r="E302" s="70"/>
      <c r="F302" s="70" t="s">
        <v>861</v>
      </c>
      <c r="G302" s="73"/>
      <c r="H302" s="76" t="s">
        <v>862</v>
      </c>
      <c r="I302" s="96" t="s">
        <v>863</v>
      </c>
      <c r="J302" s="96"/>
      <c r="K302" s="97">
        <v>4.0000000000000001E-3</v>
      </c>
      <c r="L302" s="97">
        <v>4.0000000000000001E-3</v>
      </c>
      <c r="M302" s="76"/>
      <c r="N302" s="76"/>
      <c r="O302" s="76"/>
      <c r="P302" s="76"/>
      <c r="Q302" s="76"/>
      <c r="R302" s="76" t="s">
        <v>524</v>
      </c>
      <c r="S302" s="76"/>
      <c r="T302" s="76"/>
      <c r="U302" s="260">
        <f t="shared" si="46"/>
        <v>4.0000000000000001E-3</v>
      </c>
      <c r="V302" s="260">
        <f t="shared" si="46"/>
        <v>4.0000000000000001E-3</v>
      </c>
      <c r="W302" s="260">
        <f t="shared" si="46"/>
        <v>4.0000000000000001E-3</v>
      </c>
      <c r="X302" s="260">
        <f t="shared" si="46"/>
        <v>4.0000000000000001E-3</v>
      </c>
      <c r="Y302" s="260">
        <f t="shared" si="46"/>
        <v>4.0000000000000001E-3</v>
      </c>
      <c r="Z302" s="260">
        <f t="shared" si="46"/>
        <v>4.0000000000000001E-3</v>
      </c>
      <c r="AA302" s="260">
        <f t="shared" si="46"/>
        <v>4.0000000000000001E-3</v>
      </c>
      <c r="AB302" s="260">
        <f t="shared" si="46"/>
        <v>4.0000000000000001E-3</v>
      </c>
      <c r="AC302" s="76"/>
      <c r="AD302" s="76"/>
      <c r="AE302" s="76"/>
      <c r="AF302" s="97">
        <v>1</v>
      </c>
      <c r="AG302" s="97">
        <v>1</v>
      </c>
      <c r="AH302" s="73"/>
      <c r="AI302" s="57"/>
      <c r="AJ302" s="45"/>
      <c r="AK302" s="45"/>
      <c r="AL302" s="45"/>
    </row>
    <row r="303" spans="1:38" hidden="1" outlineLevel="2" x14ac:dyDescent="0.35">
      <c r="A303" s="45"/>
      <c r="B303" s="54"/>
      <c r="C303" s="47">
        <f t="shared" si="45"/>
        <v>3</v>
      </c>
      <c r="D303" s="73"/>
      <c r="E303" s="70"/>
      <c r="F303" s="70" t="s">
        <v>864</v>
      </c>
      <c r="G303" s="73"/>
      <c r="H303" s="76" t="s">
        <v>2269</v>
      </c>
      <c r="I303" s="96" t="s">
        <v>586</v>
      </c>
      <c r="J303" s="96"/>
      <c r="K303" s="76"/>
      <c r="L303" s="76"/>
      <c r="M303" s="76"/>
      <c r="N303" s="76"/>
      <c r="O303" s="76"/>
      <c r="P303" s="76"/>
      <c r="Q303" s="76"/>
      <c r="R303" s="76"/>
      <c r="S303" s="76"/>
      <c r="T303" s="76"/>
      <c r="U303" s="97">
        <v>0.7</v>
      </c>
      <c r="V303" s="97">
        <v>0.7</v>
      </c>
      <c r="W303" s="97">
        <v>0.7</v>
      </c>
      <c r="X303" s="97">
        <v>0.7</v>
      </c>
      <c r="Y303" s="97">
        <v>0.7</v>
      </c>
      <c r="Z303" s="97">
        <v>0.7</v>
      </c>
      <c r="AA303" s="97">
        <v>0.7</v>
      </c>
      <c r="AB303" s="97">
        <v>0.7</v>
      </c>
      <c r="AC303" s="76"/>
      <c r="AD303" s="97" t="s">
        <v>2243</v>
      </c>
      <c r="AE303" s="76"/>
      <c r="AF303" s="97">
        <v>1</v>
      </c>
      <c r="AG303" s="97">
        <v>1</v>
      </c>
      <c r="AH303" s="73"/>
      <c r="AI303" s="57"/>
      <c r="AJ303" s="45"/>
      <c r="AK303" s="45"/>
      <c r="AL303" s="45"/>
    </row>
    <row r="304" spans="1:38" hidden="1" outlineLevel="2" x14ac:dyDescent="0.35">
      <c r="A304" s="45"/>
      <c r="B304" s="54"/>
      <c r="C304" s="47">
        <f t="shared" si="45"/>
        <v>3</v>
      </c>
      <c r="D304" s="73"/>
      <c r="E304" s="70"/>
      <c r="F304" s="70" t="s">
        <v>865</v>
      </c>
      <c r="G304" s="73"/>
      <c r="H304" s="76" t="s">
        <v>866</v>
      </c>
      <c r="I304" s="96" t="s">
        <v>586</v>
      </c>
      <c r="J304" s="96"/>
      <c r="K304" s="97">
        <v>0.04</v>
      </c>
      <c r="L304" s="97">
        <v>0.04</v>
      </c>
      <c r="M304" s="76"/>
      <c r="N304" s="76"/>
      <c r="O304" s="76"/>
      <c r="P304" s="76"/>
      <c r="Q304" s="76"/>
      <c r="R304" s="76" t="s">
        <v>867</v>
      </c>
      <c r="S304" s="76"/>
      <c r="T304" s="76"/>
      <c r="U304" s="260">
        <f t="shared" ref="U304:AB305" si="47">INDEX($K304:$Q304,1,U$43)</f>
        <v>0.04</v>
      </c>
      <c r="V304" s="260">
        <f t="shared" si="47"/>
        <v>0.04</v>
      </c>
      <c r="W304" s="260">
        <f t="shared" si="47"/>
        <v>0.04</v>
      </c>
      <c r="X304" s="260">
        <f t="shared" si="47"/>
        <v>0.04</v>
      </c>
      <c r="Y304" s="260">
        <f t="shared" si="47"/>
        <v>0.04</v>
      </c>
      <c r="Z304" s="260">
        <f t="shared" si="47"/>
        <v>0.04</v>
      </c>
      <c r="AA304" s="260">
        <f t="shared" si="47"/>
        <v>0.04</v>
      </c>
      <c r="AB304" s="260">
        <f t="shared" si="47"/>
        <v>0.04</v>
      </c>
      <c r="AC304" s="76"/>
      <c r="AD304" s="76"/>
      <c r="AE304" s="76"/>
      <c r="AF304" s="97">
        <v>1</v>
      </c>
      <c r="AG304" s="97">
        <v>1</v>
      </c>
      <c r="AH304" s="73"/>
      <c r="AI304" s="57"/>
      <c r="AJ304" s="45"/>
      <c r="AK304" s="45"/>
      <c r="AL304" s="45"/>
    </row>
    <row r="305" spans="1:38" hidden="1" outlineLevel="2" x14ac:dyDescent="0.35">
      <c r="A305" s="45"/>
      <c r="B305" s="54"/>
      <c r="C305" s="47">
        <f t="shared" si="45"/>
        <v>3</v>
      </c>
      <c r="D305" s="73"/>
      <c r="E305" s="70"/>
      <c r="F305" s="70" t="s">
        <v>868</v>
      </c>
      <c r="G305" s="73"/>
      <c r="H305" s="76" t="s">
        <v>869</v>
      </c>
      <c r="I305" s="96" t="s">
        <v>541</v>
      </c>
      <c r="J305" s="96"/>
      <c r="K305" s="97">
        <v>0.25</v>
      </c>
      <c r="L305" s="97">
        <v>0.25</v>
      </c>
      <c r="M305" s="76"/>
      <c r="N305" s="76"/>
      <c r="O305" s="76"/>
      <c r="P305" s="76"/>
      <c r="Q305" s="76"/>
      <c r="R305" s="76" t="s">
        <v>870</v>
      </c>
      <c r="S305" s="76"/>
      <c r="T305" s="76"/>
      <c r="U305" s="260">
        <f t="shared" si="47"/>
        <v>0.25</v>
      </c>
      <c r="V305" s="260">
        <f t="shared" si="47"/>
        <v>0.25</v>
      </c>
      <c r="W305" s="260">
        <f t="shared" si="47"/>
        <v>0.25</v>
      </c>
      <c r="X305" s="260">
        <f t="shared" si="47"/>
        <v>0.25</v>
      </c>
      <c r="Y305" s="260">
        <f t="shared" si="47"/>
        <v>0.25</v>
      </c>
      <c r="Z305" s="260">
        <f t="shared" si="47"/>
        <v>0.25</v>
      </c>
      <c r="AA305" s="260">
        <f t="shared" si="47"/>
        <v>0.25</v>
      </c>
      <c r="AB305" s="260">
        <f t="shared" si="47"/>
        <v>0.25</v>
      </c>
      <c r="AC305" s="76"/>
      <c r="AD305" s="76"/>
      <c r="AE305" s="76"/>
      <c r="AF305" s="97">
        <v>1</v>
      </c>
      <c r="AG305" s="97">
        <v>1</v>
      </c>
      <c r="AH305" s="73"/>
      <c r="AI305" s="57"/>
      <c r="AJ305" s="45"/>
      <c r="AK305" s="45"/>
      <c r="AL305" s="45"/>
    </row>
    <row r="306" spans="1:38" hidden="1" outlineLevel="2" x14ac:dyDescent="0.35">
      <c r="A306" s="45"/>
      <c r="B306" s="54"/>
      <c r="C306" s="47">
        <f t="shared" si="45"/>
        <v>3</v>
      </c>
      <c r="D306" s="73"/>
      <c r="E306" s="70"/>
      <c r="F306" s="70" t="s">
        <v>871</v>
      </c>
      <c r="G306" s="73"/>
      <c r="H306" s="76" t="s">
        <v>872</v>
      </c>
      <c r="I306" s="96" t="s">
        <v>873</v>
      </c>
      <c r="J306" s="96"/>
      <c r="K306" s="76"/>
      <c r="L306" s="76"/>
      <c r="M306" s="76"/>
      <c r="N306" s="76"/>
      <c r="O306" s="76"/>
      <c r="P306" s="76"/>
      <c r="Q306" s="76"/>
      <c r="R306" s="76" t="s">
        <v>874</v>
      </c>
      <c r="S306" s="76"/>
      <c r="T306" s="76"/>
      <c r="U306" s="97">
        <v>0.03</v>
      </c>
      <c r="V306" s="97">
        <v>0.03</v>
      </c>
      <c r="W306" s="97">
        <v>0.03</v>
      </c>
      <c r="X306" s="97">
        <v>0.2</v>
      </c>
      <c r="Y306" s="97">
        <v>0.06</v>
      </c>
      <c r="Z306" s="97">
        <v>0.06</v>
      </c>
      <c r="AA306" s="97">
        <v>0.11</v>
      </c>
      <c r="AB306" s="97">
        <v>0.11</v>
      </c>
      <c r="AC306" s="76"/>
      <c r="AD306" s="97" t="s">
        <v>874</v>
      </c>
      <c r="AE306" s="76"/>
      <c r="AF306" s="97">
        <v>1</v>
      </c>
      <c r="AG306" s="97">
        <v>1</v>
      </c>
      <c r="AH306" s="73"/>
      <c r="AI306" s="57"/>
      <c r="AJ306" s="45"/>
      <c r="AK306" s="45"/>
      <c r="AL306" s="45"/>
    </row>
    <row r="307" spans="1:38" hidden="1" outlineLevel="2" x14ac:dyDescent="0.35">
      <c r="A307" s="45"/>
      <c r="B307" s="54"/>
      <c r="C307" s="47">
        <f t="shared" si="45"/>
        <v>3</v>
      </c>
      <c r="D307" s="73"/>
      <c r="E307" s="70"/>
      <c r="F307" s="70" t="s">
        <v>875</v>
      </c>
      <c r="G307" s="73"/>
      <c r="H307" s="76" t="s">
        <v>876</v>
      </c>
      <c r="I307" s="96" t="s">
        <v>536</v>
      </c>
      <c r="J307" s="96"/>
      <c r="K307" s="97">
        <v>1.35</v>
      </c>
      <c r="L307" s="97">
        <v>1.35</v>
      </c>
      <c r="M307" s="76"/>
      <c r="N307" s="76"/>
      <c r="O307" s="76"/>
      <c r="P307" s="76"/>
      <c r="Q307" s="76"/>
      <c r="R307" s="76" t="s">
        <v>877</v>
      </c>
      <c r="S307" s="76"/>
      <c r="T307" s="76"/>
      <c r="U307" s="260">
        <f t="shared" ref="U307:AB310" si="48">INDEX($K307:$Q307,1,U$43)</f>
        <v>1.35</v>
      </c>
      <c r="V307" s="260">
        <f t="shared" si="48"/>
        <v>1.35</v>
      </c>
      <c r="W307" s="260">
        <f t="shared" si="48"/>
        <v>1.35</v>
      </c>
      <c r="X307" s="260">
        <f t="shared" si="48"/>
        <v>1.35</v>
      </c>
      <c r="Y307" s="260">
        <f t="shared" si="48"/>
        <v>1.35</v>
      </c>
      <c r="Z307" s="260">
        <f t="shared" si="48"/>
        <v>1.35</v>
      </c>
      <c r="AA307" s="260">
        <f t="shared" si="48"/>
        <v>1.35</v>
      </c>
      <c r="AB307" s="260">
        <f t="shared" si="48"/>
        <v>1.35</v>
      </c>
      <c r="AC307" s="76"/>
      <c r="AD307" s="76"/>
      <c r="AE307" s="76"/>
      <c r="AF307" s="97">
        <v>1</v>
      </c>
      <c r="AG307" s="97">
        <v>1</v>
      </c>
      <c r="AH307" s="73"/>
      <c r="AI307" s="57"/>
      <c r="AJ307" s="45"/>
      <c r="AK307" s="45"/>
      <c r="AL307" s="45"/>
    </row>
    <row r="308" spans="1:38" hidden="1" outlineLevel="2" x14ac:dyDescent="0.35">
      <c r="A308" s="45"/>
      <c r="B308" s="54"/>
      <c r="C308" s="47">
        <f t="shared" si="45"/>
        <v>3</v>
      </c>
      <c r="D308" s="73"/>
      <c r="E308" s="70"/>
      <c r="F308" s="70" t="s">
        <v>878</v>
      </c>
      <c r="G308" s="73"/>
      <c r="H308" s="76" t="s">
        <v>879</v>
      </c>
      <c r="I308" s="96" t="s">
        <v>638</v>
      </c>
      <c r="J308" s="96"/>
      <c r="K308" s="97">
        <v>1.6E-2</v>
      </c>
      <c r="L308" s="97">
        <v>1.6E-2</v>
      </c>
      <c r="M308" s="76"/>
      <c r="N308" s="76"/>
      <c r="O308" s="76"/>
      <c r="P308" s="76"/>
      <c r="Q308" s="76"/>
      <c r="R308" s="76" t="s">
        <v>880</v>
      </c>
      <c r="S308" s="76"/>
      <c r="T308" s="76"/>
      <c r="U308" s="260">
        <f t="shared" si="48"/>
        <v>1.6E-2</v>
      </c>
      <c r="V308" s="260">
        <f t="shared" si="48"/>
        <v>1.6E-2</v>
      </c>
      <c r="W308" s="260">
        <f t="shared" si="48"/>
        <v>1.6E-2</v>
      </c>
      <c r="X308" s="260">
        <f t="shared" si="48"/>
        <v>1.6E-2</v>
      </c>
      <c r="Y308" s="260">
        <f t="shared" si="48"/>
        <v>1.6E-2</v>
      </c>
      <c r="Z308" s="260">
        <f t="shared" si="48"/>
        <v>1.6E-2</v>
      </c>
      <c r="AA308" s="260">
        <f t="shared" si="48"/>
        <v>1.6E-2</v>
      </c>
      <c r="AB308" s="260">
        <f t="shared" si="48"/>
        <v>1.6E-2</v>
      </c>
      <c r="AC308" s="76"/>
      <c r="AD308" s="76"/>
      <c r="AE308" s="76"/>
      <c r="AF308" s="97">
        <v>1</v>
      </c>
      <c r="AG308" s="97">
        <v>1</v>
      </c>
      <c r="AH308" s="73"/>
      <c r="AI308" s="57"/>
      <c r="AJ308" s="45"/>
      <c r="AK308" s="45"/>
      <c r="AL308" s="45"/>
    </row>
    <row r="309" spans="1:38" hidden="1" outlineLevel="2" x14ac:dyDescent="0.35">
      <c r="A309" s="45"/>
      <c r="B309" s="54"/>
      <c r="C309" s="47">
        <f t="shared" si="45"/>
        <v>3</v>
      </c>
      <c r="D309" s="73"/>
      <c r="E309" s="70"/>
      <c r="F309" s="70" t="s">
        <v>881</v>
      </c>
      <c r="G309" s="73"/>
      <c r="H309" s="76" t="s">
        <v>882</v>
      </c>
      <c r="I309" s="96" t="s">
        <v>586</v>
      </c>
      <c r="J309" s="96"/>
      <c r="K309" s="97">
        <v>1</v>
      </c>
      <c r="L309" s="97">
        <v>1</v>
      </c>
      <c r="M309" s="76"/>
      <c r="N309" s="76"/>
      <c r="O309" s="76"/>
      <c r="P309" s="76"/>
      <c r="Q309" s="76"/>
      <c r="R309" s="76" t="s">
        <v>599</v>
      </c>
      <c r="S309" s="76"/>
      <c r="T309" s="76"/>
      <c r="U309" s="260">
        <f t="shared" si="48"/>
        <v>1</v>
      </c>
      <c r="V309" s="260">
        <f t="shared" si="48"/>
        <v>1</v>
      </c>
      <c r="W309" s="260">
        <f t="shared" si="48"/>
        <v>1</v>
      </c>
      <c r="X309" s="260">
        <f t="shared" si="48"/>
        <v>1</v>
      </c>
      <c r="Y309" s="260">
        <f t="shared" si="48"/>
        <v>1</v>
      </c>
      <c r="Z309" s="260">
        <f t="shared" si="48"/>
        <v>1</v>
      </c>
      <c r="AA309" s="260">
        <f t="shared" si="48"/>
        <v>1</v>
      </c>
      <c r="AB309" s="260">
        <f t="shared" si="48"/>
        <v>1</v>
      </c>
      <c r="AC309" s="76"/>
      <c r="AD309" s="76"/>
      <c r="AE309" s="76"/>
      <c r="AF309" s="97">
        <v>1</v>
      </c>
      <c r="AG309" s="97">
        <v>1</v>
      </c>
      <c r="AH309" s="73"/>
      <c r="AI309" s="57"/>
      <c r="AJ309" s="45"/>
      <c r="AK309" s="45"/>
      <c r="AL309" s="45"/>
    </row>
    <row r="310" spans="1:38" hidden="1" outlineLevel="2" x14ac:dyDescent="0.35">
      <c r="A310" s="45"/>
      <c r="B310" s="54"/>
      <c r="C310" s="47">
        <f t="shared" si="45"/>
        <v>3</v>
      </c>
      <c r="D310" s="73"/>
      <c r="E310" s="70"/>
      <c r="F310" s="70" t="s">
        <v>883</v>
      </c>
      <c r="G310" s="73"/>
      <c r="H310" s="76" t="s">
        <v>884</v>
      </c>
      <c r="I310" s="96" t="s">
        <v>885</v>
      </c>
      <c r="J310" s="96"/>
      <c r="K310" s="97">
        <v>1350</v>
      </c>
      <c r="L310" s="97">
        <v>1350</v>
      </c>
      <c r="M310" s="76"/>
      <c r="N310" s="76"/>
      <c r="O310" s="76"/>
      <c r="P310" s="76"/>
      <c r="Q310" s="76"/>
      <c r="R310" s="76"/>
      <c r="S310" s="76"/>
      <c r="T310" s="76"/>
      <c r="U310" s="260">
        <f t="shared" si="48"/>
        <v>1350</v>
      </c>
      <c r="V310" s="260">
        <f t="shared" si="48"/>
        <v>1350</v>
      </c>
      <c r="W310" s="260">
        <f t="shared" si="48"/>
        <v>1350</v>
      </c>
      <c r="X310" s="260">
        <f t="shared" si="48"/>
        <v>1350</v>
      </c>
      <c r="Y310" s="260">
        <f t="shared" si="48"/>
        <v>1350</v>
      </c>
      <c r="Z310" s="260">
        <f t="shared" si="48"/>
        <v>1350</v>
      </c>
      <c r="AA310" s="260">
        <f t="shared" si="48"/>
        <v>1350</v>
      </c>
      <c r="AB310" s="260">
        <f t="shared" si="48"/>
        <v>1350</v>
      </c>
      <c r="AC310" s="76"/>
      <c r="AD310" s="76"/>
      <c r="AE310" s="76"/>
      <c r="AF310" s="97">
        <v>1</v>
      </c>
      <c r="AG310" s="97">
        <v>1</v>
      </c>
      <c r="AH310" s="73"/>
      <c r="AI310" s="57"/>
      <c r="AJ310" s="45"/>
      <c r="AK310" s="45"/>
      <c r="AL310" s="45"/>
    </row>
    <row r="311" spans="1:38" hidden="1" outlineLevel="2" x14ac:dyDescent="0.35">
      <c r="A311" s="45"/>
      <c r="B311" s="54"/>
      <c r="C311" s="47">
        <f t="shared" si="45"/>
        <v>3</v>
      </c>
      <c r="D311" s="73"/>
      <c r="E311" s="70"/>
      <c r="F311" s="70" t="s">
        <v>886</v>
      </c>
      <c r="G311" s="73"/>
      <c r="H311" s="76" t="s">
        <v>887</v>
      </c>
      <c r="I311" s="96" t="s">
        <v>888</v>
      </c>
      <c r="J311" s="96"/>
      <c r="K311" s="76"/>
      <c r="L311" s="76"/>
      <c r="M311" s="76"/>
      <c r="N311" s="76"/>
      <c r="O311" s="76"/>
      <c r="P311" s="76"/>
      <c r="Q311" s="76"/>
      <c r="R311" s="76"/>
      <c r="S311" s="76"/>
      <c r="T311" s="76"/>
      <c r="U311" s="97">
        <v>60000000</v>
      </c>
      <c r="V311" s="97">
        <v>60000000</v>
      </c>
      <c r="W311" s="97">
        <v>60000000</v>
      </c>
      <c r="X311" s="97">
        <f t="shared" ref="X311:AB313" si="49">W311</f>
        <v>60000000</v>
      </c>
      <c r="Y311" s="262">
        <f t="shared" si="49"/>
        <v>60000000</v>
      </c>
      <c r="Z311" s="262">
        <f t="shared" si="49"/>
        <v>60000000</v>
      </c>
      <c r="AA311" s="262">
        <f t="shared" si="49"/>
        <v>60000000</v>
      </c>
      <c r="AB311" s="97">
        <f>U311*(51.8-2*(51.8-31.5))/51.8</f>
        <v>12972972.972972976</v>
      </c>
      <c r="AC311" s="76"/>
      <c r="AD311" s="97"/>
      <c r="AE311" s="76"/>
      <c r="AF311" s="97">
        <v>1</v>
      </c>
      <c r="AG311" s="97">
        <v>1</v>
      </c>
      <c r="AH311" s="73"/>
      <c r="AI311" s="57"/>
      <c r="AJ311" s="45"/>
      <c r="AK311" s="45"/>
      <c r="AL311" s="45"/>
    </row>
    <row r="312" spans="1:38" hidden="1" outlineLevel="2" x14ac:dyDescent="0.35">
      <c r="A312" s="45"/>
      <c r="B312" s="54"/>
      <c r="C312" s="47">
        <f t="shared" si="45"/>
        <v>3</v>
      </c>
      <c r="D312" s="73"/>
      <c r="E312" s="70"/>
      <c r="F312" s="70" t="s">
        <v>889</v>
      </c>
      <c r="G312" s="73"/>
      <c r="H312" s="76" t="s">
        <v>2356</v>
      </c>
      <c r="I312" s="96" t="s">
        <v>2912</v>
      </c>
      <c r="J312" s="96"/>
      <c r="K312" s="76"/>
      <c r="L312" s="76"/>
      <c r="M312" s="76"/>
      <c r="N312" s="76"/>
      <c r="O312" s="76"/>
      <c r="P312" s="76"/>
      <c r="Q312" s="76"/>
      <c r="R312" s="76"/>
      <c r="S312" s="76"/>
      <c r="T312" s="76"/>
      <c r="U312" s="97">
        <v>2.5000000000000001E-2</v>
      </c>
      <c r="V312" s="97">
        <v>2.5000000000000001E-2</v>
      </c>
      <c r="W312" s="97">
        <v>2.5000000000000001E-2</v>
      </c>
      <c r="X312" s="97">
        <f t="shared" si="49"/>
        <v>2.5000000000000001E-2</v>
      </c>
      <c r="Y312" s="262">
        <f t="shared" si="49"/>
        <v>2.5000000000000001E-2</v>
      </c>
      <c r="Z312" s="262">
        <f t="shared" si="49"/>
        <v>2.5000000000000001E-2</v>
      </c>
      <c r="AA312" s="262">
        <f t="shared" si="49"/>
        <v>2.5000000000000001E-2</v>
      </c>
      <c r="AB312" s="262">
        <f t="shared" si="49"/>
        <v>2.5000000000000001E-2</v>
      </c>
      <c r="AC312" s="76"/>
      <c r="AD312" s="97" t="s">
        <v>2357</v>
      </c>
      <c r="AE312" s="76"/>
      <c r="AF312" s="97">
        <v>1</v>
      </c>
      <c r="AG312" s="97">
        <v>1</v>
      </c>
      <c r="AH312" s="73"/>
      <c r="AI312" s="57"/>
      <c r="AJ312" s="45"/>
      <c r="AK312" s="45"/>
      <c r="AL312" s="45"/>
    </row>
    <row r="313" spans="1:38" hidden="1" outlineLevel="2" x14ac:dyDescent="0.35">
      <c r="A313" s="45"/>
      <c r="B313" s="54"/>
      <c r="C313" s="47">
        <f t="shared" si="45"/>
        <v>3</v>
      </c>
      <c r="D313" s="73"/>
      <c r="E313" s="70"/>
      <c r="F313" s="70" t="s">
        <v>890</v>
      </c>
      <c r="G313" s="73"/>
      <c r="H313" s="76" t="s">
        <v>891</v>
      </c>
      <c r="I313" s="96" t="s">
        <v>514</v>
      </c>
      <c r="J313" s="96"/>
      <c r="K313" s="76"/>
      <c r="L313" s="76"/>
      <c r="M313" s="76"/>
      <c r="N313" s="76"/>
      <c r="O313" s="76"/>
      <c r="P313" s="76"/>
      <c r="Q313" s="76"/>
      <c r="R313" s="76"/>
      <c r="S313" s="76"/>
      <c r="T313" s="76"/>
      <c r="U313" s="97">
        <v>0.18</v>
      </c>
      <c r="V313" s="97">
        <v>0.18</v>
      </c>
      <c r="W313" s="97">
        <v>0.18</v>
      </c>
      <c r="X313" s="97">
        <f t="shared" si="49"/>
        <v>0.18</v>
      </c>
      <c r="Y313" s="262">
        <f t="shared" si="49"/>
        <v>0.18</v>
      </c>
      <c r="Z313" s="262">
        <f t="shared" si="49"/>
        <v>0.18</v>
      </c>
      <c r="AA313" s="262">
        <f t="shared" si="49"/>
        <v>0.18</v>
      </c>
      <c r="AB313" s="262">
        <f t="shared" si="49"/>
        <v>0.18</v>
      </c>
      <c r="AC313" s="76"/>
      <c r="AD313" s="97" t="s">
        <v>623</v>
      </c>
      <c r="AE313" s="76"/>
      <c r="AF313" s="97">
        <v>1</v>
      </c>
      <c r="AG313" s="97">
        <v>1</v>
      </c>
      <c r="AH313" s="73"/>
      <c r="AI313" s="57"/>
      <c r="AJ313" s="45"/>
      <c r="AK313" s="45"/>
      <c r="AL313" s="45"/>
    </row>
    <row r="314" spans="1:38" hidden="1" outlineLevel="2" x14ac:dyDescent="0.35">
      <c r="A314" s="45"/>
      <c r="B314" s="54"/>
      <c r="C314" s="47">
        <f t="shared" ref="C314:C321" si="50">INT($C$29)+2</f>
        <v>3</v>
      </c>
      <c r="D314" s="73"/>
      <c r="E314" s="70"/>
      <c r="F314" s="70" t="s">
        <v>892</v>
      </c>
      <c r="G314" s="73"/>
      <c r="H314" s="76" t="s">
        <v>893</v>
      </c>
      <c r="I314" s="96" t="s">
        <v>894</v>
      </c>
      <c r="J314" s="96"/>
      <c r="K314" s="97">
        <v>0.2</v>
      </c>
      <c r="L314" s="97">
        <v>0.2</v>
      </c>
      <c r="M314" s="76"/>
      <c r="N314" s="76"/>
      <c r="O314" s="76"/>
      <c r="P314" s="76"/>
      <c r="Q314" s="76"/>
      <c r="R314" s="76" t="s">
        <v>623</v>
      </c>
      <c r="S314" s="76"/>
      <c r="T314" s="76"/>
      <c r="U314" s="260">
        <f t="shared" ref="U314:AB316" si="51">INDEX($K314:$Q314,1,U$43)</f>
        <v>0.2</v>
      </c>
      <c r="V314" s="260">
        <f t="shared" si="51"/>
        <v>0.2</v>
      </c>
      <c r="W314" s="260">
        <f t="shared" si="51"/>
        <v>0.2</v>
      </c>
      <c r="X314" s="260">
        <f t="shared" si="51"/>
        <v>0.2</v>
      </c>
      <c r="Y314" s="260">
        <f t="shared" si="51"/>
        <v>0.2</v>
      </c>
      <c r="Z314" s="260">
        <f t="shared" si="51"/>
        <v>0.2</v>
      </c>
      <c r="AA314" s="260">
        <f t="shared" si="51"/>
        <v>0.2</v>
      </c>
      <c r="AB314" s="260">
        <f t="shared" si="51"/>
        <v>0.2</v>
      </c>
      <c r="AC314" s="76"/>
      <c r="AD314" s="76"/>
      <c r="AE314" s="76"/>
      <c r="AF314" s="97">
        <v>1</v>
      </c>
      <c r="AG314" s="97">
        <v>1</v>
      </c>
      <c r="AH314" s="73"/>
      <c r="AI314" s="57"/>
      <c r="AJ314" s="45"/>
      <c r="AK314" s="45"/>
      <c r="AL314" s="45"/>
    </row>
    <row r="315" spans="1:38" hidden="1" outlineLevel="2" x14ac:dyDescent="0.35">
      <c r="A315" s="45"/>
      <c r="B315" s="54"/>
      <c r="C315" s="47">
        <f t="shared" si="50"/>
        <v>3</v>
      </c>
      <c r="D315" s="73"/>
      <c r="E315" s="70"/>
      <c r="F315" s="70" t="s">
        <v>895</v>
      </c>
      <c r="G315" s="73"/>
      <c r="H315" s="76" t="s">
        <v>896</v>
      </c>
      <c r="I315" s="96" t="s">
        <v>897</v>
      </c>
      <c r="J315" s="96"/>
      <c r="K315" s="97">
        <f>1/1.17</f>
        <v>0.85470085470085477</v>
      </c>
      <c r="L315" s="97">
        <f>1/1.17</f>
        <v>0.85470085470085477</v>
      </c>
      <c r="M315" s="76"/>
      <c r="N315" s="76"/>
      <c r="O315" s="76"/>
      <c r="P315" s="76"/>
      <c r="Q315" s="76"/>
      <c r="R315" s="76" t="s">
        <v>898</v>
      </c>
      <c r="S315" s="76"/>
      <c r="T315" s="76"/>
      <c r="U315" s="260">
        <f t="shared" si="51"/>
        <v>0.85470085470085477</v>
      </c>
      <c r="V315" s="260">
        <f t="shared" si="51"/>
        <v>0.85470085470085477</v>
      </c>
      <c r="W315" s="260">
        <f t="shared" si="51"/>
        <v>0.85470085470085477</v>
      </c>
      <c r="X315" s="260">
        <f t="shared" si="51"/>
        <v>0.85470085470085477</v>
      </c>
      <c r="Y315" s="260">
        <f t="shared" si="51"/>
        <v>0.85470085470085477</v>
      </c>
      <c r="Z315" s="260">
        <f t="shared" si="51"/>
        <v>0.85470085470085477</v>
      </c>
      <c r="AA315" s="260">
        <f t="shared" si="51"/>
        <v>0.85470085470085477</v>
      </c>
      <c r="AB315" s="260">
        <f t="shared" si="51"/>
        <v>0.85470085470085477</v>
      </c>
      <c r="AC315" s="76"/>
      <c r="AD315" s="76"/>
      <c r="AE315" s="76"/>
      <c r="AF315" s="97">
        <v>1</v>
      </c>
      <c r="AG315" s="97">
        <v>1</v>
      </c>
      <c r="AH315" s="73"/>
      <c r="AI315" s="57"/>
      <c r="AJ315" s="45"/>
      <c r="AK315" s="45"/>
      <c r="AL315" s="45"/>
    </row>
    <row r="316" spans="1:38" hidden="1" outlineLevel="2" x14ac:dyDescent="0.35">
      <c r="A316" s="45"/>
      <c r="B316" s="54"/>
      <c r="C316" s="47">
        <f t="shared" si="50"/>
        <v>3</v>
      </c>
      <c r="D316" s="73"/>
      <c r="E316" s="70"/>
      <c r="F316" s="70" t="s">
        <v>899</v>
      </c>
      <c r="G316" s="73"/>
      <c r="H316" s="76" t="s">
        <v>900</v>
      </c>
      <c r="I316" s="96" t="s">
        <v>901</v>
      </c>
      <c r="J316" s="96"/>
      <c r="K316" s="97">
        <v>51</v>
      </c>
      <c r="L316" s="97">
        <v>51</v>
      </c>
      <c r="M316" s="76"/>
      <c r="N316" s="76"/>
      <c r="O316" s="76"/>
      <c r="P316" s="76"/>
      <c r="Q316" s="76"/>
      <c r="R316" s="76" t="s">
        <v>902</v>
      </c>
      <c r="S316" s="76"/>
      <c r="T316" s="76"/>
      <c r="U316" s="260">
        <f t="shared" si="51"/>
        <v>51</v>
      </c>
      <c r="V316" s="260">
        <f t="shared" si="51"/>
        <v>51</v>
      </c>
      <c r="W316" s="260">
        <f t="shared" si="51"/>
        <v>51</v>
      </c>
      <c r="X316" s="260">
        <f t="shared" si="51"/>
        <v>51</v>
      </c>
      <c r="Y316" s="260">
        <f t="shared" si="51"/>
        <v>51</v>
      </c>
      <c r="Z316" s="260">
        <f t="shared" si="51"/>
        <v>51</v>
      </c>
      <c r="AA316" s="260">
        <f t="shared" si="51"/>
        <v>51</v>
      </c>
      <c r="AB316" s="260">
        <f t="shared" si="51"/>
        <v>51</v>
      </c>
      <c r="AC316" s="76"/>
      <c r="AD316" s="76"/>
      <c r="AE316" s="76"/>
      <c r="AF316" s="97">
        <v>1</v>
      </c>
      <c r="AG316" s="97">
        <v>1</v>
      </c>
      <c r="AH316" s="73"/>
      <c r="AI316" s="57"/>
      <c r="AJ316" s="45"/>
      <c r="AK316" s="45"/>
      <c r="AL316" s="45"/>
    </row>
    <row r="317" spans="1:38" hidden="1" outlineLevel="2" x14ac:dyDescent="0.35">
      <c r="A317" s="45"/>
      <c r="B317" s="54"/>
      <c r="C317" s="47">
        <f t="shared" si="50"/>
        <v>3</v>
      </c>
      <c r="D317" s="73"/>
      <c r="E317" s="70"/>
      <c r="F317" s="70" t="s">
        <v>2308</v>
      </c>
      <c r="G317" s="73"/>
      <c r="H317" s="76" t="s">
        <v>2312</v>
      </c>
      <c r="I317" s="96"/>
      <c r="J317" s="96"/>
      <c r="K317" s="76"/>
      <c r="L317" s="76"/>
      <c r="M317" s="76"/>
      <c r="N317" s="76"/>
      <c r="O317" s="76"/>
      <c r="P317" s="76"/>
      <c r="Q317" s="76"/>
      <c r="R317" s="76"/>
      <c r="S317" s="76"/>
      <c r="T317" s="76"/>
      <c r="U317" s="267">
        <f>0.006/(365^2)</f>
        <v>4.503659223118784E-8</v>
      </c>
      <c r="V317" s="267">
        <f>0.006/(365^2)</f>
        <v>4.503659223118784E-8</v>
      </c>
      <c r="W317" s="267">
        <f>0.006/(365^2)</f>
        <v>4.503659223118784E-8</v>
      </c>
      <c r="X317" s="97">
        <f t="shared" ref="X317:AB320" si="52">W317</f>
        <v>4.503659223118784E-8</v>
      </c>
      <c r="Y317" s="262">
        <f t="shared" si="52"/>
        <v>4.503659223118784E-8</v>
      </c>
      <c r="Z317" s="262">
        <f t="shared" si="52"/>
        <v>4.503659223118784E-8</v>
      </c>
      <c r="AA317" s="262">
        <f t="shared" si="52"/>
        <v>4.503659223118784E-8</v>
      </c>
      <c r="AB317" s="262">
        <f t="shared" si="52"/>
        <v>4.503659223118784E-8</v>
      </c>
      <c r="AC317" s="76"/>
      <c r="AD317" s="97" t="s">
        <v>2311</v>
      </c>
      <c r="AE317" s="76"/>
      <c r="AF317" s="97">
        <v>1</v>
      </c>
      <c r="AG317" s="97">
        <v>1</v>
      </c>
      <c r="AH317" s="73"/>
      <c r="AI317" s="57"/>
      <c r="AJ317" s="45"/>
      <c r="AK317" s="45"/>
      <c r="AL317" s="45"/>
    </row>
    <row r="318" spans="1:38" hidden="1" outlineLevel="2" x14ac:dyDescent="0.35">
      <c r="A318" s="45"/>
      <c r="B318" s="54"/>
      <c r="C318" s="47">
        <f t="shared" si="50"/>
        <v>3</v>
      </c>
      <c r="D318" s="73"/>
      <c r="E318" s="70"/>
      <c r="F318" s="70" t="s">
        <v>2309</v>
      </c>
      <c r="G318" s="73"/>
      <c r="H318" s="76" t="s">
        <v>2310</v>
      </c>
      <c r="I318" s="96" t="s">
        <v>672</v>
      </c>
      <c r="J318" s="96"/>
      <c r="K318" s="76"/>
      <c r="L318" s="76"/>
      <c r="M318" s="76"/>
      <c r="N318" s="76"/>
      <c r="O318" s="76"/>
      <c r="P318" s="76"/>
      <c r="Q318" s="76"/>
      <c r="R318" s="76"/>
      <c r="S318" s="76"/>
      <c r="T318" s="76"/>
      <c r="U318" s="97">
        <f>3*365</f>
        <v>1095</v>
      </c>
      <c r="V318" s="97">
        <v>1095</v>
      </c>
      <c r="W318" s="97">
        <v>1095</v>
      </c>
      <c r="X318" s="97">
        <f t="shared" si="52"/>
        <v>1095</v>
      </c>
      <c r="Y318" s="262">
        <f t="shared" si="52"/>
        <v>1095</v>
      </c>
      <c r="Z318" s="262">
        <f t="shared" si="52"/>
        <v>1095</v>
      </c>
      <c r="AA318" s="262">
        <f t="shared" si="52"/>
        <v>1095</v>
      </c>
      <c r="AB318" s="262">
        <f t="shared" si="52"/>
        <v>1095</v>
      </c>
      <c r="AC318" s="76"/>
      <c r="AD318" s="97" t="s">
        <v>2311</v>
      </c>
      <c r="AE318" s="76"/>
      <c r="AF318" s="97">
        <v>1</v>
      </c>
      <c r="AG318" s="97">
        <v>1</v>
      </c>
      <c r="AH318" s="73"/>
      <c r="AI318" s="57"/>
      <c r="AJ318" s="45"/>
      <c r="AK318" s="45"/>
      <c r="AL318" s="45"/>
    </row>
    <row r="319" spans="1:38" hidden="1" outlineLevel="2" x14ac:dyDescent="0.35">
      <c r="A319" s="45"/>
      <c r="B319" s="54"/>
      <c r="C319" s="47">
        <f t="shared" si="50"/>
        <v>3</v>
      </c>
      <c r="D319" s="73"/>
      <c r="E319" s="70"/>
      <c r="F319" s="70" t="s">
        <v>2313</v>
      </c>
      <c r="G319" s="73"/>
      <c r="H319" s="76" t="s">
        <v>2314</v>
      </c>
      <c r="I319" s="96"/>
      <c r="J319" s="96"/>
      <c r="K319" s="76"/>
      <c r="L319" s="76"/>
      <c r="M319" s="76"/>
      <c r="N319" s="76"/>
      <c r="O319" s="76"/>
      <c r="P319" s="76"/>
      <c r="Q319" s="76"/>
      <c r="R319" s="76"/>
      <c r="S319" s="76"/>
      <c r="T319" s="76"/>
      <c r="U319" s="97">
        <v>2</v>
      </c>
      <c r="V319" s="97">
        <v>2</v>
      </c>
      <c r="W319" s="97">
        <v>2</v>
      </c>
      <c r="X319" s="97">
        <f t="shared" si="52"/>
        <v>2</v>
      </c>
      <c r="Y319" s="262">
        <f t="shared" si="52"/>
        <v>2</v>
      </c>
      <c r="Z319" s="262">
        <f t="shared" si="52"/>
        <v>2</v>
      </c>
      <c r="AA319" s="262">
        <f t="shared" si="52"/>
        <v>2</v>
      </c>
      <c r="AB319" s="262">
        <f t="shared" si="52"/>
        <v>2</v>
      </c>
      <c r="AC319" s="76"/>
      <c r="AD319" s="76"/>
      <c r="AE319" s="76"/>
      <c r="AF319" s="97">
        <v>1</v>
      </c>
      <c r="AG319" s="97">
        <v>1</v>
      </c>
      <c r="AH319" s="73"/>
      <c r="AI319" s="57"/>
      <c r="AJ319" s="45"/>
      <c r="AK319" s="45"/>
      <c r="AL319" s="45"/>
    </row>
    <row r="320" spans="1:38" hidden="1" outlineLevel="2" x14ac:dyDescent="0.35">
      <c r="A320" s="45"/>
      <c r="B320" s="54"/>
      <c r="C320" s="47">
        <f t="shared" si="50"/>
        <v>3</v>
      </c>
      <c r="D320" s="73"/>
      <c r="E320" s="70"/>
      <c r="F320" s="70" t="s">
        <v>2901</v>
      </c>
      <c r="G320" s="73"/>
      <c r="H320" s="76" t="s">
        <v>3011</v>
      </c>
      <c r="I320" s="96"/>
      <c r="J320" s="96"/>
      <c r="K320" s="76"/>
      <c r="L320" s="76"/>
      <c r="M320" s="76"/>
      <c r="N320" s="76"/>
      <c r="O320" s="76"/>
      <c r="P320" s="76"/>
      <c r="Q320" s="76"/>
      <c r="R320" s="76"/>
      <c r="S320" s="76"/>
      <c r="T320" s="76"/>
      <c r="U320" s="97">
        <v>0.85</v>
      </c>
      <c r="V320" s="262">
        <f>U320</f>
        <v>0.85</v>
      </c>
      <c r="W320" s="262">
        <f>V320</f>
        <v>0.85</v>
      </c>
      <c r="X320" s="262">
        <f t="shared" si="52"/>
        <v>0.85</v>
      </c>
      <c r="Y320" s="262">
        <f t="shared" si="52"/>
        <v>0.85</v>
      </c>
      <c r="Z320" s="262">
        <f t="shared" si="52"/>
        <v>0.85</v>
      </c>
      <c r="AA320" s="262">
        <f t="shared" si="52"/>
        <v>0.85</v>
      </c>
      <c r="AB320" s="262">
        <f t="shared" si="52"/>
        <v>0.85</v>
      </c>
      <c r="AC320" s="76"/>
      <c r="AD320" s="76"/>
      <c r="AE320" s="76"/>
      <c r="AF320" s="97">
        <v>1</v>
      </c>
      <c r="AG320" s="97">
        <v>1</v>
      </c>
      <c r="AH320" s="73"/>
      <c r="AI320" s="57"/>
      <c r="AJ320" s="45"/>
      <c r="AK320" s="45"/>
      <c r="AL320" s="45"/>
    </row>
    <row r="321" spans="1:38" hidden="1" outlineLevel="2" x14ac:dyDescent="0.35">
      <c r="A321" s="45"/>
      <c r="B321" s="54"/>
      <c r="C321" s="47">
        <f t="shared" si="50"/>
        <v>3</v>
      </c>
      <c r="D321" s="73"/>
      <c r="E321" s="70"/>
      <c r="F321" s="70" t="s">
        <v>2911</v>
      </c>
      <c r="G321" s="73"/>
      <c r="H321" s="76" t="s">
        <v>2356</v>
      </c>
      <c r="I321" s="96" t="s">
        <v>2912</v>
      </c>
      <c r="J321" s="96"/>
      <c r="K321" s="76"/>
      <c r="L321" s="76"/>
      <c r="M321" s="76"/>
      <c r="N321" s="76"/>
      <c r="O321" s="76"/>
      <c r="P321" s="76"/>
      <c r="Q321" s="76"/>
      <c r="R321" s="76"/>
      <c r="S321" s="76"/>
      <c r="T321" s="76"/>
      <c r="U321" s="97">
        <f>0.068/30.4</f>
        <v>2.2368421052631582E-3</v>
      </c>
      <c r="V321" s="97">
        <f>0.068/30.4</f>
        <v>2.2368421052631582E-3</v>
      </c>
      <c r="W321" s="97">
        <f>0.068/30.4</f>
        <v>2.2368421052631582E-3</v>
      </c>
      <c r="X321" s="97">
        <f>0.068/30.4</f>
        <v>2.2368421052631582E-3</v>
      </c>
      <c r="Y321" s="262">
        <f>X321</f>
        <v>2.2368421052631582E-3</v>
      </c>
      <c r="Z321" s="262">
        <f>Y321</f>
        <v>2.2368421052631582E-3</v>
      </c>
      <c r="AA321" s="262">
        <f>Z321</f>
        <v>2.2368421052631582E-3</v>
      </c>
      <c r="AB321" s="262">
        <f>AA321</f>
        <v>2.2368421052631582E-3</v>
      </c>
      <c r="AC321" s="76"/>
      <c r="AD321" s="97" t="s">
        <v>2913</v>
      </c>
      <c r="AE321" s="76"/>
      <c r="AF321" s="97">
        <v>1</v>
      </c>
      <c r="AG321" s="97">
        <v>1</v>
      </c>
      <c r="AH321" s="73"/>
      <c r="AI321" s="57"/>
      <c r="AJ321" s="45"/>
      <c r="AK321" s="45"/>
      <c r="AL321" s="45"/>
    </row>
    <row r="322" spans="1:38" outlineLevel="1" collapsed="1" x14ac:dyDescent="0.35">
      <c r="A322" s="45"/>
      <c r="B322" s="54"/>
      <c r="C322" s="47">
        <f>INT($C$29)+1</f>
        <v>2</v>
      </c>
      <c r="D322" s="73"/>
      <c r="E322" s="70"/>
      <c r="F322" s="263" t="s">
        <v>903</v>
      </c>
      <c r="G322" s="73"/>
      <c r="H322" s="253" t="s">
        <v>904</v>
      </c>
      <c r="I322" s="96"/>
      <c r="J322" s="96" t="s">
        <v>531</v>
      </c>
      <c r="K322" s="76"/>
      <c r="L322" s="76"/>
      <c r="M322" s="76"/>
      <c r="N322" s="76"/>
      <c r="O322" s="76"/>
      <c r="P322" s="76"/>
      <c r="Q322" s="76"/>
      <c r="R322" s="76"/>
      <c r="S322" s="76"/>
      <c r="T322" s="76"/>
      <c r="U322" s="79">
        <v>17</v>
      </c>
      <c r="V322" s="76"/>
      <c r="W322" s="79">
        <v>0</v>
      </c>
      <c r="X322" s="76"/>
      <c r="Y322" s="76"/>
      <c r="Z322" s="76"/>
      <c r="AA322" s="76"/>
      <c r="AB322" s="76"/>
      <c r="AC322" s="76"/>
      <c r="AD322" s="76"/>
      <c r="AE322" s="76"/>
      <c r="AF322" s="76"/>
      <c r="AG322" s="76"/>
      <c r="AH322" s="73"/>
      <c r="AI322" s="57"/>
      <c r="AJ322" s="45"/>
      <c r="AK322" s="45"/>
      <c r="AL322" s="45"/>
    </row>
    <row r="323" spans="1:38" hidden="1" outlineLevel="3" x14ac:dyDescent="0.35">
      <c r="A323" s="45"/>
      <c r="B323" s="54"/>
      <c r="C323" s="47">
        <f>INT($C$29)+3</f>
        <v>4</v>
      </c>
      <c r="D323" s="73"/>
      <c r="E323" s="70" t="s">
        <v>905</v>
      </c>
      <c r="F323" s="70" t="s">
        <v>906</v>
      </c>
      <c r="G323" s="73"/>
      <c r="H323" s="76" t="s">
        <v>507</v>
      </c>
      <c r="I323" s="96"/>
      <c r="J323" s="96"/>
      <c r="K323" s="76"/>
      <c r="L323" s="76"/>
      <c r="M323" s="76"/>
      <c r="N323" s="76"/>
      <c r="O323" s="76"/>
      <c r="P323" s="76"/>
      <c r="Q323" s="76"/>
      <c r="R323" s="76"/>
      <c r="S323" s="76"/>
      <c r="T323" s="76"/>
      <c r="U323" s="76"/>
      <c r="V323" s="76"/>
      <c r="W323" s="76"/>
      <c r="X323" s="76"/>
      <c r="Y323" s="76"/>
      <c r="Z323" s="76"/>
      <c r="AA323" s="76"/>
      <c r="AB323" s="76"/>
      <c r="AC323" s="76"/>
      <c r="AD323" s="76"/>
      <c r="AE323" s="76"/>
      <c r="AF323" s="76">
        <v>1</v>
      </c>
      <c r="AG323" s="76">
        <v>1</v>
      </c>
      <c r="AH323" s="73"/>
      <c r="AI323" s="57"/>
      <c r="AJ323" s="45"/>
      <c r="AK323" s="45"/>
      <c r="AL323" s="45"/>
    </row>
    <row r="324" spans="1:38" hidden="1" outlineLevel="2" x14ac:dyDescent="0.35">
      <c r="A324" s="45"/>
      <c r="B324" s="54"/>
      <c r="C324" s="47">
        <f t="shared" ref="C324:C339" si="53">INT($C$29)+2</f>
        <v>3</v>
      </c>
      <c r="D324" s="73"/>
      <c r="E324" s="70"/>
      <c r="F324" s="70" t="s">
        <v>907</v>
      </c>
      <c r="G324" s="73"/>
      <c r="H324" s="76" t="s">
        <v>908</v>
      </c>
      <c r="I324" s="96" t="s">
        <v>909</v>
      </c>
      <c r="J324" s="96"/>
      <c r="K324" s="97">
        <v>0.09</v>
      </c>
      <c r="L324" s="97">
        <v>0.09</v>
      </c>
      <c r="M324" s="97">
        <v>0.09</v>
      </c>
      <c r="N324" s="97">
        <v>0.09</v>
      </c>
      <c r="O324" s="97">
        <v>0.09</v>
      </c>
      <c r="P324" s="97">
        <v>0.09</v>
      </c>
      <c r="Q324" s="76"/>
      <c r="R324" s="76"/>
      <c r="S324" s="76"/>
      <c r="T324" s="76"/>
      <c r="U324" s="260">
        <f t="shared" ref="U324:AB339" si="54">INDEX($K324:$Q324,1,U$43)</f>
        <v>0.09</v>
      </c>
      <c r="V324" s="260">
        <f t="shared" si="54"/>
        <v>0.09</v>
      </c>
      <c r="W324" s="260">
        <f t="shared" si="54"/>
        <v>0.09</v>
      </c>
      <c r="X324" s="260">
        <f t="shared" si="54"/>
        <v>0.09</v>
      </c>
      <c r="Y324" s="260">
        <f t="shared" si="54"/>
        <v>0.09</v>
      </c>
      <c r="Z324" s="260">
        <f t="shared" si="54"/>
        <v>0.09</v>
      </c>
      <c r="AA324" s="260">
        <f t="shared" si="54"/>
        <v>0.09</v>
      </c>
      <c r="AB324" s="260">
        <f t="shared" si="54"/>
        <v>0.09</v>
      </c>
      <c r="AC324" s="76"/>
      <c r="AD324" s="76"/>
      <c r="AE324" s="76"/>
      <c r="AF324" s="97">
        <v>1</v>
      </c>
      <c r="AG324" s="97">
        <v>1</v>
      </c>
      <c r="AH324" s="73"/>
      <c r="AI324" s="57"/>
      <c r="AJ324" s="45"/>
      <c r="AK324" s="45"/>
      <c r="AL324" s="45"/>
    </row>
    <row r="325" spans="1:38" hidden="1" outlineLevel="2" x14ac:dyDescent="0.35">
      <c r="A325" s="45"/>
      <c r="B325" s="54"/>
      <c r="C325" s="47">
        <f t="shared" si="53"/>
        <v>3</v>
      </c>
      <c r="D325" s="73"/>
      <c r="E325" s="70"/>
      <c r="F325" s="70" t="s">
        <v>910</v>
      </c>
      <c r="G325" s="73"/>
      <c r="H325" s="76" t="s">
        <v>911</v>
      </c>
      <c r="I325" s="96" t="s">
        <v>912</v>
      </c>
      <c r="J325" s="96"/>
      <c r="K325" s="97">
        <v>4.0999999999999996</v>
      </c>
      <c r="L325" s="97">
        <v>4.0999999999999996</v>
      </c>
      <c r="M325" s="97">
        <v>4.0999999999999996</v>
      </c>
      <c r="N325" s="97">
        <v>4.0999999999999996</v>
      </c>
      <c r="O325" s="97">
        <v>4.0999999999999996</v>
      </c>
      <c r="P325" s="97">
        <v>4.0999999999999996</v>
      </c>
      <c r="Q325" s="76"/>
      <c r="R325" s="76"/>
      <c r="S325" s="76"/>
      <c r="T325" s="76"/>
      <c r="U325" s="260">
        <f t="shared" si="54"/>
        <v>4.0999999999999996</v>
      </c>
      <c r="V325" s="260">
        <f t="shared" si="54"/>
        <v>4.0999999999999996</v>
      </c>
      <c r="W325" s="260">
        <f t="shared" si="54"/>
        <v>4.0999999999999996</v>
      </c>
      <c r="X325" s="260">
        <f t="shared" si="54"/>
        <v>4.0999999999999996</v>
      </c>
      <c r="Y325" s="260">
        <f t="shared" si="54"/>
        <v>4.0999999999999996</v>
      </c>
      <c r="Z325" s="260">
        <f t="shared" si="54"/>
        <v>4.0999999999999996</v>
      </c>
      <c r="AA325" s="260">
        <f t="shared" si="54"/>
        <v>4.0999999999999996</v>
      </c>
      <c r="AB325" s="260">
        <f t="shared" si="54"/>
        <v>4.0999999999999996</v>
      </c>
      <c r="AC325" s="76"/>
      <c r="AD325" s="76"/>
      <c r="AE325" s="76"/>
      <c r="AF325" s="97">
        <v>1</v>
      </c>
      <c r="AG325" s="97">
        <v>1</v>
      </c>
      <c r="AH325" s="73"/>
      <c r="AI325" s="57"/>
      <c r="AJ325" s="45"/>
      <c r="AK325" s="45"/>
      <c r="AL325" s="45"/>
    </row>
    <row r="326" spans="1:38" hidden="1" outlineLevel="2" x14ac:dyDescent="0.35">
      <c r="A326" s="45"/>
      <c r="B326" s="54"/>
      <c r="C326" s="47">
        <f t="shared" si="53"/>
        <v>3</v>
      </c>
      <c r="D326" s="73"/>
      <c r="E326" s="70"/>
      <c r="F326" s="70" t="s">
        <v>913</v>
      </c>
      <c r="G326" s="73"/>
      <c r="H326" s="76" t="s">
        <v>914</v>
      </c>
      <c r="I326" s="96" t="s">
        <v>915</v>
      </c>
      <c r="J326" s="96"/>
      <c r="K326" s="97">
        <v>1.3</v>
      </c>
      <c r="L326" s="97">
        <v>1.3</v>
      </c>
      <c r="M326" s="97">
        <v>1.6</v>
      </c>
      <c r="N326" s="97">
        <v>1.6</v>
      </c>
      <c r="O326" s="97">
        <v>1.6</v>
      </c>
      <c r="P326" s="97">
        <v>1.6</v>
      </c>
      <c r="Q326" s="76"/>
      <c r="R326" s="76" t="s">
        <v>524</v>
      </c>
      <c r="S326" s="76" t="s">
        <v>524</v>
      </c>
      <c r="T326" s="76"/>
      <c r="U326" s="260">
        <f t="shared" si="54"/>
        <v>1.3</v>
      </c>
      <c r="V326" s="260">
        <f t="shared" si="54"/>
        <v>1.3</v>
      </c>
      <c r="W326" s="260">
        <f t="shared" si="54"/>
        <v>1.3</v>
      </c>
      <c r="X326" s="260">
        <f t="shared" si="54"/>
        <v>1.3</v>
      </c>
      <c r="Y326" s="260">
        <f t="shared" si="54"/>
        <v>1.3</v>
      </c>
      <c r="Z326" s="260">
        <f t="shared" si="54"/>
        <v>1.3</v>
      </c>
      <c r="AA326" s="260">
        <f t="shared" si="54"/>
        <v>1.3</v>
      </c>
      <c r="AB326" s="260">
        <f t="shared" si="54"/>
        <v>1.3</v>
      </c>
      <c r="AC326" s="76"/>
      <c r="AD326" s="76"/>
      <c r="AE326" s="76"/>
      <c r="AF326" s="97">
        <v>1</v>
      </c>
      <c r="AG326" s="97">
        <v>1</v>
      </c>
      <c r="AH326" s="73"/>
      <c r="AI326" s="57"/>
      <c r="AJ326" s="45"/>
      <c r="AK326" s="45"/>
      <c r="AL326" s="45"/>
    </row>
    <row r="327" spans="1:38" hidden="1" outlineLevel="2" x14ac:dyDescent="0.35">
      <c r="A327" s="45"/>
      <c r="B327" s="54"/>
      <c r="C327" s="47">
        <f t="shared" si="53"/>
        <v>3</v>
      </c>
      <c r="D327" s="73"/>
      <c r="E327" s="70"/>
      <c r="F327" s="70" t="s">
        <v>916</v>
      </c>
      <c r="G327" s="73"/>
      <c r="H327" s="76" t="s">
        <v>917</v>
      </c>
      <c r="I327" s="96" t="s">
        <v>514</v>
      </c>
      <c r="J327" s="96"/>
      <c r="K327" s="97">
        <v>0.5</v>
      </c>
      <c r="L327" s="97">
        <v>0.5</v>
      </c>
      <c r="M327" s="97">
        <v>0.5</v>
      </c>
      <c r="N327" s="97">
        <v>0.5</v>
      </c>
      <c r="O327" s="97">
        <v>0.5</v>
      </c>
      <c r="P327" s="97">
        <v>0.5</v>
      </c>
      <c r="Q327" s="76"/>
      <c r="R327" s="76" t="s">
        <v>524</v>
      </c>
      <c r="S327" s="76" t="s">
        <v>524</v>
      </c>
      <c r="T327" s="76"/>
      <c r="U327" s="260">
        <f t="shared" si="54"/>
        <v>0.5</v>
      </c>
      <c r="V327" s="260">
        <f t="shared" si="54"/>
        <v>0.5</v>
      </c>
      <c r="W327" s="260">
        <f t="shared" si="54"/>
        <v>0.5</v>
      </c>
      <c r="X327" s="260">
        <f t="shared" si="54"/>
        <v>0.5</v>
      </c>
      <c r="Y327" s="260">
        <f t="shared" si="54"/>
        <v>0.5</v>
      </c>
      <c r="Z327" s="260">
        <f t="shared" si="54"/>
        <v>0.5</v>
      </c>
      <c r="AA327" s="260">
        <f t="shared" si="54"/>
        <v>0.5</v>
      </c>
      <c r="AB327" s="260">
        <f t="shared" si="54"/>
        <v>0.5</v>
      </c>
      <c r="AC327" s="76"/>
      <c r="AD327" s="76"/>
      <c r="AE327" s="76"/>
      <c r="AF327" s="97">
        <v>1</v>
      </c>
      <c r="AG327" s="97">
        <v>1</v>
      </c>
      <c r="AH327" s="73"/>
      <c r="AI327" s="57"/>
      <c r="AJ327" s="45"/>
      <c r="AK327" s="45"/>
      <c r="AL327" s="45"/>
    </row>
    <row r="328" spans="1:38" hidden="1" outlineLevel="2" x14ac:dyDescent="0.35">
      <c r="A328" s="45"/>
      <c r="B328" s="54"/>
      <c r="C328" s="47">
        <f t="shared" si="53"/>
        <v>3</v>
      </c>
      <c r="D328" s="73"/>
      <c r="E328" s="70"/>
      <c r="F328" s="70" t="s">
        <v>918</v>
      </c>
      <c r="G328" s="73"/>
      <c r="H328" s="76" t="s">
        <v>919</v>
      </c>
      <c r="I328" s="96" t="s">
        <v>586</v>
      </c>
      <c r="J328" s="96"/>
      <c r="K328" s="97">
        <v>0.7</v>
      </c>
      <c r="L328" s="97">
        <v>0.7</v>
      </c>
      <c r="M328" s="97">
        <v>0.7</v>
      </c>
      <c r="N328" s="97">
        <v>0.7</v>
      </c>
      <c r="O328" s="97">
        <v>0.7</v>
      </c>
      <c r="P328" s="97">
        <v>0.7</v>
      </c>
      <c r="Q328" s="76"/>
      <c r="R328" s="76" t="s">
        <v>524</v>
      </c>
      <c r="S328" s="76" t="s">
        <v>524</v>
      </c>
      <c r="T328" s="76"/>
      <c r="U328" s="260">
        <f t="shared" si="54"/>
        <v>0.7</v>
      </c>
      <c r="V328" s="260">
        <f t="shared" si="54"/>
        <v>0.7</v>
      </c>
      <c r="W328" s="260">
        <f t="shared" si="54"/>
        <v>0.7</v>
      </c>
      <c r="X328" s="260">
        <f t="shared" si="54"/>
        <v>0.7</v>
      </c>
      <c r="Y328" s="260">
        <f t="shared" si="54"/>
        <v>0.7</v>
      </c>
      <c r="Z328" s="260">
        <f t="shared" si="54"/>
        <v>0.7</v>
      </c>
      <c r="AA328" s="260">
        <f t="shared" si="54"/>
        <v>0.7</v>
      </c>
      <c r="AB328" s="260">
        <f t="shared" si="54"/>
        <v>0.7</v>
      </c>
      <c r="AC328" s="76"/>
      <c r="AD328" s="76"/>
      <c r="AE328" s="76"/>
      <c r="AF328" s="97">
        <v>1</v>
      </c>
      <c r="AG328" s="97">
        <v>1</v>
      </c>
      <c r="AH328" s="73"/>
      <c r="AI328" s="57"/>
      <c r="AJ328" s="45"/>
      <c r="AK328" s="45"/>
      <c r="AL328" s="45"/>
    </row>
    <row r="329" spans="1:38" hidden="1" outlineLevel="2" x14ac:dyDescent="0.35">
      <c r="A329" s="45"/>
      <c r="B329" s="54"/>
      <c r="C329" s="47">
        <f t="shared" si="53"/>
        <v>3</v>
      </c>
      <c r="D329" s="73"/>
      <c r="E329" s="70"/>
      <c r="F329" s="70" t="s">
        <v>920</v>
      </c>
      <c r="G329" s="73"/>
      <c r="H329" s="76" t="s">
        <v>921</v>
      </c>
      <c r="I329" s="96" t="s">
        <v>922</v>
      </c>
      <c r="J329" s="96"/>
      <c r="K329" s="97">
        <v>0.15</v>
      </c>
      <c r="L329" s="97">
        <v>0.15</v>
      </c>
      <c r="M329" s="97">
        <v>0.15</v>
      </c>
      <c r="N329" s="97">
        <v>0.15</v>
      </c>
      <c r="O329" s="97">
        <v>0.15</v>
      </c>
      <c r="P329" s="97">
        <v>0.15</v>
      </c>
      <c r="Q329" s="76"/>
      <c r="R329" s="76" t="s">
        <v>524</v>
      </c>
      <c r="S329" s="76" t="s">
        <v>524</v>
      </c>
      <c r="T329" s="76"/>
      <c r="U329" s="260">
        <f t="shared" si="54"/>
        <v>0.15</v>
      </c>
      <c r="V329" s="260">
        <f t="shared" si="54"/>
        <v>0.15</v>
      </c>
      <c r="W329" s="260">
        <f t="shared" si="54"/>
        <v>0.15</v>
      </c>
      <c r="X329" s="260">
        <f t="shared" si="54"/>
        <v>0.15</v>
      </c>
      <c r="Y329" s="260">
        <f t="shared" si="54"/>
        <v>0.15</v>
      </c>
      <c r="Z329" s="260">
        <f t="shared" si="54"/>
        <v>0.15</v>
      </c>
      <c r="AA329" s="260">
        <f t="shared" si="54"/>
        <v>0.15</v>
      </c>
      <c r="AB329" s="260">
        <f t="shared" si="54"/>
        <v>0.15</v>
      </c>
      <c r="AC329" s="76"/>
      <c r="AD329" s="76"/>
      <c r="AE329" s="76"/>
      <c r="AF329" s="97">
        <v>1</v>
      </c>
      <c r="AG329" s="97">
        <v>1</v>
      </c>
      <c r="AH329" s="73"/>
      <c r="AI329" s="57"/>
      <c r="AJ329" s="45"/>
      <c r="AK329" s="45"/>
      <c r="AL329" s="45"/>
    </row>
    <row r="330" spans="1:38" hidden="1" outlineLevel="2" x14ac:dyDescent="0.35">
      <c r="A330" s="45"/>
      <c r="B330" s="54"/>
      <c r="C330" s="47">
        <f t="shared" si="53"/>
        <v>3</v>
      </c>
      <c r="D330" s="73"/>
      <c r="E330" s="70"/>
      <c r="F330" s="70" t="s">
        <v>923</v>
      </c>
      <c r="G330" s="73"/>
      <c r="H330" s="76" t="s">
        <v>924</v>
      </c>
      <c r="I330" s="96" t="s">
        <v>514</v>
      </c>
      <c r="J330" s="96"/>
      <c r="K330" s="97">
        <v>0.48099999999999998</v>
      </c>
      <c r="L330" s="97">
        <v>0.48099999999999998</v>
      </c>
      <c r="M330" s="97">
        <v>0.48099999999999998</v>
      </c>
      <c r="N330" s="97">
        <v>0.48099999999999998</v>
      </c>
      <c r="O330" s="97">
        <v>0.48099999999999998</v>
      </c>
      <c r="P330" s="97">
        <v>0.48099999999999998</v>
      </c>
      <c r="Q330" s="76"/>
      <c r="R330" s="76" t="s">
        <v>524</v>
      </c>
      <c r="S330" s="76" t="s">
        <v>524</v>
      </c>
      <c r="T330" s="76"/>
      <c r="U330" s="260">
        <f t="shared" si="54"/>
        <v>0.48099999999999998</v>
      </c>
      <c r="V330" s="260">
        <f t="shared" si="54"/>
        <v>0.48099999999999998</v>
      </c>
      <c r="W330" s="260">
        <f t="shared" si="54"/>
        <v>0.48099999999999998</v>
      </c>
      <c r="X330" s="260">
        <f t="shared" si="54"/>
        <v>0.48099999999999998</v>
      </c>
      <c r="Y330" s="260">
        <f t="shared" si="54"/>
        <v>0.48099999999999998</v>
      </c>
      <c r="Z330" s="260">
        <f t="shared" si="54"/>
        <v>0.48099999999999998</v>
      </c>
      <c r="AA330" s="260">
        <f t="shared" si="54"/>
        <v>0.48099999999999998</v>
      </c>
      <c r="AB330" s="260">
        <f t="shared" si="54"/>
        <v>0.48099999999999998</v>
      </c>
      <c r="AC330" s="76"/>
      <c r="AD330" s="76"/>
      <c r="AE330" s="76"/>
      <c r="AF330" s="97">
        <v>1</v>
      </c>
      <c r="AG330" s="97">
        <v>1</v>
      </c>
      <c r="AH330" s="73"/>
      <c r="AI330" s="57"/>
      <c r="AJ330" s="45"/>
      <c r="AK330" s="45"/>
      <c r="AL330" s="45"/>
    </row>
    <row r="331" spans="1:38" hidden="1" outlineLevel="2" x14ac:dyDescent="0.35">
      <c r="A331" s="45"/>
      <c r="B331" s="54"/>
      <c r="C331" s="47">
        <f t="shared" si="53"/>
        <v>3</v>
      </c>
      <c r="D331" s="73"/>
      <c r="E331" s="70"/>
      <c r="F331" s="70" t="s">
        <v>925</v>
      </c>
      <c r="G331" s="73"/>
      <c r="H331" s="76" t="s">
        <v>921</v>
      </c>
      <c r="I331" s="96" t="s">
        <v>514</v>
      </c>
      <c r="J331" s="96"/>
      <c r="K331" s="97">
        <v>0.61899999999999999</v>
      </c>
      <c r="L331" s="97">
        <v>0.61899999999999999</v>
      </c>
      <c r="M331" s="97">
        <v>0.61899999999999999</v>
      </c>
      <c r="N331" s="97">
        <v>0.61899999999999999</v>
      </c>
      <c r="O331" s="97">
        <v>0.61899999999999999</v>
      </c>
      <c r="P331" s="97">
        <v>0.61899999999999999</v>
      </c>
      <c r="Q331" s="76"/>
      <c r="R331" s="76" t="s">
        <v>524</v>
      </c>
      <c r="S331" s="76" t="s">
        <v>524</v>
      </c>
      <c r="T331" s="76"/>
      <c r="U331" s="260">
        <f t="shared" si="54"/>
        <v>0.61899999999999999</v>
      </c>
      <c r="V331" s="260">
        <f t="shared" si="54"/>
        <v>0.61899999999999999</v>
      </c>
      <c r="W331" s="260">
        <f t="shared" si="54"/>
        <v>0.61899999999999999</v>
      </c>
      <c r="X331" s="260">
        <f t="shared" si="54"/>
        <v>0.61899999999999999</v>
      </c>
      <c r="Y331" s="260">
        <f t="shared" si="54"/>
        <v>0.61899999999999999</v>
      </c>
      <c r="Z331" s="260">
        <f t="shared" si="54"/>
        <v>0.61899999999999999</v>
      </c>
      <c r="AA331" s="260">
        <f t="shared" si="54"/>
        <v>0.61899999999999999</v>
      </c>
      <c r="AB331" s="260">
        <f t="shared" si="54"/>
        <v>0.61899999999999999</v>
      </c>
      <c r="AC331" s="76"/>
      <c r="AD331" s="76"/>
      <c r="AE331" s="76"/>
      <c r="AF331" s="97">
        <v>1</v>
      </c>
      <c r="AG331" s="97">
        <v>1</v>
      </c>
      <c r="AH331" s="73"/>
      <c r="AI331" s="57"/>
      <c r="AJ331" s="45"/>
      <c r="AK331" s="45"/>
      <c r="AL331" s="45"/>
    </row>
    <row r="332" spans="1:38" hidden="1" outlineLevel="2" x14ac:dyDescent="0.35">
      <c r="A332" s="45"/>
      <c r="B332" s="54"/>
      <c r="C332" s="47">
        <f t="shared" si="53"/>
        <v>3</v>
      </c>
      <c r="D332" s="73"/>
      <c r="E332" s="70"/>
      <c r="F332" s="70" t="s">
        <v>926</v>
      </c>
      <c r="G332" s="73"/>
      <c r="H332" s="76" t="s">
        <v>927</v>
      </c>
      <c r="I332" s="96" t="s">
        <v>915</v>
      </c>
      <c r="J332" s="96"/>
      <c r="K332" s="97">
        <v>1.41</v>
      </c>
      <c r="L332" s="97">
        <v>1.41</v>
      </c>
      <c r="M332" s="97">
        <v>1.1000000000000001</v>
      </c>
      <c r="N332" s="97">
        <v>1.1000000000000001</v>
      </c>
      <c r="O332" s="97">
        <v>1.1000000000000001</v>
      </c>
      <c r="P332" s="97">
        <v>1.1000000000000001</v>
      </c>
      <c r="Q332" s="76"/>
      <c r="R332" s="76" t="s">
        <v>524</v>
      </c>
      <c r="S332" s="76" t="s">
        <v>524</v>
      </c>
      <c r="T332" s="76"/>
      <c r="U332" s="260">
        <f t="shared" si="54"/>
        <v>1.41</v>
      </c>
      <c r="V332" s="260">
        <f t="shared" si="54"/>
        <v>1.41</v>
      </c>
      <c r="W332" s="260">
        <f t="shared" si="54"/>
        <v>1.41</v>
      </c>
      <c r="X332" s="260">
        <f t="shared" si="54"/>
        <v>1.41</v>
      </c>
      <c r="Y332" s="260">
        <f t="shared" si="54"/>
        <v>1.41</v>
      </c>
      <c r="Z332" s="260">
        <f t="shared" si="54"/>
        <v>1.41</v>
      </c>
      <c r="AA332" s="260">
        <f t="shared" si="54"/>
        <v>1.41</v>
      </c>
      <c r="AB332" s="260">
        <f t="shared" si="54"/>
        <v>1.41</v>
      </c>
      <c r="AC332" s="76"/>
      <c r="AD332" s="76"/>
      <c r="AE332" s="76"/>
      <c r="AF332" s="97">
        <v>1</v>
      </c>
      <c r="AG332" s="97">
        <v>1</v>
      </c>
      <c r="AH332" s="73"/>
      <c r="AI332" s="57"/>
      <c r="AJ332" s="45"/>
      <c r="AK332" s="45"/>
      <c r="AL332" s="45"/>
    </row>
    <row r="333" spans="1:38" hidden="1" outlineLevel="2" x14ac:dyDescent="0.35">
      <c r="A333" s="45"/>
      <c r="B333" s="54"/>
      <c r="C333" s="47">
        <f t="shared" si="53"/>
        <v>3</v>
      </c>
      <c r="D333" s="73"/>
      <c r="E333" s="70"/>
      <c r="F333" s="70" t="s">
        <v>928</v>
      </c>
      <c r="G333" s="73"/>
      <c r="H333" s="76" t="s">
        <v>921</v>
      </c>
      <c r="I333" s="96" t="s">
        <v>514</v>
      </c>
      <c r="J333" s="96"/>
      <c r="K333" s="97">
        <v>0.32200000000000001</v>
      </c>
      <c r="L333" s="97">
        <v>0.32200000000000001</v>
      </c>
      <c r="M333" s="97">
        <v>0.32200000000000001</v>
      </c>
      <c r="N333" s="97">
        <v>0.32200000000000001</v>
      </c>
      <c r="O333" s="97">
        <v>0.32200000000000001</v>
      </c>
      <c r="P333" s="97">
        <v>0.32200000000000001</v>
      </c>
      <c r="Q333" s="76"/>
      <c r="R333" s="76" t="s">
        <v>929</v>
      </c>
      <c r="S333" s="76" t="s">
        <v>524</v>
      </c>
      <c r="T333" s="76"/>
      <c r="U333" s="260">
        <f t="shared" si="54"/>
        <v>0.32200000000000001</v>
      </c>
      <c r="V333" s="260">
        <f t="shared" si="54"/>
        <v>0.32200000000000001</v>
      </c>
      <c r="W333" s="260">
        <f t="shared" si="54"/>
        <v>0.32200000000000001</v>
      </c>
      <c r="X333" s="260">
        <f t="shared" si="54"/>
        <v>0.32200000000000001</v>
      </c>
      <c r="Y333" s="260">
        <f t="shared" si="54"/>
        <v>0.32200000000000001</v>
      </c>
      <c r="Z333" s="260">
        <f t="shared" si="54"/>
        <v>0.32200000000000001</v>
      </c>
      <c r="AA333" s="260">
        <f t="shared" si="54"/>
        <v>0.32200000000000001</v>
      </c>
      <c r="AB333" s="260">
        <f t="shared" si="54"/>
        <v>0.32200000000000001</v>
      </c>
      <c r="AC333" s="76"/>
      <c r="AD333" s="76"/>
      <c r="AE333" s="76"/>
      <c r="AF333" s="97">
        <v>1</v>
      </c>
      <c r="AG333" s="97">
        <v>1</v>
      </c>
      <c r="AH333" s="73"/>
      <c r="AI333" s="57"/>
      <c r="AJ333" s="45"/>
      <c r="AK333" s="45"/>
      <c r="AL333" s="45"/>
    </row>
    <row r="334" spans="1:38" hidden="1" outlineLevel="2" x14ac:dyDescent="0.35">
      <c r="A334" s="45"/>
      <c r="B334" s="54"/>
      <c r="C334" s="47">
        <f t="shared" si="53"/>
        <v>3</v>
      </c>
      <c r="D334" s="73"/>
      <c r="E334" s="70"/>
      <c r="F334" s="70" t="s">
        <v>930</v>
      </c>
      <c r="G334" s="73"/>
      <c r="H334" s="76" t="s">
        <v>931</v>
      </c>
      <c r="I334" s="96" t="s">
        <v>549</v>
      </c>
      <c r="J334" s="96"/>
      <c r="K334" s="97">
        <v>39</v>
      </c>
      <c r="L334" s="97">
        <v>39</v>
      </c>
      <c r="M334" s="97">
        <v>39</v>
      </c>
      <c r="N334" s="97">
        <v>39</v>
      </c>
      <c r="O334" s="97">
        <v>39</v>
      </c>
      <c r="P334" s="97">
        <v>39</v>
      </c>
      <c r="Q334" s="76"/>
      <c r="R334" s="76" t="s">
        <v>524</v>
      </c>
      <c r="S334" s="76" t="s">
        <v>524</v>
      </c>
      <c r="T334" s="76"/>
      <c r="U334" s="260">
        <f t="shared" si="54"/>
        <v>39</v>
      </c>
      <c r="V334" s="260">
        <f t="shared" si="54"/>
        <v>39</v>
      </c>
      <c r="W334" s="260">
        <f t="shared" si="54"/>
        <v>39</v>
      </c>
      <c r="X334" s="260">
        <f t="shared" si="54"/>
        <v>39</v>
      </c>
      <c r="Y334" s="260">
        <f t="shared" si="54"/>
        <v>39</v>
      </c>
      <c r="Z334" s="260">
        <f t="shared" si="54"/>
        <v>39</v>
      </c>
      <c r="AA334" s="260">
        <f t="shared" si="54"/>
        <v>39</v>
      </c>
      <c r="AB334" s="260">
        <f t="shared" si="54"/>
        <v>39</v>
      </c>
      <c r="AC334" s="76"/>
      <c r="AD334" s="76"/>
      <c r="AE334" s="76"/>
      <c r="AF334" s="97">
        <v>1</v>
      </c>
      <c r="AG334" s="97">
        <v>1</v>
      </c>
      <c r="AH334" s="73"/>
      <c r="AI334" s="57"/>
      <c r="AJ334" s="45"/>
      <c r="AK334" s="45"/>
      <c r="AL334" s="45"/>
    </row>
    <row r="335" spans="1:38" hidden="1" outlineLevel="2" x14ac:dyDescent="0.35">
      <c r="A335" s="45"/>
      <c r="B335" s="54"/>
      <c r="C335" s="47">
        <f t="shared" si="53"/>
        <v>3</v>
      </c>
      <c r="D335" s="73"/>
      <c r="E335" s="70"/>
      <c r="F335" s="70" t="s">
        <v>932</v>
      </c>
      <c r="G335" s="73"/>
      <c r="H335" s="76" t="s">
        <v>2914</v>
      </c>
      <c r="I335" s="96" t="s">
        <v>933</v>
      </c>
      <c r="J335" s="96"/>
      <c r="K335" s="97">
        <v>1.3</v>
      </c>
      <c r="L335" s="97">
        <v>1.3</v>
      </c>
      <c r="M335" s="97">
        <v>1.5</v>
      </c>
      <c r="N335" s="97">
        <v>1.5</v>
      </c>
      <c r="O335" s="97">
        <v>1.5</v>
      </c>
      <c r="P335" s="97">
        <v>1.5</v>
      </c>
      <c r="Q335" s="76"/>
      <c r="R335" s="76" t="s">
        <v>524</v>
      </c>
      <c r="S335" s="76" t="s">
        <v>524</v>
      </c>
      <c r="T335" s="76"/>
      <c r="U335" s="260">
        <f t="shared" si="54"/>
        <v>1.3</v>
      </c>
      <c r="V335" s="260">
        <f t="shared" si="54"/>
        <v>1.3</v>
      </c>
      <c r="W335" s="260">
        <f t="shared" si="54"/>
        <v>1.3</v>
      </c>
      <c r="X335" s="260">
        <f t="shared" si="54"/>
        <v>1.3</v>
      </c>
      <c r="Y335" s="260">
        <f t="shared" si="54"/>
        <v>1.3</v>
      </c>
      <c r="Z335" s="260">
        <f t="shared" si="54"/>
        <v>1.3</v>
      </c>
      <c r="AA335" s="260">
        <f t="shared" si="54"/>
        <v>1.3</v>
      </c>
      <c r="AB335" s="260">
        <f t="shared" si="54"/>
        <v>1.3</v>
      </c>
      <c r="AC335" s="76"/>
      <c r="AD335" s="76"/>
      <c r="AE335" s="76"/>
      <c r="AF335" s="97">
        <v>1</v>
      </c>
      <c r="AG335" s="97">
        <v>1</v>
      </c>
      <c r="AH335" s="73"/>
      <c r="AI335" s="57"/>
      <c r="AJ335" s="45"/>
      <c r="AK335" s="45"/>
      <c r="AL335" s="45"/>
    </row>
    <row r="336" spans="1:38" hidden="1" outlineLevel="2" x14ac:dyDescent="0.35">
      <c r="A336" s="45"/>
      <c r="B336" s="54"/>
      <c r="C336" s="47">
        <f t="shared" si="53"/>
        <v>3</v>
      </c>
      <c r="D336" s="73"/>
      <c r="E336" s="70"/>
      <c r="F336" s="70" t="s">
        <v>934</v>
      </c>
      <c r="G336" s="73"/>
      <c r="H336" s="76" t="s">
        <v>935</v>
      </c>
      <c r="I336" s="96" t="s">
        <v>549</v>
      </c>
      <c r="J336" s="96"/>
      <c r="K336" s="97">
        <v>5</v>
      </c>
      <c r="L336" s="97">
        <v>5</v>
      </c>
      <c r="M336" s="97">
        <v>5</v>
      </c>
      <c r="N336" s="97">
        <v>5</v>
      </c>
      <c r="O336" s="97">
        <v>5</v>
      </c>
      <c r="P336" s="97">
        <v>5</v>
      </c>
      <c r="Q336" s="76"/>
      <c r="R336" s="76" t="s">
        <v>524</v>
      </c>
      <c r="S336" s="76" t="s">
        <v>524</v>
      </c>
      <c r="T336" s="76"/>
      <c r="U336" s="260">
        <f t="shared" si="54"/>
        <v>5</v>
      </c>
      <c r="V336" s="260">
        <f t="shared" si="54"/>
        <v>5</v>
      </c>
      <c r="W336" s="260">
        <f t="shared" si="54"/>
        <v>5</v>
      </c>
      <c r="X336" s="260">
        <f t="shared" si="54"/>
        <v>5</v>
      </c>
      <c r="Y336" s="260">
        <f t="shared" si="54"/>
        <v>5</v>
      </c>
      <c r="Z336" s="260">
        <f t="shared" si="54"/>
        <v>5</v>
      </c>
      <c r="AA336" s="260">
        <f t="shared" si="54"/>
        <v>5</v>
      </c>
      <c r="AB336" s="260">
        <f t="shared" si="54"/>
        <v>5</v>
      </c>
      <c r="AC336" s="76"/>
      <c r="AD336" s="76"/>
      <c r="AE336" s="76"/>
      <c r="AF336" s="97">
        <v>1</v>
      </c>
      <c r="AG336" s="97">
        <v>1</v>
      </c>
      <c r="AH336" s="73"/>
      <c r="AI336" s="57"/>
      <c r="AJ336" s="45"/>
      <c r="AK336" s="45"/>
      <c r="AL336" s="45"/>
    </row>
    <row r="337" spans="1:38" hidden="1" outlineLevel="2" x14ac:dyDescent="0.35">
      <c r="A337" s="45"/>
      <c r="B337" s="54"/>
      <c r="C337" s="47">
        <f t="shared" si="53"/>
        <v>3</v>
      </c>
      <c r="D337" s="73"/>
      <c r="E337" s="70"/>
      <c r="F337" s="70" t="s">
        <v>936</v>
      </c>
      <c r="G337" s="73"/>
      <c r="H337" s="76" t="s">
        <v>937</v>
      </c>
      <c r="I337" s="96" t="s">
        <v>938</v>
      </c>
      <c r="J337" s="96"/>
      <c r="K337" s="97">
        <v>0.15</v>
      </c>
      <c r="L337" s="97">
        <v>0.15</v>
      </c>
      <c r="M337" s="97">
        <v>0.15</v>
      </c>
      <c r="N337" s="97">
        <v>0.15</v>
      </c>
      <c r="O337" s="97">
        <v>0.15</v>
      </c>
      <c r="P337" s="97">
        <v>0.15</v>
      </c>
      <c r="Q337" s="76"/>
      <c r="R337" s="76" t="s">
        <v>524</v>
      </c>
      <c r="S337" s="76" t="s">
        <v>524</v>
      </c>
      <c r="T337" s="76"/>
      <c r="U337" s="260">
        <f t="shared" si="54"/>
        <v>0.15</v>
      </c>
      <c r="V337" s="260">
        <f t="shared" si="54"/>
        <v>0.15</v>
      </c>
      <c r="W337" s="260">
        <f t="shared" si="54"/>
        <v>0.15</v>
      </c>
      <c r="X337" s="260">
        <f t="shared" si="54"/>
        <v>0.15</v>
      </c>
      <c r="Y337" s="260">
        <f t="shared" si="54"/>
        <v>0.15</v>
      </c>
      <c r="Z337" s="260">
        <f t="shared" si="54"/>
        <v>0.15</v>
      </c>
      <c r="AA337" s="260">
        <f t="shared" si="54"/>
        <v>0.15</v>
      </c>
      <c r="AB337" s="260">
        <f t="shared" si="54"/>
        <v>0.15</v>
      </c>
      <c r="AC337" s="76"/>
      <c r="AD337" s="76"/>
      <c r="AE337" s="76"/>
      <c r="AF337" s="97">
        <v>1</v>
      </c>
      <c r="AG337" s="97">
        <v>1</v>
      </c>
      <c r="AH337" s="73"/>
      <c r="AI337" s="57"/>
      <c r="AJ337" s="45"/>
      <c r="AK337" s="45"/>
      <c r="AL337" s="45"/>
    </row>
    <row r="338" spans="1:38" hidden="1" outlineLevel="2" x14ac:dyDescent="0.35">
      <c r="A338" s="45"/>
      <c r="B338" s="54"/>
      <c r="C338" s="47">
        <f t="shared" si="53"/>
        <v>3</v>
      </c>
      <c r="D338" s="73"/>
      <c r="E338" s="70"/>
      <c r="F338" s="70" t="s">
        <v>939</v>
      </c>
      <c r="G338" s="73"/>
      <c r="H338" s="76" t="s">
        <v>937</v>
      </c>
      <c r="I338" s="96" t="s">
        <v>549</v>
      </c>
      <c r="J338" s="96"/>
      <c r="K338" s="97">
        <v>10</v>
      </c>
      <c r="L338" s="97">
        <v>10</v>
      </c>
      <c r="M338" s="97">
        <v>10</v>
      </c>
      <c r="N338" s="97">
        <v>10</v>
      </c>
      <c r="O338" s="97">
        <v>10</v>
      </c>
      <c r="P338" s="97">
        <v>10</v>
      </c>
      <c r="Q338" s="76"/>
      <c r="R338" s="76" t="s">
        <v>524</v>
      </c>
      <c r="S338" s="76" t="s">
        <v>524</v>
      </c>
      <c r="T338" s="76"/>
      <c r="U338" s="260">
        <f t="shared" si="54"/>
        <v>10</v>
      </c>
      <c r="V338" s="260">
        <f t="shared" si="54"/>
        <v>10</v>
      </c>
      <c r="W338" s="260">
        <f t="shared" si="54"/>
        <v>10</v>
      </c>
      <c r="X338" s="260">
        <f t="shared" si="54"/>
        <v>10</v>
      </c>
      <c r="Y338" s="260">
        <f t="shared" si="54"/>
        <v>10</v>
      </c>
      <c r="Z338" s="260">
        <f t="shared" si="54"/>
        <v>10</v>
      </c>
      <c r="AA338" s="260">
        <f t="shared" si="54"/>
        <v>10</v>
      </c>
      <c r="AB338" s="260">
        <f t="shared" si="54"/>
        <v>10</v>
      </c>
      <c r="AC338" s="76"/>
      <c r="AD338" s="76"/>
      <c r="AE338" s="76"/>
      <c r="AF338" s="97">
        <v>1</v>
      </c>
      <c r="AG338" s="97">
        <v>1</v>
      </c>
      <c r="AH338" s="73"/>
      <c r="AI338" s="57"/>
      <c r="AJ338" s="45"/>
      <c r="AK338" s="45"/>
      <c r="AL338" s="45"/>
    </row>
    <row r="339" spans="1:38" hidden="1" outlineLevel="2" x14ac:dyDescent="0.35">
      <c r="A339" s="45"/>
      <c r="B339" s="54"/>
      <c r="C339" s="47">
        <f t="shared" si="53"/>
        <v>3</v>
      </c>
      <c r="D339" s="73"/>
      <c r="E339" s="70"/>
      <c r="F339" s="70" t="s">
        <v>940</v>
      </c>
      <c r="G339" s="73"/>
      <c r="H339" s="76" t="s">
        <v>941</v>
      </c>
      <c r="I339" s="96" t="s">
        <v>942</v>
      </c>
      <c r="J339" s="96"/>
      <c r="K339" s="97">
        <v>0.38</v>
      </c>
      <c r="L339" s="97">
        <v>0.38</v>
      </c>
      <c r="M339" s="97">
        <v>0.38</v>
      </c>
      <c r="N339" s="97">
        <v>0.38</v>
      </c>
      <c r="O339" s="97">
        <v>0.38</v>
      </c>
      <c r="P339" s="97">
        <v>0.38</v>
      </c>
      <c r="Q339" s="76"/>
      <c r="R339" s="76" t="s">
        <v>524</v>
      </c>
      <c r="S339" s="76" t="s">
        <v>524</v>
      </c>
      <c r="T339" s="76"/>
      <c r="U339" s="260">
        <f t="shared" si="54"/>
        <v>0.38</v>
      </c>
      <c r="V339" s="260">
        <f t="shared" si="54"/>
        <v>0.38</v>
      </c>
      <c r="W339" s="260">
        <f t="shared" si="54"/>
        <v>0.38</v>
      </c>
      <c r="X339" s="260">
        <f t="shared" si="54"/>
        <v>0.38</v>
      </c>
      <c r="Y339" s="260">
        <f t="shared" si="54"/>
        <v>0.38</v>
      </c>
      <c r="Z339" s="260">
        <f t="shared" si="54"/>
        <v>0.38</v>
      </c>
      <c r="AA339" s="260">
        <f t="shared" si="54"/>
        <v>0.38</v>
      </c>
      <c r="AB339" s="260">
        <f t="shared" si="54"/>
        <v>0.38</v>
      </c>
      <c r="AC339" s="76"/>
      <c r="AD339" s="76"/>
      <c r="AE339" s="76"/>
      <c r="AF339" s="97">
        <v>1</v>
      </c>
      <c r="AG339" s="97">
        <v>1</v>
      </c>
      <c r="AH339" s="73"/>
      <c r="AI339" s="57"/>
      <c r="AJ339" s="45"/>
      <c r="AK339" s="45"/>
      <c r="AL339" s="45"/>
    </row>
    <row r="340" spans="1:38" outlineLevel="1" x14ac:dyDescent="0.35">
      <c r="A340" s="45"/>
      <c r="B340" s="54"/>
      <c r="C340" s="47">
        <f>INT($C$29)+1</f>
        <v>2</v>
      </c>
      <c r="D340" s="73"/>
      <c r="E340" s="70"/>
      <c r="F340" s="263" t="s">
        <v>943</v>
      </c>
      <c r="G340" s="73"/>
      <c r="H340" s="253" t="s">
        <v>944</v>
      </c>
      <c r="I340" s="96"/>
      <c r="J340" s="96" t="s">
        <v>531</v>
      </c>
      <c r="K340" s="76"/>
      <c r="L340" s="76"/>
      <c r="M340" s="76"/>
      <c r="N340" s="76"/>
      <c r="O340" s="76"/>
      <c r="P340" s="76"/>
      <c r="Q340" s="76"/>
      <c r="R340" s="76"/>
      <c r="S340" s="76"/>
      <c r="T340" s="76"/>
      <c r="U340" s="79">
        <v>38</v>
      </c>
      <c r="V340" s="76"/>
      <c r="W340" s="79">
        <v>0</v>
      </c>
      <c r="X340" s="76"/>
      <c r="Y340" s="76"/>
      <c r="Z340" s="76"/>
      <c r="AA340" s="76"/>
      <c r="AB340" s="76"/>
      <c r="AC340" s="76"/>
      <c r="AD340" s="76"/>
      <c r="AE340" s="76"/>
      <c r="AF340" s="76"/>
      <c r="AG340" s="76"/>
      <c r="AH340" s="73"/>
      <c r="AI340" s="57"/>
      <c r="AJ340" s="45"/>
      <c r="AK340" s="45"/>
      <c r="AL340" s="45"/>
    </row>
    <row r="341" spans="1:38" outlineLevel="3" x14ac:dyDescent="0.35">
      <c r="A341" s="45"/>
      <c r="B341" s="54"/>
      <c r="C341" s="47">
        <f>INT($C$29)+3</f>
        <v>4</v>
      </c>
      <c r="D341" s="73"/>
      <c r="E341" s="70" t="s">
        <v>945</v>
      </c>
      <c r="F341" s="70" t="s">
        <v>946</v>
      </c>
      <c r="G341" s="73"/>
      <c r="H341" s="76" t="s">
        <v>507</v>
      </c>
      <c r="I341" s="96"/>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35">
      <c r="A342" s="45"/>
      <c r="B342" s="54"/>
      <c r="C342" s="47">
        <f t="shared" ref="C342:C378" si="55">INT($C$29)+2</f>
        <v>3</v>
      </c>
      <c r="D342" s="73"/>
      <c r="E342" s="70"/>
      <c r="F342" s="70" t="s">
        <v>947</v>
      </c>
      <c r="G342" s="73"/>
      <c r="H342" s="76" t="s">
        <v>948</v>
      </c>
      <c r="I342" s="96" t="s">
        <v>586</v>
      </c>
      <c r="J342" s="96"/>
      <c r="K342" s="97">
        <v>0.6</v>
      </c>
      <c r="L342" s="97">
        <v>0.6</v>
      </c>
      <c r="M342" s="97">
        <v>0.6</v>
      </c>
      <c r="N342" s="97">
        <v>0.6</v>
      </c>
      <c r="O342" s="97">
        <v>0.6</v>
      </c>
      <c r="P342" s="97">
        <v>0.6</v>
      </c>
      <c r="Q342" s="76"/>
      <c r="R342" s="76" t="s">
        <v>524</v>
      </c>
      <c r="S342" s="76" t="s">
        <v>524</v>
      </c>
      <c r="T342" s="76"/>
      <c r="U342" s="260">
        <f t="shared" ref="U342:AB356" si="56">INDEX($K342:$Q342,1,U$43)</f>
        <v>0.6</v>
      </c>
      <c r="V342" s="260">
        <f t="shared" si="56"/>
        <v>0.6</v>
      </c>
      <c r="W342" s="260">
        <f t="shared" si="56"/>
        <v>0.6</v>
      </c>
      <c r="X342" s="260">
        <f t="shared" si="56"/>
        <v>0.6</v>
      </c>
      <c r="Y342" s="260">
        <f t="shared" si="56"/>
        <v>0.6</v>
      </c>
      <c r="Z342" s="260">
        <f t="shared" si="56"/>
        <v>0.6</v>
      </c>
      <c r="AA342" s="260">
        <f t="shared" si="56"/>
        <v>0.6</v>
      </c>
      <c r="AB342" s="260">
        <f t="shared" si="56"/>
        <v>0.6</v>
      </c>
      <c r="AC342" s="76"/>
      <c r="AD342" s="76"/>
      <c r="AE342" s="76"/>
      <c r="AF342" s="97">
        <v>1</v>
      </c>
      <c r="AG342" s="97">
        <v>1</v>
      </c>
      <c r="AH342" s="73"/>
      <c r="AI342" s="57"/>
      <c r="AJ342" s="45"/>
      <c r="AK342" s="45"/>
      <c r="AL342" s="45"/>
    </row>
    <row r="343" spans="1:38" outlineLevel="2" x14ac:dyDescent="0.35">
      <c r="A343" s="45"/>
      <c r="B343" s="54"/>
      <c r="C343" s="47">
        <f t="shared" si="55"/>
        <v>3</v>
      </c>
      <c r="D343" s="73"/>
      <c r="E343" s="70"/>
      <c r="F343" s="70" t="s">
        <v>949</v>
      </c>
      <c r="G343" s="73"/>
      <c r="H343" s="76" t="s">
        <v>950</v>
      </c>
      <c r="I343" s="96" t="s">
        <v>586</v>
      </c>
      <c r="J343" s="96"/>
      <c r="K343" s="97">
        <v>0.7</v>
      </c>
      <c r="L343" s="97">
        <v>0.7</v>
      </c>
      <c r="M343" s="97">
        <v>0.7</v>
      </c>
      <c r="N343" s="97">
        <v>0.7</v>
      </c>
      <c r="O343" s="97">
        <v>0.7</v>
      </c>
      <c r="P343" s="97">
        <v>0.7</v>
      </c>
      <c r="Q343" s="76"/>
      <c r="R343" s="76" t="s">
        <v>524</v>
      </c>
      <c r="S343" s="76" t="s">
        <v>524</v>
      </c>
      <c r="T343" s="76"/>
      <c r="U343" s="260">
        <f t="shared" si="56"/>
        <v>0.7</v>
      </c>
      <c r="V343" s="260">
        <f t="shared" si="56"/>
        <v>0.7</v>
      </c>
      <c r="W343" s="260">
        <f t="shared" si="56"/>
        <v>0.7</v>
      </c>
      <c r="X343" s="260">
        <f t="shared" si="56"/>
        <v>0.7</v>
      </c>
      <c r="Y343" s="260">
        <f t="shared" si="56"/>
        <v>0.7</v>
      </c>
      <c r="Z343" s="260">
        <f t="shared" si="56"/>
        <v>0.7</v>
      </c>
      <c r="AA343" s="260">
        <f t="shared" si="56"/>
        <v>0.7</v>
      </c>
      <c r="AB343" s="260">
        <f t="shared" si="56"/>
        <v>0.7</v>
      </c>
      <c r="AC343" s="76"/>
      <c r="AD343" s="76"/>
      <c r="AE343" s="76"/>
      <c r="AF343" s="97">
        <v>1</v>
      </c>
      <c r="AG343" s="97">
        <v>1</v>
      </c>
      <c r="AH343" s="73"/>
      <c r="AI343" s="57"/>
      <c r="AJ343" s="45"/>
      <c r="AK343" s="45"/>
      <c r="AL343" s="45"/>
    </row>
    <row r="344" spans="1:38" outlineLevel="2" x14ac:dyDescent="0.35">
      <c r="A344" s="45"/>
      <c r="B344" s="54"/>
      <c r="C344" s="47">
        <f t="shared" si="55"/>
        <v>3</v>
      </c>
      <c r="D344" s="73"/>
      <c r="E344" s="70"/>
      <c r="F344" s="70" t="s">
        <v>951</v>
      </c>
      <c r="G344" s="73"/>
      <c r="H344" s="76" t="s">
        <v>952</v>
      </c>
      <c r="I344" s="96" t="s">
        <v>586</v>
      </c>
      <c r="J344" s="96"/>
      <c r="K344" s="97">
        <v>0.8</v>
      </c>
      <c r="L344" s="97">
        <v>0.8</v>
      </c>
      <c r="M344" s="97">
        <v>0.8</v>
      </c>
      <c r="N344" s="97">
        <v>0.8</v>
      </c>
      <c r="O344" s="97">
        <v>0.8</v>
      </c>
      <c r="P344" s="97">
        <v>0.8</v>
      </c>
      <c r="Q344" s="76"/>
      <c r="R344" s="76" t="s">
        <v>524</v>
      </c>
      <c r="S344" s="76" t="s">
        <v>524</v>
      </c>
      <c r="T344" s="76"/>
      <c r="U344" s="260">
        <f t="shared" si="56"/>
        <v>0.8</v>
      </c>
      <c r="V344" s="260">
        <f t="shared" si="56"/>
        <v>0.8</v>
      </c>
      <c r="W344" s="260">
        <f t="shared" si="56"/>
        <v>0.8</v>
      </c>
      <c r="X344" s="260">
        <f t="shared" si="56"/>
        <v>0.8</v>
      </c>
      <c r="Y344" s="260">
        <f t="shared" si="56"/>
        <v>0.8</v>
      </c>
      <c r="Z344" s="260">
        <f t="shared" si="56"/>
        <v>0.8</v>
      </c>
      <c r="AA344" s="260">
        <f t="shared" si="56"/>
        <v>0.8</v>
      </c>
      <c r="AB344" s="260">
        <f t="shared" si="56"/>
        <v>0.8</v>
      </c>
      <c r="AC344" s="76"/>
      <c r="AD344" s="76"/>
      <c r="AE344" s="76"/>
      <c r="AF344" s="97">
        <v>1</v>
      </c>
      <c r="AG344" s="97">
        <v>1</v>
      </c>
      <c r="AH344" s="73"/>
      <c r="AI344" s="57"/>
      <c r="AJ344" s="45"/>
      <c r="AK344" s="45"/>
      <c r="AL344" s="45"/>
    </row>
    <row r="345" spans="1:38" outlineLevel="2" x14ac:dyDescent="0.35">
      <c r="A345" s="45"/>
      <c r="B345" s="54"/>
      <c r="C345" s="47">
        <f t="shared" si="55"/>
        <v>3</v>
      </c>
      <c r="D345" s="73"/>
      <c r="E345" s="70"/>
      <c r="F345" s="70" t="s">
        <v>953</v>
      </c>
      <c r="G345" s="73"/>
      <c r="H345" s="76" t="s">
        <v>954</v>
      </c>
      <c r="I345" s="96" t="s">
        <v>514</v>
      </c>
      <c r="J345" s="96"/>
      <c r="K345" s="97">
        <v>6</v>
      </c>
      <c r="L345" s="97">
        <v>6</v>
      </c>
      <c r="M345" s="97">
        <v>6</v>
      </c>
      <c r="N345" s="97">
        <v>6</v>
      </c>
      <c r="O345" s="97">
        <v>6</v>
      </c>
      <c r="P345" s="97">
        <v>6</v>
      </c>
      <c r="Q345" s="76"/>
      <c r="R345" s="76" t="s">
        <v>524</v>
      </c>
      <c r="S345" s="76" t="s">
        <v>524</v>
      </c>
      <c r="T345" s="76"/>
      <c r="U345" s="260">
        <f t="shared" si="56"/>
        <v>6</v>
      </c>
      <c r="V345" s="260">
        <f t="shared" si="56"/>
        <v>6</v>
      </c>
      <c r="W345" s="260">
        <f t="shared" si="56"/>
        <v>6</v>
      </c>
      <c r="X345" s="260">
        <f t="shared" si="56"/>
        <v>6</v>
      </c>
      <c r="Y345" s="260">
        <f t="shared" si="56"/>
        <v>6</v>
      </c>
      <c r="Z345" s="260">
        <f t="shared" si="56"/>
        <v>6</v>
      </c>
      <c r="AA345" s="260">
        <f t="shared" si="56"/>
        <v>6</v>
      </c>
      <c r="AB345" s="260">
        <f t="shared" si="56"/>
        <v>6</v>
      </c>
      <c r="AC345" s="76"/>
      <c r="AD345" s="76"/>
      <c r="AE345" s="76"/>
      <c r="AF345" s="97">
        <v>1</v>
      </c>
      <c r="AG345" s="97">
        <v>1</v>
      </c>
      <c r="AH345" s="73"/>
      <c r="AI345" s="57"/>
      <c r="AJ345" s="45"/>
      <c r="AK345" s="45"/>
      <c r="AL345" s="45"/>
    </row>
    <row r="346" spans="1:38" outlineLevel="2" x14ac:dyDescent="0.35">
      <c r="A346" s="45"/>
      <c r="B346" s="54"/>
      <c r="C346" s="47">
        <f t="shared" si="55"/>
        <v>3</v>
      </c>
      <c r="D346" s="73"/>
      <c r="E346" s="70"/>
      <c r="F346" s="70" t="s">
        <v>955</v>
      </c>
      <c r="G346" s="73"/>
      <c r="H346" s="76" t="s">
        <v>956</v>
      </c>
      <c r="I346" s="96" t="s">
        <v>514</v>
      </c>
      <c r="J346" s="96"/>
      <c r="K346" s="97">
        <v>0.4</v>
      </c>
      <c r="L346" s="97">
        <v>0.4</v>
      </c>
      <c r="M346" s="97">
        <v>0.4</v>
      </c>
      <c r="N346" s="97">
        <v>0.4</v>
      </c>
      <c r="O346" s="97">
        <v>0.4</v>
      </c>
      <c r="P346" s="97">
        <v>0.4</v>
      </c>
      <c r="Q346" s="76"/>
      <c r="R346" s="76" t="s">
        <v>524</v>
      </c>
      <c r="S346" s="76" t="s">
        <v>524</v>
      </c>
      <c r="T346" s="76"/>
      <c r="U346" s="260">
        <f t="shared" si="56"/>
        <v>0.4</v>
      </c>
      <c r="V346" s="260">
        <f t="shared" si="56"/>
        <v>0.4</v>
      </c>
      <c r="W346" s="260">
        <f t="shared" si="56"/>
        <v>0.4</v>
      </c>
      <c r="X346" s="260">
        <f t="shared" si="56"/>
        <v>0.4</v>
      </c>
      <c r="Y346" s="260">
        <f t="shared" si="56"/>
        <v>0.4</v>
      </c>
      <c r="Z346" s="260">
        <f t="shared" si="56"/>
        <v>0.4</v>
      </c>
      <c r="AA346" s="260">
        <f t="shared" si="56"/>
        <v>0.4</v>
      </c>
      <c r="AB346" s="260">
        <f t="shared" si="56"/>
        <v>0.4</v>
      </c>
      <c r="AC346" s="76"/>
      <c r="AD346" s="76"/>
      <c r="AE346" s="76"/>
      <c r="AF346" s="97">
        <v>1</v>
      </c>
      <c r="AG346" s="97">
        <v>1</v>
      </c>
      <c r="AH346" s="73"/>
      <c r="AI346" s="57"/>
      <c r="AJ346" s="45"/>
      <c r="AK346" s="45"/>
      <c r="AL346" s="45"/>
    </row>
    <row r="347" spans="1:38" outlineLevel="2" x14ac:dyDescent="0.35">
      <c r="A347" s="45"/>
      <c r="B347" s="54"/>
      <c r="C347" s="47">
        <f t="shared" si="55"/>
        <v>3</v>
      </c>
      <c r="D347" s="73"/>
      <c r="E347" s="70"/>
      <c r="F347" s="70" t="s">
        <v>957</v>
      </c>
      <c r="G347" s="73"/>
      <c r="H347" s="76" t="s">
        <v>958</v>
      </c>
      <c r="I347" s="96" t="s">
        <v>607</v>
      </c>
      <c r="J347" s="96"/>
      <c r="K347" s="97">
        <v>0.9</v>
      </c>
      <c r="L347" s="97">
        <v>0.9</v>
      </c>
      <c r="M347" s="97">
        <v>0.9</v>
      </c>
      <c r="N347" s="97">
        <v>0.9</v>
      </c>
      <c r="O347" s="97">
        <v>0.9</v>
      </c>
      <c r="P347" s="97">
        <v>0.9</v>
      </c>
      <c r="Q347" s="76"/>
      <c r="R347" s="76" t="s">
        <v>524</v>
      </c>
      <c r="S347" s="76" t="s">
        <v>524</v>
      </c>
      <c r="T347" s="76"/>
      <c r="U347" s="260">
        <f t="shared" si="56"/>
        <v>0.9</v>
      </c>
      <c r="V347" s="260">
        <f t="shared" si="56"/>
        <v>0.9</v>
      </c>
      <c r="W347" s="260">
        <f t="shared" si="56"/>
        <v>0.9</v>
      </c>
      <c r="X347" s="260">
        <f t="shared" si="56"/>
        <v>0.9</v>
      </c>
      <c r="Y347" s="260">
        <f t="shared" si="56"/>
        <v>0.9</v>
      </c>
      <c r="Z347" s="260">
        <f t="shared" si="56"/>
        <v>0.9</v>
      </c>
      <c r="AA347" s="260">
        <f t="shared" si="56"/>
        <v>0.9</v>
      </c>
      <c r="AB347" s="260">
        <f t="shared" si="56"/>
        <v>0.9</v>
      </c>
      <c r="AC347" s="76"/>
      <c r="AD347" s="76"/>
      <c r="AE347" s="76"/>
      <c r="AF347" s="97">
        <v>1</v>
      </c>
      <c r="AG347" s="97">
        <v>1</v>
      </c>
      <c r="AH347" s="73"/>
      <c r="AI347" s="57"/>
      <c r="AJ347" s="45"/>
      <c r="AK347" s="45"/>
      <c r="AL347" s="45"/>
    </row>
    <row r="348" spans="1:38" outlineLevel="2" x14ac:dyDescent="0.35">
      <c r="A348" s="45"/>
      <c r="B348" s="54"/>
      <c r="C348" s="47">
        <f t="shared" si="55"/>
        <v>3</v>
      </c>
      <c r="D348" s="73"/>
      <c r="E348" s="70"/>
      <c r="F348" s="70" t="s">
        <v>959</v>
      </c>
      <c r="G348" s="73"/>
      <c r="H348" s="76" t="s">
        <v>960</v>
      </c>
      <c r="I348" s="96" t="s">
        <v>607</v>
      </c>
      <c r="J348" s="96"/>
      <c r="K348" s="97">
        <v>0.97</v>
      </c>
      <c r="L348" s="97">
        <v>0.97</v>
      </c>
      <c r="M348" s="97">
        <v>0.97</v>
      </c>
      <c r="N348" s="97">
        <v>0.97</v>
      </c>
      <c r="O348" s="97">
        <v>0.97</v>
      </c>
      <c r="P348" s="97">
        <v>0.97</v>
      </c>
      <c r="Q348" s="76"/>
      <c r="R348" s="76" t="s">
        <v>524</v>
      </c>
      <c r="S348" s="76" t="s">
        <v>524</v>
      </c>
      <c r="T348" s="76"/>
      <c r="U348" s="260">
        <f t="shared" si="56"/>
        <v>0.97</v>
      </c>
      <c r="V348" s="260">
        <f t="shared" si="56"/>
        <v>0.97</v>
      </c>
      <c r="W348" s="260">
        <f t="shared" si="56"/>
        <v>0.97</v>
      </c>
      <c r="X348" s="260">
        <f t="shared" si="56"/>
        <v>0.97</v>
      </c>
      <c r="Y348" s="260">
        <f t="shared" si="56"/>
        <v>0.97</v>
      </c>
      <c r="Z348" s="260">
        <f t="shared" si="56"/>
        <v>0.97</v>
      </c>
      <c r="AA348" s="260">
        <f t="shared" si="56"/>
        <v>0.97</v>
      </c>
      <c r="AB348" s="260">
        <f t="shared" si="56"/>
        <v>0.97</v>
      </c>
      <c r="AC348" s="76"/>
      <c r="AD348" s="76"/>
      <c r="AE348" s="76"/>
      <c r="AF348" s="97">
        <v>1</v>
      </c>
      <c r="AG348" s="97">
        <v>1</v>
      </c>
      <c r="AH348" s="73"/>
      <c r="AI348" s="57"/>
      <c r="AJ348" s="45"/>
      <c r="AK348" s="45"/>
      <c r="AL348" s="45"/>
    </row>
    <row r="349" spans="1:38" outlineLevel="2" x14ac:dyDescent="0.35">
      <c r="A349" s="45"/>
      <c r="B349" s="54"/>
      <c r="C349" s="47">
        <f t="shared" si="55"/>
        <v>3</v>
      </c>
      <c r="D349" s="73"/>
      <c r="E349" s="70"/>
      <c r="F349" s="70" t="s">
        <v>961</v>
      </c>
      <c r="G349" s="73"/>
      <c r="H349" s="76" t="s">
        <v>962</v>
      </c>
      <c r="I349" s="96" t="s">
        <v>607</v>
      </c>
      <c r="J349" s="96"/>
      <c r="K349" s="97">
        <v>27</v>
      </c>
      <c r="L349" s="97">
        <v>27</v>
      </c>
      <c r="M349" s="97">
        <v>27</v>
      </c>
      <c r="N349" s="97">
        <v>23.2</v>
      </c>
      <c r="O349" s="97">
        <v>23.2</v>
      </c>
      <c r="P349" s="97">
        <v>27</v>
      </c>
      <c r="Q349" s="76"/>
      <c r="R349" s="76" t="s">
        <v>524</v>
      </c>
      <c r="S349" s="76" t="s">
        <v>524</v>
      </c>
      <c r="T349" s="76"/>
      <c r="U349" s="260">
        <f t="shared" si="56"/>
        <v>27</v>
      </c>
      <c r="V349" s="260">
        <f t="shared" si="56"/>
        <v>27</v>
      </c>
      <c r="W349" s="260">
        <f t="shared" si="56"/>
        <v>27</v>
      </c>
      <c r="X349" s="260">
        <f t="shared" si="56"/>
        <v>27</v>
      </c>
      <c r="Y349" s="383">
        <f>INDEX($K349:$Q349,1,Y$43)-(20.3-11)</f>
        <v>17.7</v>
      </c>
      <c r="Z349" s="260">
        <f t="shared" si="56"/>
        <v>27</v>
      </c>
      <c r="AA349" s="260">
        <f t="shared" si="56"/>
        <v>27</v>
      </c>
      <c r="AB349" s="383">
        <f>INDEX($K349:$Q349,1,AB$43)-(20.3-11)</f>
        <v>17.7</v>
      </c>
      <c r="AC349" s="323"/>
      <c r="AD349" s="97" t="s">
        <v>2397</v>
      </c>
      <c r="AE349" s="76"/>
      <c r="AF349" s="97">
        <v>1</v>
      </c>
      <c r="AG349" s="97">
        <v>1</v>
      </c>
      <c r="AH349" s="73"/>
      <c r="AI349" s="57"/>
      <c r="AJ349" s="45"/>
      <c r="AK349" s="45"/>
      <c r="AL349" s="45"/>
    </row>
    <row r="350" spans="1:38" outlineLevel="2" x14ac:dyDescent="0.35">
      <c r="A350" s="45"/>
      <c r="B350" s="54"/>
      <c r="C350" s="47">
        <f t="shared" si="55"/>
        <v>3</v>
      </c>
      <c r="D350" s="73"/>
      <c r="E350" s="70"/>
      <c r="F350" s="70" t="s">
        <v>963</v>
      </c>
      <c r="G350" s="73"/>
      <c r="H350" s="76" t="s">
        <v>964</v>
      </c>
      <c r="I350" s="96" t="s">
        <v>607</v>
      </c>
      <c r="J350" s="96"/>
      <c r="K350" s="97">
        <v>20.3</v>
      </c>
      <c r="L350" s="97">
        <v>20.3</v>
      </c>
      <c r="M350" s="97">
        <v>20.3</v>
      </c>
      <c r="N350" s="97">
        <v>16.5</v>
      </c>
      <c r="O350" s="97">
        <v>16.5</v>
      </c>
      <c r="P350" s="97">
        <v>20.3</v>
      </c>
      <c r="Q350" s="76"/>
      <c r="R350" s="76" t="s">
        <v>524</v>
      </c>
      <c r="S350" s="76" t="s">
        <v>524</v>
      </c>
      <c r="T350" s="76"/>
      <c r="U350" s="260">
        <f t="shared" si="56"/>
        <v>20.3</v>
      </c>
      <c r="V350" s="260">
        <f t="shared" si="56"/>
        <v>20.3</v>
      </c>
      <c r="W350" s="260">
        <f t="shared" si="56"/>
        <v>20.3</v>
      </c>
      <c r="X350" s="260">
        <f t="shared" si="56"/>
        <v>20.3</v>
      </c>
      <c r="Y350" s="383">
        <v>11</v>
      </c>
      <c r="Z350" s="260">
        <f t="shared" si="56"/>
        <v>20.3</v>
      </c>
      <c r="AA350" s="260">
        <f t="shared" si="56"/>
        <v>20.3</v>
      </c>
      <c r="AB350" s="383">
        <v>11</v>
      </c>
      <c r="AC350" s="323"/>
      <c r="AD350" s="97" t="s">
        <v>2397</v>
      </c>
      <c r="AE350" s="76"/>
      <c r="AF350" s="97">
        <v>1</v>
      </c>
      <c r="AG350" s="97">
        <v>1</v>
      </c>
      <c r="AH350" s="73"/>
      <c r="AI350" s="57"/>
      <c r="AJ350" s="45"/>
      <c r="AK350" s="45"/>
      <c r="AL350" s="45"/>
    </row>
    <row r="351" spans="1:38" outlineLevel="2" x14ac:dyDescent="0.35">
      <c r="A351" s="45"/>
      <c r="B351" s="54"/>
      <c r="C351" s="47">
        <f t="shared" si="55"/>
        <v>3</v>
      </c>
      <c r="D351" s="73"/>
      <c r="E351" s="70"/>
      <c r="F351" s="70" t="s">
        <v>965</v>
      </c>
      <c r="G351" s="73"/>
      <c r="H351" s="76" t="s">
        <v>966</v>
      </c>
      <c r="I351" s="96" t="s">
        <v>536</v>
      </c>
      <c r="J351" s="96"/>
      <c r="K351" s="97">
        <v>2</v>
      </c>
      <c r="L351" s="97">
        <v>2</v>
      </c>
      <c r="M351" s="97">
        <v>2</v>
      </c>
      <c r="N351" s="97">
        <v>2</v>
      </c>
      <c r="O351" s="97">
        <v>2</v>
      </c>
      <c r="P351" s="97">
        <v>2</v>
      </c>
      <c r="Q351" s="76"/>
      <c r="R351" s="76" t="s">
        <v>524</v>
      </c>
      <c r="S351" s="76" t="s">
        <v>524</v>
      </c>
      <c r="T351" s="76"/>
      <c r="U351" s="260">
        <f t="shared" si="56"/>
        <v>2</v>
      </c>
      <c r="V351" s="260">
        <f t="shared" si="56"/>
        <v>2</v>
      </c>
      <c r="W351" s="260">
        <f t="shared" si="56"/>
        <v>2</v>
      </c>
      <c r="X351" s="260">
        <f t="shared" si="56"/>
        <v>2</v>
      </c>
      <c r="Y351" s="260">
        <f t="shared" si="56"/>
        <v>2</v>
      </c>
      <c r="Z351" s="260">
        <f t="shared" si="56"/>
        <v>2</v>
      </c>
      <c r="AA351" s="260">
        <f t="shared" si="56"/>
        <v>2</v>
      </c>
      <c r="AB351" s="260">
        <f t="shared" si="56"/>
        <v>2</v>
      </c>
      <c r="AC351" s="76"/>
      <c r="AD351" s="76"/>
      <c r="AE351" s="76"/>
      <c r="AF351" s="97">
        <v>1</v>
      </c>
      <c r="AG351" s="97">
        <v>1</v>
      </c>
      <c r="AH351" s="73"/>
      <c r="AI351" s="57"/>
      <c r="AJ351" s="45"/>
      <c r="AK351" s="45"/>
      <c r="AL351" s="45"/>
    </row>
    <row r="352" spans="1:38" outlineLevel="2" x14ac:dyDescent="0.35">
      <c r="A352" s="45"/>
      <c r="B352" s="54"/>
      <c r="C352" s="47">
        <f t="shared" si="55"/>
        <v>3</v>
      </c>
      <c r="D352" s="73"/>
      <c r="E352" s="70"/>
      <c r="F352" s="70" t="s">
        <v>967</v>
      </c>
      <c r="G352" s="73"/>
      <c r="H352" s="76" t="s">
        <v>968</v>
      </c>
      <c r="I352" s="96" t="s">
        <v>514</v>
      </c>
      <c r="J352" s="96"/>
      <c r="K352" s="97">
        <v>13.8</v>
      </c>
      <c r="L352" s="97">
        <v>13.8</v>
      </c>
      <c r="M352" s="97">
        <v>13.8</v>
      </c>
      <c r="N352" s="97">
        <v>13.8</v>
      </c>
      <c r="O352" s="97">
        <v>13.8</v>
      </c>
      <c r="P352" s="97">
        <v>13.8</v>
      </c>
      <c r="Q352" s="76"/>
      <c r="R352" s="76" t="s">
        <v>562</v>
      </c>
      <c r="S352" s="76" t="s">
        <v>562</v>
      </c>
      <c r="T352" s="76"/>
      <c r="U352" s="260">
        <f t="shared" si="56"/>
        <v>13.8</v>
      </c>
      <c r="V352" s="260">
        <f t="shared" si="56"/>
        <v>13.8</v>
      </c>
      <c r="W352" s="260">
        <f t="shared" si="56"/>
        <v>13.8</v>
      </c>
      <c r="X352" s="260">
        <f t="shared" si="56"/>
        <v>13.8</v>
      </c>
      <c r="Y352" s="260">
        <f t="shared" si="56"/>
        <v>13.8</v>
      </c>
      <c r="Z352" s="260">
        <f t="shared" si="56"/>
        <v>13.8</v>
      </c>
      <c r="AA352" s="260">
        <f t="shared" si="56"/>
        <v>13.8</v>
      </c>
      <c r="AB352" s="260">
        <f t="shared" si="56"/>
        <v>13.8</v>
      </c>
      <c r="AC352" s="76"/>
      <c r="AD352" s="76"/>
      <c r="AE352" s="76"/>
      <c r="AF352" s="97">
        <v>1</v>
      </c>
      <c r="AG352" s="97">
        <v>1</v>
      </c>
      <c r="AH352" s="73"/>
      <c r="AI352" s="57"/>
      <c r="AJ352" s="45"/>
      <c r="AK352" s="45"/>
      <c r="AL352" s="45"/>
    </row>
    <row r="353" spans="1:38" outlineLevel="2" x14ac:dyDescent="0.35">
      <c r="A353" s="45"/>
      <c r="B353" s="54"/>
      <c r="C353" s="47">
        <f t="shared" si="55"/>
        <v>3</v>
      </c>
      <c r="D353" s="73"/>
      <c r="E353" s="70"/>
      <c r="F353" s="70" t="s">
        <v>969</v>
      </c>
      <c r="G353" s="73"/>
      <c r="H353" s="76" t="s">
        <v>970</v>
      </c>
      <c r="I353" s="96" t="s">
        <v>514</v>
      </c>
      <c r="J353" s="96"/>
      <c r="K353" s="97">
        <v>7.1999999999999995E-2</v>
      </c>
      <c r="L353" s="97">
        <v>7.1999999999999995E-2</v>
      </c>
      <c r="M353" s="97">
        <v>7.1999999999999995E-2</v>
      </c>
      <c r="N353" s="97">
        <v>9.1999999999999998E-2</v>
      </c>
      <c r="O353" s="97">
        <v>9.1999999999999998E-2</v>
      </c>
      <c r="P353" s="97">
        <v>7.1999999999999995E-2</v>
      </c>
      <c r="Q353" s="76"/>
      <c r="R353" s="76" t="s">
        <v>562</v>
      </c>
      <c r="S353" s="76" t="s">
        <v>562</v>
      </c>
      <c r="T353" s="76"/>
      <c r="U353" s="260">
        <f t="shared" si="56"/>
        <v>7.1999999999999995E-2</v>
      </c>
      <c r="V353" s="260">
        <f t="shared" si="56"/>
        <v>7.1999999999999995E-2</v>
      </c>
      <c r="W353" s="260">
        <f t="shared" si="56"/>
        <v>7.1999999999999995E-2</v>
      </c>
      <c r="X353" s="260">
        <f t="shared" si="56"/>
        <v>7.1999999999999995E-2</v>
      </c>
      <c r="Y353" s="260">
        <f t="shared" si="56"/>
        <v>7.1999999999999995E-2</v>
      </c>
      <c r="Z353" s="260">
        <f t="shared" si="56"/>
        <v>7.1999999999999995E-2</v>
      </c>
      <c r="AA353" s="260">
        <f t="shared" si="56"/>
        <v>7.1999999999999995E-2</v>
      </c>
      <c r="AB353" s="260">
        <f t="shared" si="56"/>
        <v>7.1999999999999995E-2</v>
      </c>
      <c r="AC353" s="76"/>
      <c r="AD353" s="76"/>
      <c r="AE353" s="76"/>
      <c r="AF353" s="97">
        <v>1</v>
      </c>
      <c r="AG353" s="97">
        <v>1</v>
      </c>
      <c r="AH353" s="73"/>
      <c r="AI353" s="57"/>
      <c r="AJ353" s="45"/>
      <c r="AK353" s="45"/>
      <c r="AL353" s="45"/>
    </row>
    <row r="354" spans="1:38" outlineLevel="2" x14ac:dyDescent="0.35">
      <c r="A354" s="45"/>
      <c r="B354" s="54"/>
      <c r="C354" s="47">
        <f t="shared" si="55"/>
        <v>3</v>
      </c>
      <c r="D354" s="73"/>
      <c r="E354" s="70"/>
      <c r="F354" s="70" t="s">
        <v>971</v>
      </c>
      <c r="G354" s="73"/>
      <c r="H354" s="76" t="s">
        <v>972</v>
      </c>
      <c r="I354" s="96" t="s">
        <v>514</v>
      </c>
      <c r="J354" s="96"/>
      <c r="K354" s="97">
        <v>0.14000000000000001</v>
      </c>
      <c r="L354" s="97">
        <v>0.14000000000000001</v>
      </c>
      <c r="M354" s="97">
        <v>0.14000000000000001</v>
      </c>
      <c r="N354" s="97">
        <v>0.12</v>
      </c>
      <c r="O354" s="97">
        <v>0.12</v>
      </c>
      <c r="P354" s="97">
        <v>0.14000000000000001</v>
      </c>
      <c r="Q354" s="76"/>
      <c r="R354" s="76" t="s">
        <v>524</v>
      </c>
      <c r="S354" s="76" t="s">
        <v>524</v>
      </c>
      <c r="T354" s="76"/>
      <c r="U354" s="260">
        <f t="shared" si="56"/>
        <v>0.14000000000000001</v>
      </c>
      <c r="V354" s="260">
        <f t="shared" si="56"/>
        <v>0.14000000000000001</v>
      </c>
      <c r="W354" s="260">
        <f t="shared" si="56"/>
        <v>0.14000000000000001</v>
      </c>
      <c r="X354" s="260">
        <f t="shared" si="56"/>
        <v>0.14000000000000001</v>
      </c>
      <c r="Y354" s="260">
        <f t="shared" si="56"/>
        <v>0.14000000000000001</v>
      </c>
      <c r="Z354" s="260">
        <f t="shared" si="56"/>
        <v>0.14000000000000001</v>
      </c>
      <c r="AA354" s="260">
        <f t="shared" si="56"/>
        <v>0.14000000000000001</v>
      </c>
      <c r="AB354" s="260">
        <f t="shared" si="56"/>
        <v>0.14000000000000001</v>
      </c>
      <c r="AC354" s="76"/>
      <c r="AD354" s="76"/>
      <c r="AE354" s="76"/>
      <c r="AF354" s="97">
        <v>1</v>
      </c>
      <c r="AG354" s="97">
        <v>1</v>
      </c>
      <c r="AH354" s="73"/>
      <c r="AI354" s="57"/>
      <c r="AJ354" s="45"/>
      <c r="AK354" s="45"/>
      <c r="AL354" s="45"/>
    </row>
    <row r="355" spans="1:38" outlineLevel="2" x14ac:dyDescent="0.35">
      <c r="A355" s="45"/>
      <c r="B355" s="54"/>
      <c r="C355" s="47">
        <f t="shared" si="55"/>
        <v>3</v>
      </c>
      <c r="D355" s="73"/>
      <c r="E355" s="70"/>
      <c r="F355" s="70" t="s">
        <v>973</v>
      </c>
      <c r="G355" s="73"/>
      <c r="H355" s="76" t="s">
        <v>974</v>
      </c>
      <c r="I355" s="96" t="s">
        <v>514</v>
      </c>
      <c r="J355" s="96"/>
      <c r="K355" s="97">
        <v>8.0000000000000002E-3</v>
      </c>
      <c r="L355" s="97">
        <v>8.0000000000000002E-3</v>
      </c>
      <c r="M355" s="97">
        <v>8.0000000000000002E-3</v>
      </c>
      <c r="N355" s="97">
        <v>8.0000000000000002E-3</v>
      </c>
      <c r="O355" s="97">
        <v>8.0000000000000002E-3</v>
      </c>
      <c r="P355" s="97">
        <v>8.0000000000000002E-3</v>
      </c>
      <c r="Q355" s="76"/>
      <c r="R355" s="76" t="s">
        <v>524</v>
      </c>
      <c r="S355" s="76" t="s">
        <v>524</v>
      </c>
      <c r="T355" s="76"/>
      <c r="U355" s="260">
        <f t="shared" si="56"/>
        <v>8.0000000000000002E-3</v>
      </c>
      <c r="V355" s="260">
        <f t="shared" si="56"/>
        <v>8.0000000000000002E-3</v>
      </c>
      <c r="W355" s="260">
        <f t="shared" si="56"/>
        <v>8.0000000000000002E-3</v>
      </c>
      <c r="X355" s="260">
        <f t="shared" si="56"/>
        <v>8.0000000000000002E-3</v>
      </c>
      <c r="Y355" s="260">
        <f t="shared" si="56"/>
        <v>8.0000000000000002E-3</v>
      </c>
      <c r="Z355" s="260">
        <f t="shared" si="56"/>
        <v>8.0000000000000002E-3</v>
      </c>
      <c r="AA355" s="260">
        <f t="shared" si="56"/>
        <v>8.0000000000000002E-3</v>
      </c>
      <c r="AB355" s="260">
        <f t="shared" si="56"/>
        <v>8.0000000000000002E-3</v>
      </c>
      <c r="AC355" s="76"/>
      <c r="AD355" s="76"/>
      <c r="AE355" s="76"/>
      <c r="AF355" s="97">
        <v>1</v>
      </c>
      <c r="AG355" s="97">
        <v>1</v>
      </c>
      <c r="AH355" s="73"/>
      <c r="AI355" s="57"/>
      <c r="AJ355" s="45"/>
      <c r="AK355" s="45"/>
      <c r="AL355" s="45"/>
    </row>
    <row r="356" spans="1:38" outlineLevel="2" collapsed="1" x14ac:dyDescent="0.35">
      <c r="A356" s="45"/>
      <c r="B356" s="54"/>
      <c r="C356" s="47">
        <f t="shared" si="55"/>
        <v>3</v>
      </c>
      <c r="D356" s="73"/>
      <c r="E356" s="70"/>
      <c r="F356" s="70" t="s">
        <v>975</v>
      </c>
      <c r="G356" s="73"/>
      <c r="H356" s="76" t="s">
        <v>976</v>
      </c>
      <c r="I356" s="96" t="s">
        <v>514</v>
      </c>
      <c r="J356" s="96"/>
      <c r="K356" s="97">
        <v>0.115</v>
      </c>
      <c r="L356" s="97">
        <v>0.115</v>
      </c>
      <c r="M356" s="97">
        <v>0.115</v>
      </c>
      <c r="N356" s="97">
        <v>0.115</v>
      </c>
      <c r="O356" s="97">
        <v>0.115</v>
      </c>
      <c r="P356" s="97">
        <v>0.115</v>
      </c>
      <c r="Q356" s="76"/>
      <c r="R356" s="76" t="s">
        <v>524</v>
      </c>
      <c r="S356" s="76" t="s">
        <v>524</v>
      </c>
      <c r="T356" s="76"/>
      <c r="U356" s="260">
        <f t="shared" si="56"/>
        <v>0.115</v>
      </c>
      <c r="V356" s="260">
        <f t="shared" si="56"/>
        <v>0.115</v>
      </c>
      <c r="W356" s="260">
        <f t="shared" si="56"/>
        <v>0.115</v>
      </c>
      <c r="X356" s="260">
        <f t="shared" si="56"/>
        <v>0.115</v>
      </c>
      <c r="Y356" s="260">
        <f t="shared" si="56"/>
        <v>0.115</v>
      </c>
      <c r="Z356" s="260">
        <f t="shared" si="56"/>
        <v>0.115</v>
      </c>
      <c r="AA356" s="260">
        <f t="shared" si="56"/>
        <v>0.115</v>
      </c>
      <c r="AB356" s="260">
        <f t="shared" si="56"/>
        <v>0.115</v>
      </c>
      <c r="AC356" s="76"/>
      <c r="AD356" s="76"/>
      <c r="AE356" s="76"/>
      <c r="AF356" s="97">
        <v>1</v>
      </c>
      <c r="AG356" s="97">
        <v>1</v>
      </c>
      <c r="AH356" s="73"/>
      <c r="AI356" s="57"/>
      <c r="AJ356" s="45"/>
      <c r="AK356" s="45"/>
      <c r="AL356" s="45"/>
    </row>
    <row r="357" spans="1:38" hidden="1" outlineLevel="3" x14ac:dyDescent="0.35">
      <c r="A357" s="45"/>
      <c r="B357" s="54"/>
      <c r="C357" s="47">
        <f>INT($C$29)+3</f>
        <v>4</v>
      </c>
      <c r="D357" s="73"/>
      <c r="E357" s="70"/>
      <c r="F357" s="70" t="s">
        <v>977</v>
      </c>
      <c r="G357" s="73"/>
      <c r="H357" s="76" t="s">
        <v>568</v>
      </c>
      <c r="I357" s="96" t="s">
        <v>514</v>
      </c>
      <c r="J357" s="96"/>
      <c r="K357" s="76"/>
      <c r="L357" s="76"/>
      <c r="M357" s="76"/>
      <c r="N357" s="76"/>
      <c r="O357" s="76"/>
      <c r="P357" s="76"/>
      <c r="Q357" s="76"/>
      <c r="R357" s="76"/>
      <c r="S357" s="76"/>
      <c r="T357" s="76"/>
      <c r="U357" s="76"/>
      <c r="V357" s="76"/>
      <c r="W357" s="76"/>
      <c r="X357" s="76"/>
      <c r="Y357" s="76"/>
      <c r="Z357" s="76"/>
      <c r="AA357" s="76"/>
      <c r="AB357" s="76"/>
      <c r="AC357" s="76"/>
      <c r="AD357" s="76"/>
      <c r="AE357" s="76"/>
      <c r="AF357" s="76">
        <v>1</v>
      </c>
      <c r="AG357" s="76">
        <v>1</v>
      </c>
      <c r="AH357" s="73"/>
      <c r="AI357" s="57"/>
      <c r="AJ357" s="45"/>
      <c r="AK357" s="45"/>
      <c r="AL357" s="45"/>
    </row>
    <row r="358" spans="1:38" hidden="1" outlineLevel="3" x14ac:dyDescent="0.35">
      <c r="A358" s="45"/>
      <c r="B358" s="54"/>
      <c r="C358" s="47">
        <f>INT($C$29)+3</f>
        <v>4</v>
      </c>
      <c r="D358" s="73"/>
      <c r="E358" s="70"/>
      <c r="F358" s="70" t="s">
        <v>978</v>
      </c>
      <c r="G358" s="73"/>
      <c r="H358" s="76" t="s">
        <v>568</v>
      </c>
      <c r="I358" s="96" t="s">
        <v>514</v>
      </c>
      <c r="J358" s="96"/>
      <c r="K358" s="76"/>
      <c r="L358" s="76"/>
      <c r="M358" s="76"/>
      <c r="N358" s="76"/>
      <c r="O358" s="76"/>
      <c r="P358" s="76"/>
      <c r="Q358" s="76"/>
      <c r="R358" s="76"/>
      <c r="S358" s="76"/>
      <c r="T358" s="76"/>
      <c r="U358" s="76"/>
      <c r="V358" s="76"/>
      <c r="W358" s="76"/>
      <c r="X358" s="76"/>
      <c r="Y358" s="76"/>
      <c r="Z358" s="76"/>
      <c r="AA358" s="76"/>
      <c r="AB358" s="76"/>
      <c r="AC358" s="76"/>
      <c r="AD358" s="76"/>
      <c r="AE358" s="76"/>
      <c r="AF358" s="76">
        <v>1</v>
      </c>
      <c r="AG358" s="76">
        <v>1</v>
      </c>
      <c r="AH358" s="73"/>
      <c r="AI358" s="57"/>
      <c r="AJ358" s="45"/>
      <c r="AK358" s="45"/>
      <c r="AL358" s="45"/>
    </row>
    <row r="359" spans="1:38" outlineLevel="2" x14ac:dyDescent="0.35">
      <c r="A359" s="45"/>
      <c r="B359" s="54"/>
      <c r="C359" s="47">
        <f t="shared" si="55"/>
        <v>3</v>
      </c>
      <c r="D359" s="73"/>
      <c r="E359" s="70"/>
      <c r="F359" s="70" t="s">
        <v>979</v>
      </c>
      <c r="G359" s="73"/>
      <c r="H359" s="76" t="s">
        <v>980</v>
      </c>
      <c r="I359" s="96" t="s">
        <v>514</v>
      </c>
      <c r="J359" s="96"/>
      <c r="K359" s="97">
        <v>1.0900000000000001</v>
      </c>
      <c r="L359" s="97">
        <v>1.0900000000000001</v>
      </c>
      <c r="M359" s="97">
        <v>1.0900000000000001</v>
      </c>
      <c r="N359" s="97">
        <v>1.0900000000000001</v>
      </c>
      <c r="O359" s="97">
        <v>1.0900000000000001</v>
      </c>
      <c r="P359" s="97">
        <v>1.0900000000000001</v>
      </c>
      <c r="Q359" s="76"/>
      <c r="R359" s="76" t="s">
        <v>524</v>
      </c>
      <c r="S359" s="76" t="s">
        <v>524</v>
      </c>
      <c r="T359" s="76"/>
      <c r="U359" s="260">
        <f t="shared" ref="U359:AB361" si="57">INDEX($K359:$Q359,1,U$43)</f>
        <v>1.0900000000000001</v>
      </c>
      <c r="V359" s="260">
        <f t="shared" si="57"/>
        <v>1.0900000000000001</v>
      </c>
      <c r="W359" s="260">
        <f t="shared" si="57"/>
        <v>1.0900000000000001</v>
      </c>
      <c r="X359" s="260">
        <f t="shared" si="57"/>
        <v>1.0900000000000001</v>
      </c>
      <c r="Y359" s="260">
        <f t="shared" si="57"/>
        <v>1.0900000000000001</v>
      </c>
      <c r="Z359" s="260">
        <f t="shared" si="57"/>
        <v>1.0900000000000001</v>
      </c>
      <c r="AA359" s="260">
        <f t="shared" si="57"/>
        <v>1.0900000000000001</v>
      </c>
      <c r="AB359" s="260">
        <f t="shared" si="57"/>
        <v>1.0900000000000001</v>
      </c>
      <c r="AC359" s="76"/>
      <c r="AD359" s="76"/>
      <c r="AE359" s="76"/>
      <c r="AF359" s="97">
        <v>1</v>
      </c>
      <c r="AG359" s="97">
        <v>1</v>
      </c>
      <c r="AH359" s="73"/>
      <c r="AI359" s="57"/>
      <c r="AJ359" s="45"/>
      <c r="AK359" s="45"/>
      <c r="AL359" s="45"/>
    </row>
    <row r="360" spans="1:38" outlineLevel="2" x14ac:dyDescent="0.35">
      <c r="A360" s="45"/>
      <c r="B360" s="54"/>
      <c r="C360" s="47">
        <f t="shared" si="55"/>
        <v>3</v>
      </c>
      <c r="D360" s="73"/>
      <c r="E360" s="70"/>
      <c r="F360" s="70" t="s">
        <v>981</v>
      </c>
      <c r="G360" s="73"/>
      <c r="H360" s="76" t="s">
        <v>568</v>
      </c>
      <c r="I360" s="96" t="s">
        <v>514</v>
      </c>
      <c r="J360" s="96"/>
      <c r="K360" s="76"/>
      <c r="L360" s="76"/>
      <c r="M360" s="76"/>
      <c r="N360" s="76"/>
      <c r="O360" s="76"/>
      <c r="P360" s="76"/>
      <c r="Q360" s="76"/>
      <c r="R360" s="76"/>
      <c r="S360" s="76"/>
      <c r="T360" s="76"/>
      <c r="U360" s="76"/>
      <c r="V360" s="76"/>
      <c r="W360" s="76"/>
      <c r="X360" s="76"/>
      <c r="Y360" s="76"/>
      <c r="Z360" s="76"/>
      <c r="AA360" s="76"/>
      <c r="AB360" s="76"/>
      <c r="AC360" s="76"/>
      <c r="AD360" s="76"/>
      <c r="AE360" s="76"/>
      <c r="AF360" s="76">
        <v>1</v>
      </c>
      <c r="AG360" s="76">
        <v>1</v>
      </c>
      <c r="AH360" s="73"/>
      <c r="AI360" s="57"/>
      <c r="AJ360" s="45"/>
      <c r="AK360" s="45"/>
      <c r="AL360" s="45"/>
    </row>
    <row r="361" spans="1:38" outlineLevel="2" x14ac:dyDescent="0.35">
      <c r="A361" s="45"/>
      <c r="B361" s="54"/>
      <c r="C361" s="47">
        <f t="shared" si="55"/>
        <v>3</v>
      </c>
      <c r="D361" s="73"/>
      <c r="E361" s="70"/>
      <c r="F361" s="70" t="s">
        <v>985</v>
      </c>
      <c r="G361" s="73"/>
      <c r="H361" s="76" t="s">
        <v>989</v>
      </c>
      <c r="I361" s="96" t="s">
        <v>3014</v>
      </c>
      <c r="J361" s="96"/>
      <c r="K361" s="97">
        <v>39.6</v>
      </c>
      <c r="L361" s="97">
        <v>39.6</v>
      </c>
      <c r="M361" s="97">
        <v>39.6</v>
      </c>
      <c r="N361" s="97">
        <v>39.6</v>
      </c>
      <c r="O361" s="97">
        <v>39.6</v>
      </c>
      <c r="P361" s="97">
        <v>39.6</v>
      </c>
      <c r="Q361" s="76"/>
      <c r="R361" s="76" t="s">
        <v>2260</v>
      </c>
      <c r="S361" s="76" t="s">
        <v>2260</v>
      </c>
      <c r="T361" s="76"/>
      <c r="U361" s="260">
        <f t="shared" si="57"/>
        <v>39.6</v>
      </c>
      <c r="V361" s="260">
        <f t="shared" si="57"/>
        <v>39.6</v>
      </c>
      <c r="W361" s="260">
        <f t="shared" si="57"/>
        <v>39.6</v>
      </c>
      <c r="X361" s="260">
        <f t="shared" si="57"/>
        <v>39.6</v>
      </c>
      <c r="Y361" s="260">
        <f t="shared" si="57"/>
        <v>39.6</v>
      </c>
      <c r="Z361" s="260">
        <f t="shared" si="57"/>
        <v>39.6</v>
      </c>
      <c r="AA361" s="260">
        <f t="shared" si="57"/>
        <v>39.6</v>
      </c>
      <c r="AB361" s="260">
        <f t="shared" si="57"/>
        <v>39.6</v>
      </c>
      <c r="AC361" s="76"/>
      <c r="AD361" s="76"/>
      <c r="AE361" s="76"/>
      <c r="AF361" s="97">
        <v>1</v>
      </c>
      <c r="AG361" s="97">
        <v>1</v>
      </c>
      <c r="AH361" s="73"/>
      <c r="AI361" s="57"/>
      <c r="AJ361" s="45"/>
      <c r="AK361" s="45"/>
      <c r="AL361" s="45"/>
    </row>
    <row r="362" spans="1:38" outlineLevel="2" x14ac:dyDescent="0.35">
      <c r="A362" s="45"/>
      <c r="B362" s="54"/>
      <c r="C362" s="47">
        <f t="shared" si="55"/>
        <v>3</v>
      </c>
      <c r="D362" s="73"/>
      <c r="E362" s="70"/>
      <c r="F362" s="70" t="s">
        <v>987</v>
      </c>
      <c r="G362" s="73"/>
      <c r="H362" s="76" t="s">
        <v>2851</v>
      </c>
      <c r="I362" s="96" t="s">
        <v>3014</v>
      </c>
      <c r="J362" s="96"/>
      <c r="K362" s="97">
        <v>23.8</v>
      </c>
      <c r="L362" s="97">
        <v>23.8</v>
      </c>
      <c r="M362" s="97">
        <v>23.8</v>
      </c>
      <c r="N362" s="97">
        <v>23.8</v>
      </c>
      <c r="O362" s="97">
        <v>23.8</v>
      </c>
      <c r="P362" s="97">
        <v>23.8</v>
      </c>
      <c r="Q362" s="76"/>
      <c r="R362" s="76" t="s">
        <v>2260</v>
      </c>
      <c r="S362" s="76" t="s">
        <v>2260</v>
      </c>
      <c r="T362" s="76"/>
      <c r="U362" s="260">
        <f t="shared" ref="U362:AB372" si="58">INDEX($K362:$Q362,1,U$43)</f>
        <v>23.8</v>
      </c>
      <c r="V362" s="260">
        <f t="shared" si="58"/>
        <v>23.8</v>
      </c>
      <c r="W362" s="260">
        <f t="shared" si="58"/>
        <v>23.8</v>
      </c>
      <c r="X362" s="260">
        <f t="shared" si="58"/>
        <v>23.8</v>
      </c>
      <c r="Y362" s="260">
        <f t="shared" si="58"/>
        <v>23.8</v>
      </c>
      <c r="Z362" s="260">
        <f t="shared" si="58"/>
        <v>23.8</v>
      </c>
      <c r="AA362" s="260">
        <f t="shared" si="58"/>
        <v>23.8</v>
      </c>
      <c r="AB362" s="260">
        <f t="shared" si="58"/>
        <v>23.8</v>
      </c>
      <c r="AC362" s="76"/>
      <c r="AD362" s="76"/>
      <c r="AE362" s="76"/>
      <c r="AF362" s="97">
        <v>1</v>
      </c>
      <c r="AG362" s="97">
        <v>1</v>
      </c>
      <c r="AH362" s="73"/>
      <c r="AI362" s="57"/>
      <c r="AJ362" s="45"/>
      <c r="AK362" s="45"/>
      <c r="AL362" s="45"/>
    </row>
    <row r="363" spans="1:38" outlineLevel="2" x14ac:dyDescent="0.35">
      <c r="A363" s="45"/>
      <c r="B363" s="54"/>
      <c r="C363" s="47">
        <f t="shared" si="55"/>
        <v>3</v>
      </c>
      <c r="D363" s="73"/>
      <c r="E363" s="70"/>
      <c r="F363" s="70" t="s">
        <v>988</v>
      </c>
      <c r="G363" s="73"/>
      <c r="H363" s="76" t="s">
        <v>2852</v>
      </c>
      <c r="I363" s="96" t="s">
        <v>3014</v>
      </c>
      <c r="J363" s="96"/>
      <c r="K363" s="97">
        <v>23.8</v>
      </c>
      <c r="L363" s="97">
        <v>23.8</v>
      </c>
      <c r="M363" s="97">
        <v>23.8</v>
      </c>
      <c r="N363" s="97">
        <v>23.8</v>
      </c>
      <c r="O363" s="97">
        <v>23.8</v>
      </c>
      <c r="P363" s="97">
        <v>23.8</v>
      </c>
      <c r="Q363" s="76"/>
      <c r="R363" s="76" t="s">
        <v>2260</v>
      </c>
      <c r="S363" s="76" t="s">
        <v>2260</v>
      </c>
      <c r="T363" s="76"/>
      <c r="U363" s="260">
        <f t="shared" si="58"/>
        <v>23.8</v>
      </c>
      <c r="V363" s="260">
        <f t="shared" si="58"/>
        <v>23.8</v>
      </c>
      <c r="W363" s="260">
        <f t="shared" si="58"/>
        <v>23.8</v>
      </c>
      <c r="X363" s="260">
        <f t="shared" si="58"/>
        <v>23.8</v>
      </c>
      <c r="Y363" s="260">
        <f t="shared" si="58"/>
        <v>23.8</v>
      </c>
      <c r="Z363" s="260">
        <f t="shared" si="58"/>
        <v>23.8</v>
      </c>
      <c r="AA363" s="260">
        <f t="shared" si="58"/>
        <v>23.8</v>
      </c>
      <c r="AB363" s="260">
        <f t="shared" si="58"/>
        <v>23.8</v>
      </c>
      <c r="AC363" s="76"/>
      <c r="AD363" s="76"/>
      <c r="AE363" s="76"/>
      <c r="AF363" s="97">
        <v>1</v>
      </c>
      <c r="AG363" s="97">
        <v>1</v>
      </c>
      <c r="AH363" s="73"/>
      <c r="AI363" s="57"/>
      <c r="AJ363" s="45"/>
      <c r="AK363" s="45"/>
      <c r="AL363" s="45"/>
    </row>
    <row r="364" spans="1:38" outlineLevel="2" x14ac:dyDescent="0.35">
      <c r="A364" s="45"/>
      <c r="B364" s="54"/>
      <c r="C364" s="47">
        <f t="shared" si="55"/>
        <v>3</v>
      </c>
      <c r="D364" s="73"/>
      <c r="E364" s="70"/>
      <c r="F364" s="70" t="s">
        <v>2845</v>
      </c>
      <c r="G364" s="73"/>
      <c r="H364" s="76" t="s">
        <v>2853</v>
      </c>
      <c r="I364" s="96" t="s">
        <v>3014</v>
      </c>
      <c r="J364" s="96"/>
      <c r="K364" s="97">
        <v>23.8</v>
      </c>
      <c r="L364" s="97">
        <v>23.8</v>
      </c>
      <c r="M364" s="97"/>
      <c r="N364" s="97"/>
      <c r="O364" s="97"/>
      <c r="P364" s="97"/>
      <c r="Q364" s="76"/>
      <c r="R364" s="76" t="s">
        <v>2260</v>
      </c>
      <c r="S364" s="76" t="s">
        <v>2260</v>
      </c>
      <c r="T364" s="76"/>
      <c r="U364" s="260">
        <f t="shared" si="58"/>
        <v>23.8</v>
      </c>
      <c r="V364" s="260">
        <f t="shared" si="58"/>
        <v>23.8</v>
      </c>
      <c r="W364" s="260">
        <f t="shared" si="58"/>
        <v>23.8</v>
      </c>
      <c r="X364" s="260">
        <f t="shared" si="58"/>
        <v>23.8</v>
      </c>
      <c r="Y364" s="260">
        <f t="shared" si="58"/>
        <v>23.8</v>
      </c>
      <c r="Z364" s="260">
        <f t="shared" si="58"/>
        <v>23.8</v>
      </c>
      <c r="AA364" s="260">
        <f t="shared" si="58"/>
        <v>23.8</v>
      </c>
      <c r="AB364" s="260">
        <f t="shared" si="58"/>
        <v>23.8</v>
      </c>
      <c r="AC364" s="76"/>
      <c r="AD364" s="76"/>
      <c r="AE364" s="76"/>
      <c r="AF364" s="97">
        <v>1</v>
      </c>
      <c r="AG364" s="97">
        <v>1</v>
      </c>
      <c r="AH364" s="73"/>
      <c r="AI364" s="57"/>
      <c r="AJ364" s="45"/>
      <c r="AK364" s="45"/>
      <c r="AL364" s="45"/>
    </row>
    <row r="365" spans="1:38" outlineLevel="2" x14ac:dyDescent="0.35">
      <c r="A365" s="45"/>
      <c r="B365" s="54"/>
      <c r="C365" s="47">
        <f t="shared" si="55"/>
        <v>3</v>
      </c>
      <c r="D365" s="73"/>
      <c r="E365" s="70"/>
      <c r="F365" s="70" t="s">
        <v>2846</v>
      </c>
      <c r="G365" s="73"/>
      <c r="H365" s="76" t="s">
        <v>2861</v>
      </c>
      <c r="I365" s="96" t="s">
        <v>3014</v>
      </c>
      <c r="J365" s="96"/>
      <c r="K365" s="76"/>
      <c r="L365" s="76"/>
      <c r="M365" s="76"/>
      <c r="N365" s="76"/>
      <c r="O365" s="76"/>
      <c r="P365" s="76"/>
      <c r="Q365" s="76"/>
      <c r="R365" s="76"/>
      <c r="S365" s="76"/>
      <c r="T365" s="76"/>
      <c r="U365" s="260">
        <f t="shared" si="58"/>
        <v>0</v>
      </c>
      <c r="V365" s="260">
        <f t="shared" si="58"/>
        <v>0</v>
      </c>
      <c r="W365" s="260">
        <f t="shared" si="58"/>
        <v>0</v>
      </c>
      <c r="X365" s="260">
        <f t="shared" si="58"/>
        <v>0</v>
      </c>
      <c r="Y365" s="260">
        <f t="shared" si="58"/>
        <v>0</v>
      </c>
      <c r="Z365" s="260">
        <f t="shared" si="58"/>
        <v>0</v>
      </c>
      <c r="AA365" s="260">
        <f t="shared" si="58"/>
        <v>0</v>
      </c>
      <c r="AB365" s="260">
        <f t="shared" si="58"/>
        <v>0</v>
      </c>
      <c r="AC365" s="76"/>
      <c r="AD365" s="76"/>
      <c r="AE365" s="76"/>
      <c r="AF365" s="76">
        <v>1</v>
      </c>
      <c r="AG365" s="76">
        <v>1</v>
      </c>
      <c r="AH365" s="73"/>
      <c r="AI365" s="57"/>
      <c r="AJ365" s="45"/>
      <c r="AK365" s="45"/>
      <c r="AL365" s="45"/>
    </row>
    <row r="366" spans="1:38" outlineLevel="2" x14ac:dyDescent="0.35">
      <c r="A366" s="45"/>
      <c r="B366" s="54"/>
      <c r="C366" s="47">
        <f t="shared" si="55"/>
        <v>3</v>
      </c>
      <c r="D366" s="73"/>
      <c r="E366" s="70"/>
      <c r="F366" s="70" t="s">
        <v>2847</v>
      </c>
      <c r="G366" s="73"/>
      <c r="H366" s="76" t="s">
        <v>2862</v>
      </c>
      <c r="I366" s="96" t="s">
        <v>3014</v>
      </c>
      <c r="J366" s="96"/>
      <c r="K366" s="76"/>
      <c r="L366" s="76"/>
      <c r="M366" s="76"/>
      <c r="N366" s="76"/>
      <c r="O366" s="76"/>
      <c r="P366" s="76"/>
      <c r="Q366" s="76"/>
      <c r="R366" s="76"/>
      <c r="S366" s="76"/>
      <c r="T366" s="76"/>
      <c r="U366" s="260">
        <f t="shared" si="58"/>
        <v>0</v>
      </c>
      <c r="V366" s="260">
        <f t="shared" si="58"/>
        <v>0</v>
      </c>
      <c r="W366" s="260">
        <f t="shared" si="58"/>
        <v>0</v>
      </c>
      <c r="X366" s="260">
        <f t="shared" si="58"/>
        <v>0</v>
      </c>
      <c r="Y366" s="260">
        <f t="shared" si="58"/>
        <v>0</v>
      </c>
      <c r="Z366" s="260">
        <f t="shared" si="58"/>
        <v>0</v>
      </c>
      <c r="AA366" s="260">
        <f t="shared" si="58"/>
        <v>0</v>
      </c>
      <c r="AB366" s="260">
        <f t="shared" si="58"/>
        <v>0</v>
      </c>
      <c r="AC366" s="76"/>
      <c r="AD366" s="76"/>
      <c r="AE366" s="76"/>
      <c r="AF366" s="76">
        <v>1</v>
      </c>
      <c r="AG366" s="76">
        <v>1</v>
      </c>
      <c r="AH366" s="73"/>
      <c r="AI366" s="57"/>
      <c r="AJ366" s="45"/>
      <c r="AK366" s="45"/>
      <c r="AL366" s="45"/>
    </row>
    <row r="367" spans="1:38" outlineLevel="2" x14ac:dyDescent="0.35">
      <c r="A367" s="45"/>
      <c r="B367" s="54"/>
      <c r="C367" s="47">
        <f t="shared" si="55"/>
        <v>3</v>
      </c>
      <c r="D367" s="73"/>
      <c r="E367" s="70"/>
      <c r="F367" s="70" t="s">
        <v>2848</v>
      </c>
      <c r="G367" s="73"/>
      <c r="H367" s="76" t="s">
        <v>986</v>
      </c>
      <c r="I367" s="96" t="s">
        <v>514</v>
      </c>
      <c r="J367" s="96"/>
      <c r="K367" s="97">
        <v>1</v>
      </c>
      <c r="L367" s="97">
        <v>1</v>
      </c>
      <c r="M367" s="97">
        <v>1</v>
      </c>
      <c r="N367" s="97">
        <v>1</v>
      </c>
      <c r="O367" s="97">
        <v>1</v>
      </c>
      <c r="P367" s="97">
        <v>1</v>
      </c>
      <c r="Q367" s="76"/>
      <c r="R367" s="76" t="s">
        <v>3009</v>
      </c>
      <c r="S367" s="76" t="s">
        <v>3010</v>
      </c>
      <c r="T367" s="76"/>
      <c r="U367" s="260">
        <f t="shared" si="58"/>
        <v>1</v>
      </c>
      <c r="V367" s="260">
        <f t="shared" si="58"/>
        <v>1</v>
      </c>
      <c r="W367" s="260">
        <f t="shared" si="58"/>
        <v>1</v>
      </c>
      <c r="X367" s="260">
        <f t="shared" si="58"/>
        <v>1</v>
      </c>
      <c r="Y367" s="260">
        <f t="shared" si="58"/>
        <v>1</v>
      </c>
      <c r="Z367" s="260">
        <f t="shared" si="58"/>
        <v>1</v>
      </c>
      <c r="AA367" s="260">
        <f t="shared" si="58"/>
        <v>1</v>
      </c>
      <c r="AB367" s="260">
        <f t="shared" si="58"/>
        <v>1</v>
      </c>
      <c r="AC367" s="76"/>
      <c r="AD367" s="76"/>
      <c r="AE367" s="76"/>
      <c r="AF367" s="97">
        <v>1</v>
      </c>
      <c r="AG367" s="97">
        <v>1</v>
      </c>
      <c r="AH367" s="73"/>
      <c r="AI367" s="57"/>
      <c r="AJ367" s="45"/>
      <c r="AK367" s="45"/>
      <c r="AL367" s="45"/>
    </row>
    <row r="368" spans="1:38" outlineLevel="2" x14ac:dyDescent="0.35">
      <c r="A368" s="45"/>
      <c r="B368" s="54"/>
      <c r="C368" s="47">
        <f t="shared" si="55"/>
        <v>3</v>
      </c>
      <c r="D368" s="73"/>
      <c r="E368" s="70"/>
      <c r="F368" s="70" t="s">
        <v>2849</v>
      </c>
      <c r="G368" s="73"/>
      <c r="H368" s="76" t="s">
        <v>982</v>
      </c>
      <c r="I368" s="96" t="s">
        <v>514</v>
      </c>
      <c r="J368" s="96"/>
      <c r="K368" s="97">
        <v>0.21</v>
      </c>
      <c r="L368" s="97">
        <v>0.21</v>
      </c>
      <c r="M368" s="97">
        <v>0.21</v>
      </c>
      <c r="N368" s="97">
        <v>0.21</v>
      </c>
      <c r="O368" s="97">
        <v>0.21</v>
      </c>
      <c r="P368" s="97">
        <v>0.21</v>
      </c>
      <c r="Q368" s="76"/>
      <c r="R368" s="76" t="s">
        <v>983</v>
      </c>
      <c r="S368" s="76" t="s">
        <v>984</v>
      </c>
      <c r="T368" s="76"/>
      <c r="U368" s="260">
        <f t="shared" si="58"/>
        <v>0.21</v>
      </c>
      <c r="V368" s="260">
        <f t="shared" si="58"/>
        <v>0.21</v>
      </c>
      <c r="W368" s="260">
        <f t="shared" si="58"/>
        <v>0.21</v>
      </c>
      <c r="X368" s="260">
        <f t="shared" si="58"/>
        <v>0.21</v>
      </c>
      <c r="Y368" s="260">
        <f t="shared" si="58"/>
        <v>0.21</v>
      </c>
      <c r="Z368" s="260">
        <f t="shared" si="58"/>
        <v>0.21</v>
      </c>
      <c r="AA368" s="260">
        <f t="shared" si="58"/>
        <v>0.21</v>
      </c>
      <c r="AB368" s="260">
        <f t="shared" si="58"/>
        <v>0.21</v>
      </c>
      <c r="AC368" s="76"/>
      <c r="AD368" s="76"/>
      <c r="AE368" s="76"/>
      <c r="AF368" s="97">
        <v>1</v>
      </c>
      <c r="AG368" s="97">
        <v>1</v>
      </c>
      <c r="AH368" s="73"/>
      <c r="AI368" s="57"/>
      <c r="AJ368" s="45"/>
      <c r="AK368" s="45"/>
      <c r="AL368" s="45"/>
    </row>
    <row r="369" spans="1:38" outlineLevel="2" x14ac:dyDescent="0.35">
      <c r="A369" s="45"/>
      <c r="B369" s="54"/>
      <c r="C369" s="47">
        <f t="shared" si="55"/>
        <v>3</v>
      </c>
      <c r="D369" s="73"/>
      <c r="E369" s="70"/>
      <c r="F369" s="70" t="s">
        <v>2850</v>
      </c>
      <c r="G369" s="73"/>
      <c r="H369" s="76" t="s">
        <v>2855</v>
      </c>
      <c r="I369" s="96" t="s">
        <v>514</v>
      </c>
      <c r="J369" s="96"/>
      <c r="K369" s="97">
        <v>0.157</v>
      </c>
      <c r="L369" s="97">
        <v>0.157</v>
      </c>
      <c r="M369" s="97">
        <v>0.157</v>
      </c>
      <c r="N369" s="97">
        <v>0.157</v>
      </c>
      <c r="O369" s="97">
        <v>0.157</v>
      </c>
      <c r="P369" s="97">
        <v>0.157</v>
      </c>
      <c r="Q369" s="76"/>
      <c r="R369" s="76" t="s">
        <v>2856</v>
      </c>
      <c r="S369" s="76"/>
      <c r="T369" s="76"/>
      <c r="U369" s="260">
        <f t="shared" si="58"/>
        <v>0.157</v>
      </c>
      <c r="V369" s="260">
        <f t="shared" si="58"/>
        <v>0.157</v>
      </c>
      <c r="W369" s="260">
        <f t="shared" si="58"/>
        <v>0.157</v>
      </c>
      <c r="X369" s="260">
        <f t="shared" si="58"/>
        <v>0.157</v>
      </c>
      <c r="Y369" s="260">
        <f t="shared" si="58"/>
        <v>0.157</v>
      </c>
      <c r="Z369" s="260">
        <f t="shared" si="58"/>
        <v>0.157</v>
      </c>
      <c r="AA369" s="260">
        <f t="shared" si="58"/>
        <v>0.157</v>
      </c>
      <c r="AB369" s="260">
        <f t="shared" si="58"/>
        <v>0.157</v>
      </c>
      <c r="AC369" s="76"/>
      <c r="AD369" s="76"/>
      <c r="AE369" s="76"/>
      <c r="AF369" s="97">
        <v>1</v>
      </c>
      <c r="AG369" s="97">
        <v>1</v>
      </c>
      <c r="AH369" s="73"/>
      <c r="AI369" s="57"/>
      <c r="AJ369" s="45"/>
      <c r="AK369" s="45"/>
      <c r="AL369" s="45"/>
    </row>
    <row r="370" spans="1:38" outlineLevel="2" x14ac:dyDescent="0.35">
      <c r="A370" s="45"/>
      <c r="B370" s="54"/>
      <c r="C370" s="47">
        <f t="shared" si="55"/>
        <v>3</v>
      </c>
      <c r="D370" s="73"/>
      <c r="E370" s="70"/>
      <c r="F370" s="70" t="s">
        <v>2860</v>
      </c>
      <c r="G370" s="73"/>
      <c r="H370" s="76" t="s">
        <v>2854</v>
      </c>
      <c r="I370" s="96" t="s">
        <v>514</v>
      </c>
      <c r="J370" s="96"/>
      <c r="K370" s="97">
        <v>0.85</v>
      </c>
      <c r="L370" s="97">
        <v>0.85</v>
      </c>
      <c r="M370" s="97"/>
      <c r="N370" s="97"/>
      <c r="O370" s="97"/>
      <c r="P370" s="97"/>
      <c r="Q370" s="76"/>
      <c r="R370" s="76" t="s">
        <v>2859</v>
      </c>
      <c r="S370" s="76"/>
      <c r="T370" s="76"/>
      <c r="U370" s="260">
        <f t="shared" si="58"/>
        <v>0.85</v>
      </c>
      <c r="V370" s="260">
        <f t="shared" si="58"/>
        <v>0.85</v>
      </c>
      <c r="W370" s="260">
        <f t="shared" si="58"/>
        <v>0.85</v>
      </c>
      <c r="X370" s="260">
        <f t="shared" si="58"/>
        <v>0.85</v>
      </c>
      <c r="Y370" s="260">
        <f t="shared" si="58"/>
        <v>0.85</v>
      </c>
      <c r="Z370" s="260">
        <f t="shared" si="58"/>
        <v>0.85</v>
      </c>
      <c r="AA370" s="260">
        <f t="shared" si="58"/>
        <v>0.85</v>
      </c>
      <c r="AB370" s="260">
        <f t="shared" si="58"/>
        <v>0.85</v>
      </c>
      <c r="AC370" s="76"/>
      <c r="AD370" s="76"/>
      <c r="AE370" s="76"/>
      <c r="AF370" s="97">
        <v>1</v>
      </c>
      <c r="AG370" s="97">
        <v>1</v>
      </c>
      <c r="AH370" s="73"/>
      <c r="AI370" s="57"/>
      <c r="AJ370" s="45"/>
      <c r="AK370" s="45"/>
      <c r="AL370" s="45"/>
    </row>
    <row r="371" spans="1:38" outlineLevel="2" x14ac:dyDescent="0.35">
      <c r="A371" s="45"/>
      <c r="B371" s="54"/>
      <c r="C371" s="47">
        <f t="shared" si="55"/>
        <v>3</v>
      </c>
      <c r="D371" s="73"/>
      <c r="E371" s="70"/>
      <c r="F371" s="70" t="s">
        <v>2887</v>
      </c>
      <c r="G371" s="73"/>
      <c r="H371" s="76" t="s">
        <v>2861</v>
      </c>
      <c r="I371" s="96" t="s">
        <v>514</v>
      </c>
      <c r="J371" s="96"/>
      <c r="K371" s="76"/>
      <c r="L371" s="76"/>
      <c r="M371" s="76"/>
      <c r="N371" s="76"/>
      <c r="O371" s="76"/>
      <c r="P371" s="76"/>
      <c r="Q371" s="76"/>
      <c r="R371" s="76"/>
      <c r="S371" s="76"/>
      <c r="T371" s="76"/>
      <c r="U371" s="260">
        <f t="shared" si="58"/>
        <v>0</v>
      </c>
      <c r="V371" s="260">
        <f t="shared" si="58"/>
        <v>0</v>
      </c>
      <c r="W371" s="260">
        <f t="shared" si="58"/>
        <v>0</v>
      </c>
      <c r="X371" s="260">
        <f t="shared" si="58"/>
        <v>0</v>
      </c>
      <c r="Y371" s="260">
        <f t="shared" si="58"/>
        <v>0</v>
      </c>
      <c r="Z371" s="260">
        <f t="shared" si="58"/>
        <v>0</v>
      </c>
      <c r="AA371" s="260">
        <f t="shared" si="58"/>
        <v>0</v>
      </c>
      <c r="AB371" s="260">
        <f t="shared" si="58"/>
        <v>0</v>
      </c>
      <c r="AC371" s="76"/>
      <c r="AD371" s="76"/>
      <c r="AE371" s="76"/>
      <c r="AF371" s="76">
        <v>1</v>
      </c>
      <c r="AG371" s="76">
        <v>1</v>
      </c>
      <c r="AH371" s="73"/>
      <c r="AI371" s="57"/>
      <c r="AJ371" s="45"/>
      <c r="AK371" s="45"/>
      <c r="AL371" s="45"/>
    </row>
    <row r="372" spans="1:38" outlineLevel="2" x14ac:dyDescent="0.35">
      <c r="A372" s="45"/>
      <c r="B372" s="54"/>
      <c r="C372" s="47">
        <f t="shared" si="55"/>
        <v>3</v>
      </c>
      <c r="D372" s="73"/>
      <c r="E372" s="70"/>
      <c r="F372" s="70" t="s">
        <v>2888</v>
      </c>
      <c r="G372" s="73"/>
      <c r="H372" s="76" t="s">
        <v>2862</v>
      </c>
      <c r="I372" s="96" t="s">
        <v>514</v>
      </c>
      <c r="J372" s="96"/>
      <c r="K372" s="76"/>
      <c r="L372" s="76"/>
      <c r="M372" s="76"/>
      <c r="N372" s="76"/>
      <c r="O372" s="76"/>
      <c r="P372" s="76"/>
      <c r="Q372" s="76"/>
      <c r="R372" s="76"/>
      <c r="S372" s="76"/>
      <c r="T372" s="76"/>
      <c r="U372" s="260">
        <f t="shared" si="58"/>
        <v>0</v>
      </c>
      <c r="V372" s="260">
        <f t="shared" si="58"/>
        <v>0</v>
      </c>
      <c r="W372" s="260">
        <f t="shared" si="58"/>
        <v>0</v>
      </c>
      <c r="X372" s="260">
        <f t="shared" si="58"/>
        <v>0</v>
      </c>
      <c r="Y372" s="260">
        <f t="shared" si="58"/>
        <v>0</v>
      </c>
      <c r="Z372" s="260">
        <f t="shared" si="58"/>
        <v>0</v>
      </c>
      <c r="AA372" s="260">
        <f t="shared" si="58"/>
        <v>0</v>
      </c>
      <c r="AB372" s="260">
        <f t="shared" si="58"/>
        <v>0</v>
      </c>
      <c r="AC372" s="76"/>
      <c r="AD372" s="76"/>
      <c r="AE372" s="76"/>
      <c r="AF372" s="76">
        <v>1</v>
      </c>
      <c r="AG372" s="76">
        <v>1</v>
      </c>
      <c r="AH372" s="73"/>
      <c r="AI372" s="57"/>
      <c r="AJ372" s="45"/>
      <c r="AK372" s="45"/>
      <c r="AL372" s="45"/>
    </row>
    <row r="373" spans="1:38" outlineLevel="2" x14ac:dyDescent="0.35">
      <c r="A373" s="45"/>
      <c r="B373" s="54"/>
      <c r="C373" s="47">
        <f t="shared" si="55"/>
        <v>3</v>
      </c>
      <c r="D373" s="73"/>
      <c r="E373" s="70"/>
      <c r="F373" s="70" t="s">
        <v>2889</v>
      </c>
      <c r="G373" s="73"/>
      <c r="H373" s="76" t="s">
        <v>2897</v>
      </c>
      <c r="I373" s="96" t="s">
        <v>514</v>
      </c>
      <c r="J373" s="96"/>
      <c r="K373" s="97">
        <v>0.22600000000000001</v>
      </c>
      <c r="L373" s="97">
        <v>0.22600000000000001</v>
      </c>
      <c r="M373" s="97">
        <v>0.22600000000000001</v>
      </c>
      <c r="N373" s="97">
        <v>0.22600000000000001</v>
      </c>
      <c r="O373" s="97">
        <v>0.22600000000000001</v>
      </c>
      <c r="P373" s="97">
        <v>0.22600000000000001</v>
      </c>
      <c r="Q373" s="76"/>
      <c r="R373" s="76" t="s">
        <v>2874</v>
      </c>
      <c r="S373" s="76" t="s">
        <v>2874</v>
      </c>
      <c r="T373" s="76"/>
      <c r="U373" s="260">
        <f t="shared" ref="U373:AB378" si="59">INDEX($K373:$Q373,1,U$43)</f>
        <v>0.22600000000000001</v>
      </c>
      <c r="V373" s="260">
        <f t="shared" si="59"/>
        <v>0.22600000000000001</v>
      </c>
      <c r="W373" s="260">
        <f t="shared" si="59"/>
        <v>0.22600000000000001</v>
      </c>
      <c r="X373" s="260">
        <f t="shared" si="59"/>
        <v>0.22600000000000001</v>
      </c>
      <c r="Y373" s="260">
        <f t="shared" si="59"/>
        <v>0.22600000000000001</v>
      </c>
      <c r="Z373" s="260">
        <f t="shared" si="59"/>
        <v>0.22600000000000001</v>
      </c>
      <c r="AA373" s="260">
        <f t="shared" si="59"/>
        <v>0.22600000000000001</v>
      </c>
      <c r="AB373" s="260">
        <f t="shared" si="59"/>
        <v>0.22600000000000001</v>
      </c>
      <c r="AC373" s="76"/>
      <c r="AD373" s="76"/>
      <c r="AE373" s="76"/>
      <c r="AF373" s="97">
        <v>1</v>
      </c>
      <c r="AG373" s="97">
        <v>1</v>
      </c>
      <c r="AH373" s="73"/>
      <c r="AI373" s="57"/>
      <c r="AJ373" s="45"/>
      <c r="AK373" s="45"/>
      <c r="AL373" s="45"/>
    </row>
    <row r="374" spans="1:38" outlineLevel="2" x14ac:dyDescent="0.35">
      <c r="A374" s="45"/>
      <c r="B374" s="54"/>
      <c r="C374" s="47">
        <f t="shared" si="55"/>
        <v>3</v>
      </c>
      <c r="D374" s="73"/>
      <c r="E374" s="70"/>
      <c r="F374" s="70" t="s">
        <v>2890</v>
      </c>
      <c r="G374" s="73"/>
      <c r="H374" s="76" t="s">
        <v>2895</v>
      </c>
      <c r="I374" s="96" t="s">
        <v>514</v>
      </c>
      <c r="J374" s="96"/>
      <c r="K374" s="97">
        <v>0.05</v>
      </c>
      <c r="L374" s="97">
        <v>0.05</v>
      </c>
      <c r="M374" s="97">
        <v>0.05</v>
      </c>
      <c r="N374" s="97">
        <v>0.05</v>
      </c>
      <c r="O374" s="97">
        <v>0.05</v>
      </c>
      <c r="P374" s="97">
        <v>0.05</v>
      </c>
      <c r="Q374" s="76"/>
      <c r="R374" s="76" t="s">
        <v>2874</v>
      </c>
      <c r="S374" s="76" t="s">
        <v>2874</v>
      </c>
      <c r="T374" s="76"/>
      <c r="U374" s="260">
        <f t="shared" si="59"/>
        <v>0.05</v>
      </c>
      <c r="V374" s="260">
        <f t="shared" si="59"/>
        <v>0.05</v>
      </c>
      <c r="W374" s="260">
        <f t="shared" si="59"/>
        <v>0.05</v>
      </c>
      <c r="X374" s="260">
        <f t="shared" si="59"/>
        <v>0.05</v>
      </c>
      <c r="Y374" s="260">
        <f t="shared" si="59"/>
        <v>0.05</v>
      </c>
      <c r="Z374" s="260">
        <f t="shared" si="59"/>
        <v>0.05</v>
      </c>
      <c r="AA374" s="260">
        <f t="shared" si="59"/>
        <v>0.05</v>
      </c>
      <c r="AB374" s="260">
        <f t="shared" si="59"/>
        <v>0.05</v>
      </c>
      <c r="AC374" s="76"/>
      <c r="AD374" s="76"/>
      <c r="AE374" s="76"/>
      <c r="AF374" s="97">
        <v>1</v>
      </c>
      <c r="AG374" s="97">
        <v>1</v>
      </c>
      <c r="AH374" s="73"/>
      <c r="AI374" s="57"/>
      <c r="AJ374" s="45"/>
      <c r="AK374" s="45"/>
      <c r="AL374" s="45"/>
    </row>
    <row r="375" spans="1:38" outlineLevel="2" x14ac:dyDescent="0.35">
      <c r="A375" s="45"/>
      <c r="B375" s="54"/>
      <c r="C375" s="47">
        <f t="shared" si="55"/>
        <v>3</v>
      </c>
      <c r="D375" s="73"/>
      <c r="E375" s="70"/>
      <c r="F375" s="70" t="s">
        <v>2891</v>
      </c>
      <c r="G375" s="73"/>
      <c r="H375" s="76" t="s">
        <v>2896</v>
      </c>
      <c r="I375" s="96" t="s">
        <v>514</v>
      </c>
      <c r="J375" s="96"/>
      <c r="K375" s="97">
        <v>0.24859999999999999</v>
      </c>
      <c r="L375" s="97">
        <v>0.24859999999999999</v>
      </c>
      <c r="M375" s="97">
        <v>0.24859999999999999</v>
      </c>
      <c r="N375" s="97">
        <v>0.24859999999999999</v>
      </c>
      <c r="O375" s="97">
        <v>0.24859999999999999</v>
      </c>
      <c r="P375" s="97">
        <v>0.24859999999999999</v>
      </c>
      <c r="Q375" s="76"/>
      <c r="R375" s="76" t="s">
        <v>2874</v>
      </c>
      <c r="S375" s="76" t="s">
        <v>2874</v>
      </c>
      <c r="T375" s="76"/>
      <c r="U375" s="260">
        <f t="shared" si="59"/>
        <v>0.24859999999999999</v>
      </c>
      <c r="V375" s="260">
        <f t="shared" si="59"/>
        <v>0.24859999999999999</v>
      </c>
      <c r="W375" s="260">
        <f t="shared" si="59"/>
        <v>0.24859999999999999</v>
      </c>
      <c r="X375" s="260">
        <f t="shared" si="59"/>
        <v>0.24859999999999999</v>
      </c>
      <c r="Y375" s="260">
        <f t="shared" si="59"/>
        <v>0.24859999999999999</v>
      </c>
      <c r="Z375" s="260">
        <f t="shared" si="59"/>
        <v>0.24859999999999999</v>
      </c>
      <c r="AA375" s="260">
        <f t="shared" si="59"/>
        <v>0.24859999999999999</v>
      </c>
      <c r="AB375" s="260">
        <f t="shared" si="59"/>
        <v>0.24859999999999999</v>
      </c>
      <c r="AC375" s="76"/>
      <c r="AD375" s="76"/>
      <c r="AE375" s="76"/>
      <c r="AF375" s="97">
        <v>1</v>
      </c>
      <c r="AG375" s="97">
        <v>1</v>
      </c>
      <c r="AH375" s="73"/>
      <c r="AI375" s="57"/>
      <c r="AJ375" s="45"/>
      <c r="AK375" s="45"/>
      <c r="AL375" s="45"/>
    </row>
    <row r="376" spans="1:38" outlineLevel="2" x14ac:dyDescent="0.35">
      <c r="A376" s="45"/>
      <c r="B376" s="54"/>
      <c r="C376" s="47">
        <f t="shared" si="55"/>
        <v>3</v>
      </c>
      <c r="D376" s="73"/>
      <c r="E376" s="70"/>
      <c r="F376" s="70" t="s">
        <v>2892</v>
      </c>
      <c r="G376" s="73"/>
      <c r="H376" s="76" t="s">
        <v>2898</v>
      </c>
      <c r="I376" s="96" t="s">
        <v>514</v>
      </c>
      <c r="J376" s="96"/>
      <c r="K376" s="97">
        <v>0.67600000000000005</v>
      </c>
      <c r="L376" s="97">
        <v>0.67600000000000005</v>
      </c>
      <c r="M376" s="97">
        <v>0.67600000000000005</v>
      </c>
      <c r="N376" s="97">
        <v>0.67600000000000005</v>
      </c>
      <c r="O376" s="97">
        <v>0.67600000000000005</v>
      </c>
      <c r="P376" s="97">
        <v>0.67600000000000005</v>
      </c>
      <c r="Q376" s="76"/>
      <c r="R376" s="76" t="s">
        <v>2874</v>
      </c>
      <c r="S376" s="76" t="s">
        <v>2874</v>
      </c>
      <c r="T376" s="76"/>
      <c r="U376" s="260">
        <f t="shared" si="59"/>
        <v>0.67600000000000005</v>
      </c>
      <c r="V376" s="260">
        <f t="shared" si="59"/>
        <v>0.67600000000000005</v>
      </c>
      <c r="W376" s="260">
        <f t="shared" si="59"/>
        <v>0.67600000000000005</v>
      </c>
      <c r="X376" s="260">
        <f t="shared" si="59"/>
        <v>0.67600000000000005</v>
      </c>
      <c r="Y376" s="260">
        <f t="shared" si="59"/>
        <v>0.67600000000000005</v>
      </c>
      <c r="Z376" s="260">
        <f t="shared" si="59"/>
        <v>0.67600000000000005</v>
      </c>
      <c r="AA376" s="260">
        <f t="shared" si="59"/>
        <v>0.67600000000000005</v>
      </c>
      <c r="AB376" s="260">
        <f t="shared" si="59"/>
        <v>0.67600000000000005</v>
      </c>
      <c r="AC376" s="76"/>
      <c r="AD376" s="76"/>
      <c r="AE376" s="76"/>
      <c r="AF376" s="97">
        <v>1</v>
      </c>
      <c r="AG376" s="97">
        <v>1</v>
      </c>
      <c r="AH376" s="73"/>
      <c r="AI376" s="57"/>
      <c r="AJ376" s="45"/>
      <c r="AK376" s="45"/>
      <c r="AL376" s="45"/>
    </row>
    <row r="377" spans="1:38" outlineLevel="2" x14ac:dyDescent="0.35">
      <c r="A377" s="45"/>
      <c r="B377" s="54"/>
      <c r="C377" s="47">
        <f t="shared" si="55"/>
        <v>3</v>
      </c>
      <c r="D377" s="73"/>
      <c r="E377" s="70"/>
      <c r="F377" s="70" t="s">
        <v>2893</v>
      </c>
      <c r="G377" s="73"/>
      <c r="H377" s="76" t="s">
        <v>2899</v>
      </c>
      <c r="I377" s="96" t="s">
        <v>514</v>
      </c>
      <c r="J377" s="96"/>
      <c r="K377" s="97">
        <v>2.0609999999999999</v>
      </c>
      <c r="L377" s="97">
        <v>2.0609999999999999</v>
      </c>
      <c r="M377" s="97">
        <v>2.0609999999999999</v>
      </c>
      <c r="N377" s="97">
        <v>2.0609999999999999</v>
      </c>
      <c r="O377" s="97">
        <v>2.0609999999999999</v>
      </c>
      <c r="P377" s="97">
        <v>2.0609999999999999</v>
      </c>
      <c r="Q377" s="76"/>
      <c r="R377" s="76" t="s">
        <v>2874</v>
      </c>
      <c r="S377" s="76" t="s">
        <v>2874</v>
      </c>
      <c r="T377" s="76"/>
      <c r="U377" s="260">
        <f t="shared" si="59"/>
        <v>2.0609999999999999</v>
      </c>
      <c r="V377" s="260">
        <f t="shared" si="59"/>
        <v>2.0609999999999999</v>
      </c>
      <c r="W377" s="260">
        <f t="shared" si="59"/>
        <v>2.0609999999999999</v>
      </c>
      <c r="X377" s="260">
        <f t="shared" si="59"/>
        <v>2.0609999999999999</v>
      </c>
      <c r="Y377" s="260">
        <f t="shared" si="59"/>
        <v>2.0609999999999999</v>
      </c>
      <c r="Z377" s="260">
        <f t="shared" si="59"/>
        <v>2.0609999999999999</v>
      </c>
      <c r="AA377" s="260">
        <f t="shared" si="59"/>
        <v>2.0609999999999999</v>
      </c>
      <c r="AB377" s="260">
        <f t="shared" si="59"/>
        <v>2.0609999999999999</v>
      </c>
      <c r="AC377" s="76"/>
      <c r="AD377" s="76"/>
      <c r="AE377" s="76"/>
      <c r="AF377" s="97">
        <v>1</v>
      </c>
      <c r="AG377" s="97">
        <v>1</v>
      </c>
      <c r="AH377" s="73"/>
      <c r="AI377" s="57"/>
      <c r="AJ377" s="45"/>
      <c r="AK377" s="45"/>
      <c r="AL377" s="45"/>
    </row>
    <row r="378" spans="1:38" outlineLevel="2" x14ac:dyDescent="0.35">
      <c r="A378" s="45"/>
      <c r="B378" s="54"/>
      <c r="C378" s="47">
        <f t="shared" si="55"/>
        <v>3</v>
      </c>
      <c r="D378" s="73"/>
      <c r="E378" s="70"/>
      <c r="F378" s="70" t="s">
        <v>2894</v>
      </c>
      <c r="G378" s="73"/>
      <c r="H378" s="76" t="s">
        <v>2900</v>
      </c>
      <c r="I378" s="96" t="s">
        <v>514</v>
      </c>
      <c r="J378" s="96"/>
      <c r="K378" s="97">
        <v>-0.53</v>
      </c>
      <c r="L378" s="97">
        <v>-0.53</v>
      </c>
      <c r="M378" s="97">
        <v>-0.53</v>
      </c>
      <c r="N378" s="97">
        <v>-0.53</v>
      </c>
      <c r="O378" s="97">
        <v>-0.53</v>
      </c>
      <c r="P378" s="97">
        <v>-0.53</v>
      </c>
      <c r="Q378" s="76"/>
      <c r="R378" s="76" t="s">
        <v>2874</v>
      </c>
      <c r="S378" s="76" t="s">
        <v>2874</v>
      </c>
      <c r="T378" s="76"/>
      <c r="U378" s="260">
        <f t="shared" si="59"/>
        <v>-0.53</v>
      </c>
      <c r="V378" s="260">
        <f t="shared" si="59"/>
        <v>-0.53</v>
      </c>
      <c r="W378" s="260">
        <f t="shared" si="59"/>
        <v>-0.53</v>
      </c>
      <c r="X378" s="260">
        <f t="shared" si="59"/>
        <v>-0.53</v>
      </c>
      <c r="Y378" s="260">
        <f t="shared" si="59"/>
        <v>-0.53</v>
      </c>
      <c r="Z378" s="260">
        <f t="shared" si="59"/>
        <v>-0.53</v>
      </c>
      <c r="AA378" s="260">
        <f t="shared" si="59"/>
        <v>-0.53</v>
      </c>
      <c r="AB378" s="260">
        <f t="shared" si="59"/>
        <v>-0.53</v>
      </c>
      <c r="AC378" s="76"/>
      <c r="AD378" s="76"/>
      <c r="AE378" s="76"/>
      <c r="AF378" s="97">
        <v>1</v>
      </c>
      <c r="AG378" s="97">
        <v>1</v>
      </c>
      <c r="AH378" s="73"/>
      <c r="AI378" s="57"/>
      <c r="AJ378" s="45"/>
      <c r="AK378" s="45"/>
      <c r="AL378" s="45"/>
    </row>
    <row r="379" spans="1:38" outlineLevel="1" collapsed="1" x14ac:dyDescent="0.35">
      <c r="A379" s="45"/>
      <c r="B379" s="54"/>
      <c r="C379" s="47">
        <f>INT($C$29)+1</f>
        <v>2</v>
      </c>
      <c r="D379" s="73"/>
      <c r="E379" s="70"/>
      <c r="F379" s="263" t="s">
        <v>990</v>
      </c>
      <c r="G379" s="73"/>
      <c r="H379" s="253" t="s">
        <v>991</v>
      </c>
      <c r="I379" s="96"/>
      <c r="J379" s="96" t="s">
        <v>531</v>
      </c>
      <c r="K379" s="76"/>
      <c r="L379" s="76"/>
      <c r="M379" s="76"/>
      <c r="N379" s="76"/>
      <c r="O379" s="76"/>
      <c r="P379" s="76"/>
      <c r="Q379" s="76"/>
      <c r="R379" s="76"/>
      <c r="S379" s="76"/>
      <c r="T379" s="76"/>
      <c r="U379" s="79">
        <v>6</v>
      </c>
      <c r="V379" s="76"/>
      <c r="W379" s="79">
        <v>0</v>
      </c>
      <c r="X379" s="76"/>
      <c r="Y379" s="76"/>
      <c r="Z379" s="76"/>
      <c r="AA379" s="76"/>
      <c r="AB379" s="76"/>
      <c r="AC379" s="76"/>
      <c r="AD379" s="76"/>
      <c r="AE379" s="76"/>
      <c r="AF379" s="76"/>
      <c r="AG379" s="76"/>
      <c r="AH379" s="73"/>
      <c r="AI379" s="57"/>
      <c r="AJ379" s="45"/>
      <c r="AK379" s="45"/>
      <c r="AL379" s="45"/>
    </row>
    <row r="380" spans="1:38" hidden="1" outlineLevel="3" x14ac:dyDescent="0.35">
      <c r="A380" s="45"/>
      <c r="B380" s="54"/>
      <c r="C380" s="47">
        <f>INT($C$29)+3</f>
        <v>4</v>
      </c>
      <c r="D380" s="73"/>
      <c r="E380" s="70" t="s">
        <v>992</v>
      </c>
      <c r="F380" s="70" t="s">
        <v>993</v>
      </c>
      <c r="G380" s="73"/>
      <c r="H380" s="76" t="s">
        <v>507</v>
      </c>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2" x14ac:dyDescent="0.35">
      <c r="A381" s="45"/>
      <c r="B381" s="54"/>
      <c r="C381" s="47">
        <f>INT($C$29)+2</f>
        <v>3</v>
      </c>
      <c r="D381" s="73"/>
      <c r="E381" s="70"/>
      <c r="F381" s="70" t="s">
        <v>994</v>
      </c>
      <c r="G381" s="73"/>
      <c r="H381" s="76" t="s">
        <v>2398</v>
      </c>
      <c r="I381" s="96" t="s">
        <v>3025</v>
      </c>
      <c r="J381" s="96"/>
      <c r="K381" s="97">
        <v>1.84E-2</v>
      </c>
      <c r="L381" s="97">
        <v>1.84E-2</v>
      </c>
      <c r="M381" s="97">
        <v>1.84E-2</v>
      </c>
      <c r="N381" s="97">
        <v>1.84E-2</v>
      </c>
      <c r="O381" s="97">
        <v>1.84E-2</v>
      </c>
      <c r="P381" s="97">
        <v>1.84E-2</v>
      </c>
      <c r="Q381" s="76"/>
      <c r="R381" s="76" t="s">
        <v>3024</v>
      </c>
      <c r="S381" s="76"/>
      <c r="T381" s="76"/>
      <c r="U381" s="260">
        <f t="shared" ref="U381:AB385" si="60">INDEX($K381:$Q381,1,U$43)</f>
        <v>1.84E-2</v>
      </c>
      <c r="V381" s="260">
        <f t="shared" si="60"/>
        <v>1.84E-2</v>
      </c>
      <c r="W381" s="260">
        <f t="shared" si="60"/>
        <v>1.84E-2</v>
      </c>
      <c r="X381" s="260">
        <f t="shared" si="60"/>
        <v>1.84E-2</v>
      </c>
      <c r="Y381" s="260">
        <f t="shared" si="60"/>
        <v>1.84E-2</v>
      </c>
      <c r="Z381" s="260">
        <f t="shared" si="60"/>
        <v>1.84E-2</v>
      </c>
      <c r="AA381" s="260">
        <f t="shared" si="60"/>
        <v>1.84E-2</v>
      </c>
      <c r="AB381" s="260">
        <f t="shared" si="60"/>
        <v>1.84E-2</v>
      </c>
      <c r="AC381" s="76"/>
      <c r="AD381" s="76"/>
      <c r="AE381" s="76"/>
      <c r="AF381" s="97">
        <v>1</v>
      </c>
      <c r="AG381" s="97">
        <v>1</v>
      </c>
      <c r="AH381" s="73"/>
      <c r="AI381" s="57"/>
      <c r="AJ381" s="45"/>
      <c r="AK381" s="45"/>
      <c r="AL381" s="45"/>
    </row>
    <row r="382" spans="1:38" hidden="1" outlineLevel="2" x14ac:dyDescent="0.35">
      <c r="A382" s="45"/>
      <c r="B382" s="54"/>
      <c r="C382" s="47">
        <f>INT($C$29)+2</f>
        <v>3</v>
      </c>
      <c r="D382" s="73"/>
      <c r="E382" s="70"/>
      <c r="F382" s="70" t="s">
        <v>995</v>
      </c>
      <c r="G382" s="73"/>
      <c r="H382" s="76" t="s">
        <v>2402</v>
      </c>
      <c r="I382" s="96" t="s">
        <v>514</v>
      </c>
      <c r="J382" s="96"/>
      <c r="K382" s="97">
        <v>13</v>
      </c>
      <c r="L382" s="97">
        <v>13</v>
      </c>
      <c r="M382" s="97">
        <v>13</v>
      </c>
      <c r="N382" s="97">
        <v>13</v>
      </c>
      <c r="O382" s="97">
        <v>13</v>
      </c>
      <c r="P382" s="97">
        <v>13</v>
      </c>
      <c r="Q382" s="76"/>
      <c r="R382" s="76"/>
      <c r="S382" s="76"/>
      <c r="T382" s="76"/>
      <c r="U382" s="260">
        <f t="shared" si="60"/>
        <v>13</v>
      </c>
      <c r="V382" s="260">
        <f t="shared" si="60"/>
        <v>13</v>
      </c>
      <c r="W382" s="260">
        <f t="shared" si="60"/>
        <v>13</v>
      </c>
      <c r="X382" s="260">
        <f t="shared" si="60"/>
        <v>13</v>
      </c>
      <c r="Y382" s="260">
        <f t="shared" si="60"/>
        <v>13</v>
      </c>
      <c r="Z382" s="260">
        <f t="shared" si="60"/>
        <v>13</v>
      </c>
      <c r="AA382" s="260">
        <f t="shared" si="60"/>
        <v>13</v>
      </c>
      <c r="AB382" s="260">
        <f t="shared" si="60"/>
        <v>13</v>
      </c>
      <c r="AC382" s="76"/>
      <c r="AD382" s="76"/>
      <c r="AE382" s="76"/>
      <c r="AF382" s="97">
        <v>1</v>
      </c>
      <c r="AG382" s="97">
        <v>1</v>
      </c>
      <c r="AH382" s="73"/>
      <c r="AI382" s="57"/>
      <c r="AJ382" s="45"/>
      <c r="AK382" s="45"/>
      <c r="AL382" s="45"/>
    </row>
    <row r="383" spans="1:38" hidden="1" outlineLevel="2" x14ac:dyDescent="0.35">
      <c r="A383" s="45"/>
      <c r="B383" s="54"/>
      <c r="C383" s="47">
        <f>INT($C$29)+2</f>
        <v>3</v>
      </c>
      <c r="D383" s="73"/>
      <c r="E383" s="70"/>
      <c r="F383" s="70" t="s">
        <v>996</v>
      </c>
      <c r="G383" s="73"/>
      <c r="H383" s="76" t="s">
        <v>2399</v>
      </c>
      <c r="I383" s="96" t="s">
        <v>638</v>
      </c>
      <c r="J383" s="96"/>
      <c r="K383" s="97">
        <v>7.52</v>
      </c>
      <c r="L383" s="97">
        <v>7.52</v>
      </c>
      <c r="M383" s="97">
        <v>7.52</v>
      </c>
      <c r="N383" s="97">
        <v>7.52</v>
      </c>
      <c r="O383" s="97">
        <v>7.52</v>
      </c>
      <c r="P383" s="97">
        <v>7.52</v>
      </c>
      <c r="Q383" s="76"/>
      <c r="R383" s="76"/>
      <c r="S383" s="76"/>
      <c r="T383" s="76"/>
      <c r="U383" s="260">
        <f t="shared" si="60"/>
        <v>7.52</v>
      </c>
      <c r="V383" s="260">
        <f t="shared" si="60"/>
        <v>7.52</v>
      </c>
      <c r="W383" s="260">
        <f t="shared" si="60"/>
        <v>7.52</v>
      </c>
      <c r="X383" s="260">
        <f t="shared" si="60"/>
        <v>7.52</v>
      </c>
      <c r="Y383" s="260">
        <f t="shared" si="60"/>
        <v>7.52</v>
      </c>
      <c r="Z383" s="260">
        <f t="shared" si="60"/>
        <v>7.52</v>
      </c>
      <c r="AA383" s="260">
        <f t="shared" si="60"/>
        <v>7.52</v>
      </c>
      <c r="AB383" s="260">
        <f t="shared" si="60"/>
        <v>7.52</v>
      </c>
      <c r="AC383" s="76"/>
      <c r="AD383" s="76"/>
      <c r="AE383" s="76"/>
      <c r="AF383" s="97">
        <v>1</v>
      </c>
      <c r="AG383" s="97">
        <v>1</v>
      </c>
      <c r="AH383" s="73"/>
      <c r="AI383" s="57"/>
      <c r="AJ383" s="45"/>
      <c r="AK383" s="45"/>
      <c r="AL383" s="45"/>
    </row>
    <row r="384" spans="1:38" hidden="1" outlineLevel="2" x14ac:dyDescent="0.35">
      <c r="A384" s="45"/>
      <c r="B384" s="54"/>
      <c r="C384" s="47">
        <f>INT($C$29)+2</f>
        <v>3</v>
      </c>
      <c r="D384" s="73"/>
      <c r="E384" s="70"/>
      <c r="F384" s="70" t="s">
        <v>997</v>
      </c>
      <c r="G384" s="73"/>
      <c r="H384" s="76" t="s">
        <v>2400</v>
      </c>
      <c r="I384" s="96" t="s">
        <v>514</v>
      </c>
      <c r="J384" s="96"/>
      <c r="K384" s="97">
        <v>23.7</v>
      </c>
      <c r="L384" s="97">
        <v>23.7</v>
      </c>
      <c r="M384" s="97">
        <v>23.7</v>
      </c>
      <c r="N384" s="97">
        <v>23.7</v>
      </c>
      <c r="O384" s="97">
        <v>23.7</v>
      </c>
      <c r="P384" s="97">
        <v>23.7</v>
      </c>
      <c r="Q384" s="76"/>
      <c r="R384" s="76"/>
      <c r="S384" s="76"/>
      <c r="T384" s="76"/>
      <c r="U384" s="260">
        <f t="shared" si="60"/>
        <v>23.7</v>
      </c>
      <c r="V384" s="260">
        <f t="shared" si="60"/>
        <v>23.7</v>
      </c>
      <c r="W384" s="260">
        <f t="shared" si="60"/>
        <v>23.7</v>
      </c>
      <c r="X384" s="260">
        <f t="shared" si="60"/>
        <v>23.7</v>
      </c>
      <c r="Y384" s="260">
        <f t="shared" si="60"/>
        <v>23.7</v>
      </c>
      <c r="Z384" s="260">
        <f t="shared" si="60"/>
        <v>23.7</v>
      </c>
      <c r="AA384" s="260">
        <f t="shared" si="60"/>
        <v>23.7</v>
      </c>
      <c r="AB384" s="260">
        <f t="shared" si="60"/>
        <v>23.7</v>
      </c>
      <c r="AC384" s="76"/>
      <c r="AD384" s="76"/>
      <c r="AE384" s="76"/>
      <c r="AF384" s="97">
        <v>1</v>
      </c>
      <c r="AG384" s="97">
        <v>1</v>
      </c>
      <c r="AH384" s="73"/>
      <c r="AI384" s="57"/>
      <c r="AJ384" s="45"/>
      <c r="AK384" s="45"/>
      <c r="AL384" s="45"/>
    </row>
    <row r="385" spans="1:38" hidden="1" outlineLevel="2" x14ac:dyDescent="0.35">
      <c r="A385" s="45"/>
      <c r="B385" s="54"/>
      <c r="C385" s="47">
        <f>INT($C$29)+2</f>
        <v>3</v>
      </c>
      <c r="D385" s="73"/>
      <c r="E385" s="70"/>
      <c r="F385" s="70" t="s">
        <v>998</v>
      </c>
      <c r="G385" s="73"/>
      <c r="H385" s="76" t="s">
        <v>2401</v>
      </c>
      <c r="I385" s="96" t="s">
        <v>638</v>
      </c>
      <c r="J385" s="96"/>
      <c r="K385" s="97">
        <v>3.36</v>
      </c>
      <c r="L385" s="97">
        <v>3.36</v>
      </c>
      <c r="M385" s="97">
        <v>3.36</v>
      </c>
      <c r="N385" s="97">
        <v>3.36</v>
      </c>
      <c r="O385" s="97">
        <v>3.36</v>
      </c>
      <c r="P385" s="97">
        <v>3.36</v>
      </c>
      <c r="Q385" s="76"/>
      <c r="R385" s="76"/>
      <c r="S385" s="76"/>
      <c r="T385" s="76"/>
      <c r="U385" s="260">
        <f t="shared" si="60"/>
        <v>3.36</v>
      </c>
      <c r="V385" s="260">
        <f t="shared" si="60"/>
        <v>3.36</v>
      </c>
      <c r="W385" s="260">
        <f t="shared" si="60"/>
        <v>3.36</v>
      </c>
      <c r="X385" s="260">
        <f t="shared" si="60"/>
        <v>3.36</v>
      </c>
      <c r="Y385" s="260">
        <f t="shared" si="60"/>
        <v>3.36</v>
      </c>
      <c r="Z385" s="260">
        <f t="shared" si="60"/>
        <v>3.36</v>
      </c>
      <c r="AA385" s="260">
        <f t="shared" si="60"/>
        <v>3.36</v>
      </c>
      <c r="AB385" s="260">
        <f t="shared" si="60"/>
        <v>3.36</v>
      </c>
      <c r="AC385" s="76"/>
      <c r="AD385" s="76"/>
      <c r="AE385" s="76"/>
      <c r="AF385" s="97">
        <v>1</v>
      </c>
      <c r="AG385" s="97">
        <v>1</v>
      </c>
      <c r="AH385" s="73"/>
      <c r="AI385" s="57"/>
      <c r="AJ385" s="45"/>
      <c r="AK385" s="45"/>
      <c r="AL385" s="45"/>
    </row>
    <row r="386" spans="1:38" outlineLevel="1" collapsed="1" x14ac:dyDescent="0.35">
      <c r="A386" s="45"/>
      <c r="B386" s="54"/>
      <c r="C386" s="47">
        <f>INT($C$29)+1</f>
        <v>2</v>
      </c>
      <c r="D386" s="73"/>
      <c r="E386" s="70"/>
      <c r="F386" s="263" t="s">
        <v>421</v>
      </c>
      <c r="G386" s="73"/>
      <c r="H386" s="253" t="s">
        <v>999</v>
      </c>
      <c r="I386" s="96"/>
      <c r="J386" s="96" t="s">
        <v>531</v>
      </c>
      <c r="K386" s="76"/>
      <c r="L386" s="76"/>
      <c r="M386" s="76"/>
      <c r="N386" s="76"/>
      <c r="O386" s="76"/>
      <c r="P386" s="76"/>
      <c r="Q386" s="76"/>
      <c r="R386" s="76"/>
      <c r="S386" s="76"/>
      <c r="T386" s="76"/>
      <c r="U386" s="79">
        <v>6</v>
      </c>
      <c r="V386" s="76"/>
      <c r="W386" s="79">
        <v>0</v>
      </c>
      <c r="X386" s="76"/>
      <c r="Y386" s="76"/>
      <c r="Z386" s="76"/>
      <c r="AA386" s="76"/>
      <c r="AB386" s="76"/>
      <c r="AC386" s="76"/>
      <c r="AD386" s="76"/>
      <c r="AE386" s="76"/>
      <c r="AF386" s="76"/>
      <c r="AG386" s="76"/>
      <c r="AH386" s="73"/>
      <c r="AI386" s="57"/>
      <c r="AJ386" s="45"/>
      <c r="AK386" s="45"/>
      <c r="AL386" s="45"/>
    </row>
    <row r="387" spans="1:38" hidden="1" outlineLevel="3" x14ac:dyDescent="0.35">
      <c r="A387" s="45"/>
      <c r="B387" s="54"/>
      <c r="C387" s="47">
        <f>INT($C$29)+2</f>
        <v>3</v>
      </c>
      <c r="D387" s="73"/>
      <c r="E387" s="70" t="s">
        <v>1000</v>
      </c>
      <c r="F387" s="70" t="s">
        <v>1001</v>
      </c>
      <c r="G387" s="73"/>
      <c r="H387" s="76" t="s">
        <v>507</v>
      </c>
      <c r="I387" s="96"/>
      <c r="J387" s="96"/>
      <c r="K387" s="76"/>
      <c r="L387" s="76"/>
      <c r="M387" s="76"/>
      <c r="N387" s="76"/>
      <c r="O387" s="76"/>
      <c r="P387" s="76"/>
      <c r="Q387" s="76"/>
      <c r="R387" s="76"/>
      <c r="S387" s="76"/>
      <c r="T387" s="76"/>
      <c r="U387" s="76"/>
      <c r="V387" s="76"/>
      <c r="W387" s="76"/>
      <c r="X387" s="76"/>
      <c r="Y387" s="76"/>
      <c r="Z387" s="76"/>
      <c r="AA387" s="76"/>
      <c r="AB387" s="76"/>
      <c r="AC387" s="76"/>
      <c r="AD387" s="76"/>
      <c r="AE387" s="76"/>
      <c r="AF387" s="76">
        <v>1</v>
      </c>
      <c r="AG387" s="76">
        <v>1</v>
      </c>
      <c r="AH387" s="73"/>
      <c r="AI387" s="57"/>
      <c r="AJ387" s="45"/>
      <c r="AK387" s="45"/>
      <c r="AL387" s="45"/>
    </row>
    <row r="388" spans="1:38" hidden="1" outlineLevel="2" collapsed="1" x14ac:dyDescent="0.35">
      <c r="A388" s="45"/>
      <c r="B388" s="54"/>
      <c r="C388" s="47">
        <f>INT($C$29)+3</f>
        <v>4</v>
      </c>
      <c r="D388" s="73"/>
      <c r="E388" s="70"/>
      <c r="F388" s="70" t="s">
        <v>2615</v>
      </c>
      <c r="G388" s="73"/>
      <c r="H388" s="76" t="s">
        <v>2405</v>
      </c>
      <c r="I388" s="96" t="s">
        <v>514</v>
      </c>
      <c r="J388" s="96"/>
      <c r="K388" s="97">
        <v>9.375E-2</v>
      </c>
      <c r="L388" s="97">
        <v>0.20499999999999999</v>
      </c>
      <c r="M388" s="97">
        <v>0</v>
      </c>
      <c r="N388" s="97">
        <v>0</v>
      </c>
      <c r="O388" s="97">
        <v>0</v>
      </c>
      <c r="P388" s="97">
        <v>0</v>
      </c>
      <c r="Q388" s="76"/>
      <c r="R388" s="97" t="s">
        <v>2609</v>
      </c>
      <c r="S388" s="76"/>
      <c r="T388" s="76"/>
      <c r="U388" s="260">
        <f t="shared" ref="U388:AB388" si="61">INDEX($K388:$Q388,1,U$43)</f>
        <v>9.375E-2</v>
      </c>
      <c r="V388" s="260">
        <f t="shared" si="61"/>
        <v>9.375E-2</v>
      </c>
      <c r="W388" s="260">
        <f t="shared" si="61"/>
        <v>9.375E-2</v>
      </c>
      <c r="X388" s="260">
        <f t="shared" si="61"/>
        <v>0.20499999999999999</v>
      </c>
      <c r="Y388" s="260">
        <f t="shared" si="61"/>
        <v>0.20499999999999999</v>
      </c>
      <c r="Z388" s="260">
        <f t="shared" si="61"/>
        <v>0.20499999999999999</v>
      </c>
      <c r="AA388" s="260">
        <f t="shared" si="61"/>
        <v>0.20499999999999999</v>
      </c>
      <c r="AB388" s="260">
        <f t="shared" si="61"/>
        <v>0.20499999999999999</v>
      </c>
      <c r="AC388" s="76"/>
      <c r="AD388" s="76"/>
      <c r="AE388" s="76"/>
      <c r="AF388" s="97">
        <v>1</v>
      </c>
      <c r="AG388" s="97">
        <v>1</v>
      </c>
      <c r="AH388" s="73"/>
      <c r="AI388" s="57"/>
      <c r="AJ388" s="45"/>
      <c r="AK388" s="45"/>
      <c r="AL388" s="45"/>
    </row>
    <row r="389" spans="1:38" hidden="1" outlineLevel="3" x14ac:dyDescent="0.35">
      <c r="A389" s="45"/>
      <c r="B389" s="54"/>
      <c r="C389" s="47">
        <f>INT($C$29)+3</f>
        <v>4</v>
      </c>
      <c r="D389" s="73"/>
      <c r="E389" s="70"/>
      <c r="F389" s="70" t="s">
        <v>1002</v>
      </c>
      <c r="G389" s="73"/>
      <c r="H389" s="76" t="s">
        <v>1003</v>
      </c>
      <c r="I389" s="96" t="s">
        <v>514</v>
      </c>
      <c r="J389" s="96"/>
      <c r="K389" s="76"/>
      <c r="L389" s="76"/>
      <c r="M389" s="76"/>
      <c r="N389" s="76"/>
      <c r="O389" s="76"/>
      <c r="P389" s="76"/>
      <c r="Q389" s="76"/>
      <c r="R389" s="76"/>
      <c r="S389" s="76"/>
      <c r="T389" s="76"/>
      <c r="U389" s="76"/>
      <c r="V389" s="76"/>
      <c r="W389" s="76"/>
      <c r="X389" s="76"/>
      <c r="Y389" s="76"/>
      <c r="Z389" s="76"/>
      <c r="AA389" s="76"/>
      <c r="AB389" s="76"/>
      <c r="AC389" s="76"/>
      <c r="AD389" s="76"/>
      <c r="AE389" s="76"/>
      <c r="AF389" s="76">
        <v>1</v>
      </c>
      <c r="AG389" s="76">
        <v>1</v>
      </c>
      <c r="AH389" s="73"/>
      <c r="AI389" s="57"/>
      <c r="AJ389" s="45"/>
      <c r="AK389" s="45"/>
      <c r="AL389" s="45"/>
    </row>
    <row r="390" spans="1:38" hidden="1" outlineLevel="3" x14ac:dyDescent="0.35">
      <c r="A390" s="45"/>
      <c r="B390" s="54"/>
      <c r="C390" s="47">
        <f>INT($C$29)+3</f>
        <v>4</v>
      </c>
      <c r="D390" s="73"/>
      <c r="E390" s="70"/>
      <c r="F390" s="70" t="s">
        <v>1004</v>
      </c>
      <c r="G390" s="73"/>
      <c r="H390" s="76" t="s">
        <v>1005</v>
      </c>
      <c r="I390" s="96" t="s">
        <v>514</v>
      </c>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2" x14ac:dyDescent="0.35">
      <c r="A391" s="45"/>
      <c r="B391" s="54"/>
      <c r="C391" s="47">
        <f t="shared" ref="C391:C397" si="62">INT($C$29)+2</f>
        <v>3</v>
      </c>
      <c r="D391" s="73"/>
      <c r="E391" s="70"/>
      <c r="F391" s="70" t="s">
        <v>1006</v>
      </c>
      <c r="G391" s="73"/>
      <c r="H391" s="76" t="s">
        <v>1007</v>
      </c>
      <c r="I391" s="96" t="s">
        <v>543</v>
      </c>
      <c r="J391" s="96"/>
      <c r="K391" s="97">
        <v>17</v>
      </c>
      <c r="L391" s="97">
        <v>17</v>
      </c>
      <c r="M391" s="97">
        <v>21</v>
      </c>
      <c r="N391" s="97">
        <v>21</v>
      </c>
      <c r="O391" s="97">
        <v>21</v>
      </c>
      <c r="P391" s="97">
        <v>21</v>
      </c>
      <c r="Q391" s="76"/>
      <c r="R391" s="76"/>
      <c r="S391" s="76"/>
      <c r="T391" s="76"/>
      <c r="U391" s="260">
        <f t="shared" ref="U391:AB391" si="63">INDEX($K391:$Q391,1,U$43)</f>
        <v>17</v>
      </c>
      <c r="V391" s="260">
        <f t="shared" si="63"/>
        <v>17</v>
      </c>
      <c r="W391" s="260">
        <f t="shared" si="63"/>
        <v>17</v>
      </c>
      <c r="X391" s="260">
        <f t="shared" si="63"/>
        <v>17</v>
      </c>
      <c r="Y391" s="260">
        <f t="shared" si="63"/>
        <v>17</v>
      </c>
      <c r="Z391" s="260">
        <f t="shared" si="63"/>
        <v>17</v>
      </c>
      <c r="AA391" s="260">
        <f t="shared" si="63"/>
        <v>17</v>
      </c>
      <c r="AB391" s="260">
        <f t="shared" si="63"/>
        <v>17</v>
      </c>
      <c r="AC391" s="76"/>
      <c r="AD391" s="76"/>
      <c r="AE391" s="76"/>
      <c r="AF391" s="97">
        <v>1</v>
      </c>
      <c r="AG391" s="97">
        <v>1</v>
      </c>
      <c r="AH391" s="73"/>
      <c r="AI391" s="57"/>
      <c r="AJ391" s="45"/>
      <c r="AK391" s="45"/>
      <c r="AL391" s="45"/>
    </row>
    <row r="392" spans="1:38" hidden="1" outlineLevel="2" x14ac:dyDescent="0.35">
      <c r="A392" s="45"/>
      <c r="B392" s="54"/>
      <c r="C392" s="47">
        <f t="shared" si="62"/>
        <v>3</v>
      </c>
      <c r="D392" s="73"/>
      <c r="E392" s="70"/>
      <c r="F392" s="70" t="s">
        <v>1008</v>
      </c>
      <c r="G392" s="73"/>
      <c r="H392" s="76" t="s">
        <v>1009</v>
      </c>
      <c r="I392" s="96" t="s">
        <v>586</v>
      </c>
      <c r="J392" s="96"/>
      <c r="K392" s="76"/>
      <c r="L392" s="76"/>
      <c r="M392" s="76"/>
      <c r="N392" s="76"/>
      <c r="O392" s="76"/>
      <c r="P392" s="76"/>
      <c r="Q392" s="76"/>
      <c r="R392" s="76"/>
      <c r="S392" s="76"/>
      <c r="T392" s="76"/>
      <c r="U392" s="97">
        <v>0.02</v>
      </c>
      <c r="V392" s="97">
        <v>0.02</v>
      </c>
      <c r="W392" s="97">
        <v>0.02</v>
      </c>
      <c r="X392" s="97">
        <v>0.02</v>
      </c>
      <c r="Y392" s="97">
        <v>0.02</v>
      </c>
      <c r="Z392" s="97">
        <v>0.02</v>
      </c>
      <c r="AA392" s="97">
        <v>0.02</v>
      </c>
      <c r="AB392" s="97">
        <v>0.02</v>
      </c>
      <c r="AC392" s="76"/>
      <c r="AD392" s="97" t="s">
        <v>472</v>
      </c>
      <c r="AE392" s="76"/>
      <c r="AF392" s="97">
        <v>1</v>
      </c>
      <c r="AG392" s="97">
        <v>1</v>
      </c>
      <c r="AH392" s="73"/>
      <c r="AI392" s="57"/>
      <c r="AJ392" s="45"/>
      <c r="AK392" s="45"/>
      <c r="AL392" s="45"/>
    </row>
    <row r="393" spans="1:38" outlineLevel="1" collapsed="1" x14ac:dyDescent="0.35">
      <c r="A393" s="45"/>
      <c r="B393" s="54"/>
      <c r="C393" s="47">
        <f>INT($C$29)+1</f>
        <v>2</v>
      </c>
      <c r="D393" s="73"/>
      <c r="E393" s="70"/>
      <c r="F393" s="263" t="s">
        <v>1010</v>
      </c>
      <c r="G393" s="73"/>
      <c r="H393" s="253" t="s">
        <v>1011</v>
      </c>
      <c r="I393" s="96"/>
      <c r="J393" s="96" t="s">
        <v>531</v>
      </c>
      <c r="K393" s="76"/>
      <c r="L393" s="76"/>
      <c r="M393" s="76"/>
      <c r="N393" s="76"/>
      <c r="O393" s="76"/>
      <c r="P393" s="76"/>
      <c r="Q393" s="76"/>
      <c r="R393" s="76"/>
      <c r="S393" s="76"/>
      <c r="T393" s="76"/>
      <c r="U393" s="79">
        <v>27</v>
      </c>
      <c r="V393" s="76"/>
      <c r="W393" s="79">
        <v>0</v>
      </c>
      <c r="X393" s="76"/>
      <c r="Y393" s="76"/>
      <c r="Z393" s="76"/>
      <c r="AA393" s="76"/>
      <c r="AB393" s="76"/>
      <c r="AC393" s="76"/>
      <c r="AD393" s="76"/>
      <c r="AE393" s="76"/>
      <c r="AF393" s="76"/>
      <c r="AG393" s="76"/>
      <c r="AH393" s="73"/>
      <c r="AI393" s="57"/>
      <c r="AJ393" s="45"/>
      <c r="AK393" s="45"/>
      <c r="AL393" s="45"/>
    </row>
    <row r="394" spans="1:38" hidden="1" outlineLevel="3" x14ac:dyDescent="0.35">
      <c r="A394" s="45"/>
      <c r="B394" s="54"/>
      <c r="C394" s="47">
        <f>INT($C$29)+3</f>
        <v>4</v>
      </c>
      <c r="D394" s="73"/>
      <c r="E394" s="70" t="s">
        <v>1012</v>
      </c>
      <c r="F394" s="70" t="s">
        <v>1013</v>
      </c>
      <c r="G394" s="73"/>
      <c r="H394" s="76" t="s">
        <v>507</v>
      </c>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2" x14ac:dyDescent="0.35">
      <c r="A395" s="45"/>
      <c r="B395" s="54"/>
      <c r="C395" s="47">
        <f t="shared" si="62"/>
        <v>3</v>
      </c>
      <c r="D395" s="73"/>
      <c r="E395" s="70"/>
      <c r="F395" s="70" t="s">
        <v>1014</v>
      </c>
      <c r="G395" s="73"/>
      <c r="H395" s="76" t="s">
        <v>1015</v>
      </c>
      <c r="I395" s="96" t="s">
        <v>2255</v>
      </c>
      <c r="J395" s="96"/>
      <c r="K395" s="267">
        <f>0.03/365</f>
        <v>8.219178082191781E-5</v>
      </c>
      <c r="L395" s="267">
        <f>0.03/365</f>
        <v>8.219178082191781E-5</v>
      </c>
      <c r="M395" s="267">
        <v>5.5300000000000002E-5</v>
      </c>
      <c r="N395" s="267">
        <v>5.5300000000000002E-5</v>
      </c>
      <c r="O395" s="267">
        <v>5.5300000000000002E-5</v>
      </c>
      <c r="P395" s="267">
        <v>5.5300000000000002E-5</v>
      </c>
      <c r="Q395" s="76"/>
      <c r="R395" s="76" t="s">
        <v>2780</v>
      </c>
      <c r="S395" s="76" t="s">
        <v>562</v>
      </c>
      <c r="T395" s="76"/>
      <c r="U395" s="260">
        <f t="shared" ref="U395:AB397" si="64">INDEX($K395:$Q395,1,U$43)</f>
        <v>8.219178082191781E-5</v>
      </c>
      <c r="V395" s="260">
        <f t="shared" si="64"/>
        <v>8.219178082191781E-5</v>
      </c>
      <c r="W395" s="260">
        <f t="shared" si="64"/>
        <v>8.219178082191781E-5</v>
      </c>
      <c r="X395" s="260">
        <f t="shared" si="64"/>
        <v>8.219178082191781E-5</v>
      </c>
      <c r="Y395" s="260">
        <f t="shared" si="64"/>
        <v>8.219178082191781E-5</v>
      </c>
      <c r="Z395" s="260">
        <f t="shared" si="64"/>
        <v>8.219178082191781E-5</v>
      </c>
      <c r="AA395" s="260">
        <f t="shared" si="64"/>
        <v>8.219178082191781E-5</v>
      </c>
      <c r="AB395" s="260">
        <f t="shared" si="64"/>
        <v>8.219178082191781E-5</v>
      </c>
      <c r="AC395" s="76"/>
      <c r="AD395" s="76"/>
      <c r="AE395" s="76"/>
      <c r="AF395" s="97">
        <v>1</v>
      </c>
      <c r="AG395" s="97">
        <v>1</v>
      </c>
      <c r="AH395" s="73"/>
      <c r="AI395" s="57"/>
      <c r="AJ395" s="45"/>
      <c r="AK395" s="45"/>
      <c r="AL395" s="45"/>
    </row>
    <row r="396" spans="1:38" hidden="1" outlineLevel="2" x14ac:dyDescent="0.35">
      <c r="A396" s="45"/>
      <c r="B396" s="54"/>
      <c r="C396" s="47">
        <f t="shared" si="62"/>
        <v>3</v>
      </c>
      <c r="D396" s="73"/>
      <c r="E396" s="70"/>
      <c r="F396" s="70" t="s">
        <v>1016</v>
      </c>
      <c r="G396" s="73"/>
      <c r="H396" s="76" t="s">
        <v>1017</v>
      </c>
      <c r="I396" s="96" t="s">
        <v>514</v>
      </c>
      <c r="J396" s="96"/>
      <c r="K396" s="97">
        <v>0.3</v>
      </c>
      <c r="L396" s="97">
        <v>0.3</v>
      </c>
      <c r="M396" s="97">
        <v>0.3</v>
      </c>
      <c r="N396" s="97">
        <v>0.3</v>
      </c>
      <c r="O396" s="97">
        <v>0.3</v>
      </c>
      <c r="P396" s="97">
        <v>0.3</v>
      </c>
      <c r="Q396" s="76"/>
      <c r="R396" s="76" t="s">
        <v>562</v>
      </c>
      <c r="S396" s="76" t="s">
        <v>562</v>
      </c>
      <c r="T396" s="76"/>
      <c r="U396" s="260">
        <f t="shared" si="64"/>
        <v>0.3</v>
      </c>
      <c r="V396" s="260">
        <f t="shared" si="64"/>
        <v>0.3</v>
      </c>
      <c r="W396" s="260">
        <f t="shared" si="64"/>
        <v>0.3</v>
      </c>
      <c r="X396" s="260">
        <f t="shared" si="64"/>
        <v>0.3</v>
      </c>
      <c r="Y396" s="260">
        <f t="shared" si="64"/>
        <v>0.3</v>
      </c>
      <c r="Z396" s="260">
        <f t="shared" si="64"/>
        <v>0.3</v>
      </c>
      <c r="AA396" s="260">
        <f t="shared" si="64"/>
        <v>0.3</v>
      </c>
      <c r="AB396" s="260">
        <f t="shared" si="64"/>
        <v>0.3</v>
      </c>
      <c r="AC396" s="76"/>
      <c r="AD396" s="76"/>
      <c r="AE396" s="76"/>
      <c r="AF396" s="97">
        <v>1</v>
      </c>
      <c r="AG396" s="97">
        <v>1</v>
      </c>
      <c r="AH396" s="73"/>
      <c r="AI396" s="57"/>
      <c r="AJ396" s="45"/>
      <c r="AK396" s="45"/>
      <c r="AL396" s="45"/>
    </row>
    <row r="397" spans="1:38" hidden="1" outlineLevel="2" collapsed="1" x14ac:dyDescent="0.35">
      <c r="A397" s="45"/>
      <c r="B397" s="54"/>
      <c r="C397" s="47">
        <f t="shared" si="62"/>
        <v>3</v>
      </c>
      <c r="D397" s="73"/>
      <c r="E397" s="70"/>
      <c r="F397" s="70" t="s">
        <v>1018</v>
      </c>
      <c r="G397" s="73"/>
      <c r="H397" s="76" t="s">
        <v>1019</v>
      </c>
      <c r="I397" s="96" t="s">
        <v>514</v>
      </c>
      <c r="J397" s="96"/>
      <c r="K397" s="97">
        <v>0.6</v>
      </c>
      <c r="L397" s="97">
        <v>0.6</v>
      </c>
      <c r="M397" s="97">
        <v>0.6</v>
      </c>
      <c r="N397" s="97">
        <v>0.6</v>
      </c>
      <c r="O397" s="97">
        <v>0.6</v>
      </c>
      <c r="P397" s="97">
        <v>0.6</v>
      </c>
      <c r="Q397" s="76"/>
      <c r="R397" s="76" t="s">
        <v>562</v>
      </c>
      <c r="S397" s="76" t="s">
        <v>562</v>
      </c>
      <c r="T397" s="76"/>
      <c r="U397" s="260">
        <f t="shared" si="64"/>
        <v>0.6</v>
      </c>
      <c r="V397" s="260">
        <f t="shared" si="64"/>
        <v>0.6</v>
      </c>
      <c r="W397" s="260">
        <f t="shared" si="64"/>
        <v>0.6</v>
      </c>
      <c r="X397" s="260">
        <f t="shared" si="64"/>
        <v>0.6</v>
      </c>
      <c r="Y397" s="260">
        <f t="shared" si="64"/>
        <v>0.6</v>
      </c>
      <c r="Z397" s="260">
        <f t="shared" si="64"/>
        <v>0.6</v>
      </c>
      <c r="AA397" s="260">
        <f t="shared" si="64"/>
        <v>0.6</v>
      </c>
      <c r="AB397" s="260">
        <f t="shared" si="64"/>
        <v>0.6</v>
      </c>
      <c r="AC397" s="76"/>
      <c r="AD397" s="76"/>
      <c r="AE397" s="76"/>
      <c r="AF397" s="97">
        <v>1</v>
      </c>
      <c r="AG397" s="97">
        <v>1</v>
      </c>
      <c r="AH397" s="73"/>
      <c r="AI397" s="57"/>
      <c r="AJ397" s="45"/>
      <c r="AK397" s="45"/>
      <c r="AL397" s="45"/>
    </row>
    <row r="398" spans="1:38" hidden="1" outlineLevel="3" x14ac:dyDescent="0.35">
      <c r="A398" s="45"/>
      <c r="B398" s="54"/>
      <c r="C398" s="47">
        <f>INT($C$29)+3</f>
        <v>4</v>
      </c>
      <c r="D398" s="73"/>
      <c r="E398" s="70"/>
      <c r="F398" s="70" t="s">
        <v>1020</v>
      </c>
      <c r="G398" s="73"/>
      <c r="H398" s="76" t="s">
        <v>1021</v>
      </c>
      <c r="I398" s="96" t="s">
        <v>514</v>
      </c>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35">
      <c r="A399" s="45"/>
      <c r="B399" s="54"/>
      <c r="C399" s="47">
        <f>INT($C$29)+3</f>
        <v>4</v>
      </c>
      <c r="D399" s="73"/>
      <c r="E399" s="70"/>
      <c r="F399" s="70" t="s">
        <v>1022</v>
      </c>
      <c r="G399" s="73"/>
      <c r="H399" s="76" t="s">
        <v>1023</v>
      </c>
      <c r="I399" s="96" t="s">
        <v>514</v>
      </c>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35">
      <c r="A400" s="45"/>
      <c r="B400" s="54"/>
      <c r="C400" s="47">
        <f>INT($C$29)+2</f>
        <v>3</v>
      </c>
      <c r="D400" s="73"/>
      <c r="E400" s="70"/>
      <c r="F400" s="70" t="s">
        <v>1024</v>
      </c>
      <c r="G400" s="73"/>
      <c r="H400" s="76" t="s">
        <v>1025</v>
      </c>
      <c r="I400" s="96" t="s">
        <v>514</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35">
      <c r="A401" s="45"/>
      <c r="B401" s="54"/>
      <c r="C401" s="47">
        <f>INT($C$29)+2</f>
        <v>3</v>
      </c>
      <c r="D401" s="73"/>
      <c r="E401" s="70"/>
      <c r="F401" s="70" t="s">
        <v>1026</v>
      </c>
      <c r="G401" s="73"/>
      <c r="H401" s="76" t="s">
        <v>1027</v>
      </c>
      <c r="I401" s="96" t="s">
        <v>514</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2" x14ac:dyDescent="0.35">
      <c r="A402" s="45"/>
      <c r="B402" s="54"/>
      <c r="C402" s="47">
        <f>INT($C$29)+2</f>
        <v>3</v>
      </c>
      <c r="D402" s="73"/>
      <c r="E402" s="70"/>
      <c r="F402" s="70" t="s">
        <v>1028</v>
      </c>
      <c r="G402" s="73"/>
      <c r="H402" s="76" t="s">
        <v>1029</v>
      </c>
      <c r="I402" s="96" t="s">
        <v>514</v>
      </c>
      <c r="J402" s="96"/>
      <c r="K402" s="76"/>
      <c r="L402" s="76"/>
      <c r="M402" s="97">
        <v>-40</v>
      </c>
      <c r="N402" s="97">
        <v>-40</v>
      </c>
      <c r="O402" s="97">
        <v>-40</v>
      </c>
      <c r="P402" s="97">
        <v>-40</v>
      </c>
      <c r="Q402" s="76"/>
      <c r="R402" s="76"/>
      <c r="S402" s="76" t="s">
        <v>571</v>
      </c>
      <c r="T402" s="76"/>
      <c r="U402" s="97">
        <v>-9.9499999999999993</v>
      </c>
      <c r="V402" s="97">
        <v>-9.9499999999999993</v>
      </c>
      <c r="W402" s="97">
        <v>-9.9499999999999993</v>
      </c>
      <c r="X402" s="97">
        <v>-8.9</v>
      </c>
      <c r="Y402" s="97">
        <v>-8.9</v>
      </c>
      <c r="Z402" s="97">
        <v>-8.9</v>
      </c>
      <c r="AA402" s="97">
        <v>-8.9</v>
      </c>
      <c r="AB402" s="97">
        <v>-8.9</v>
      </c>
      <c r="AC402" s="76"/>
      <c r="AD402" s="97" t="s">
        <v>1030</v>
      </c>
      <c r="AE402" s="76"/>
      <c r="AF402" s="97">
        <v>1</v>
      </c>
      <c r="AG402" s="97">
        <v>1</v>
      </c>
      <c r="AH402" s="73"/>
      <c r="AI402" s="57"/>
      <c r="AJ402" s="45"/>
      <c r="AK402" s="45"/>
      <c r="AL402" s="45"/>
    </row>
    <row r="403" spans="1:38" hidden="1" outlineLevel="2" x14ac:dyDescent="0.35">
      <c r="A403" s="45"/>
      <c r="B403" s="54"/>
      <c r="C403" s="47">
        <f>INT($C$29)+2</f>
        <v>3</v>
      </c>
      <c r="D403" s="73"/>
      <c r="E403" s="70"/>
      <c r="F403" s="70" t="s">
        <v>1031</v>
      </c>
      <c r="G403" s="73"/>
      <c r="H403" s="76" t="s">
        <v>1032</v>
      </c>
      <c r="I403" s="96" t="s">
        <v>514</v>
      </c>
      <c r="J403" s="96"/>
      <c r="K403" s="76"/>
      <c r="L403" s="76"/>
      <c r="M403" s="97">
        <v>0</v>
      </c>
      <c r="N403" s="97">
        <v>0</v>
      </c>
      <c r="O403" s="97">
        <v>0</v>
      </c>
      <c r="P403" s="97">
        <v>0</v>
      </c>
      <c r="Q403" s="76"/>
      <c r="R403" s="76"/>
      <c r="S403" s="76"/>
      <c r="T403" s="76"/>
      <c r="U403" s="97">
        <v>1.71</v>
      </c>
      <c r="V403" s="97">
        <v>1.71</v>
      </c>
      <c r="W403" s="97">
        <v>1.71</v>
      </c>
      <c r="X403" s="97">
        <v>1.49</v>
      </c>
      <c r="Y403" s="97">
        <v>1.49</v>
      </c>
      <c r="Z403" s="97">
        <v>1.49</v>
      </c>
      <c r="AA403" s="97">
        <v>1.49</v>
      </c>
      <c r="AB403" s="97">
        <v>1.49</v>
      </c>
      <c r="AC403" s="76"/>
      <c r="AD403" s="97" t="s">
        <v>1030</v>
      </c>
      <c r="AE403" s="76"/>
      <c r="AF403" s="97">
        <v>1</v>
      </c>
      <c r="AG403" s="97">
        <v>1</v>
      </c>
      <c r="AH403" s="73"/>
      <c r="AI403" s="57"/>
      <c r="AJ403" s="45"/>
      <c r="AK403" s="45"/>
      <c r="AL403" s="45"/>
    </row>
    <row r="404" spans="1:38" hidden="1" outlineLevel="2" collapsed="1" x14ac:dyDescent="0.35">
      <c r="A404" s="45"/>
      <c r="B404" s="54"/>
      <c r="C404" s="47">
        <f>INT($C$29)+2</f>
        <v>3</v>
      </c>
      <c r="D404" s="73"/>
      <c r="E404" s="70"/>
      <c r="F404" s="70" t="s">
        <v>1033</v>
      </c>
      <c r="G404" s="73"/>
      <c r="H404" s="76" t="s">
        <v>1034</v>
      </c>
      <c r="I404" s="96" t="s">
        <v>514</v>
      </c>
      <c r="J404" s="96"/>
      <c r="K404" s="76"/>
      <c r="L404" s="76"/>
      <c r="M404" s="97">
        <v>0</v>
      </c>
      <c r="N404" s="97">
        <v>0</v>
      </c>
      <c r="O404" s="97">
        <v>0</v>
      </c>
      <c r="P404" s="97">
        <v>0</v>
      </c>
      <c r="Q404" s="76"/>
      <c r="R404" s="76"/>
      <c r="S404" s="76"/>
      <c r="T404" s="76"/>
      <c r="U404" s="97">
        <v>9.7999999999999997E-3</v>
      </c>
      <c r="V404" s="97">
        <v>9.7999999999999997E-3</v>
      </c>
      <c r="W404" s="97">
        <v>9.7999999999999997E-3</v>
      </c>
      <c r="X404" s="97">
        <v>8.0999999999999996E-3</v>
      </c>
      <c r="Y404" s="97">
        <v>8.0999999999999996E-3</v>
      </c>
      <c r="Z404" s="97">
        <v>8.0999999999999996E-3</v>
      </c>
      <c r="AA404" s="97">
        <v>8.0999999999999996E-3</v>
      </c>
      <c r="AB404" s="97">
        <v>8.0999999999999996E-3</v>
      </c>
      <c r="AC404" s="76"/>
      <c r="AD404" s="97" t="s">
        <v>1030</v>
      </c>
      <c r="AE404" s="76"/>
      <c r="AF404" s="97">
        <v>1</v>
      </c>
      <c r="AG404" s="97">
        <v>1</v>
      </c>
      <c r="AH404" s="73"/>
      <c r="AI404" s="57"/>
      <c r="AJ404" s="45"/>
      <c r="AK404" s="45"/>
      <c r="AL404" s="45"/>
    </row>
    <row r="405" spans="1:38" hidden="1" outlineLevel="3" x14ac:dyDescent="0.35">
      <c r="A405" s="45"/>
      <c r="B405" s="54"/>
      <c r="C405" s="47">
        <f>INT($C$29)+3</f>
        <v>4</v>
      </c>
      <c r="D405" s="73"/>
      <c r="E405" s="70"/>
      <c r="F405" s="70" t="s">
        <v>1035</v>
      </c>
      <c r="G405" s="73"/>
      <c r="H405" s="76" t="s">
        <v>1036</v>
      </c>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97">
        <v>1</v>
      </c>
      <c r="AG405" s="97">
        <v>1</v>
      </c>
      <c r="AH405" s="73"/>
      <c r="AI405" s="57"/>
      <c r="AJ405" s="45"/>
      <c r="AK405" s="45"/>
      <c r="AL405" s="45"/>
    </row>
    <row r="406" spans="1:38" hidden="1" outlineLevel="2" x14ac:dyDescent="0.35">
      <c r="A406" s="45"/>
      <c r="B406" s="54"/>
      <c r="C406" s="47">
        <f t="shared" ref="C406:C420" si="65">INT($C$29)+2</f>
        <v>3</v>
      </c>
      <c r="D406" s="73"/>
      <c r="E406" s="70"/>
      <c r="F406" s="70" t="s">
        <v>1037</v>
      </c>
      <c r="G406" s="73"/>
      <c r="H406" s="76" t="s">
        <v>1038</v>
      </c>
      <c r="I406" s="96" t="s">
        <v>514</v>
      </c>
      <c r="J406" s="96"/>
      <c r="K406" s="97">
        <v>0.1</v>
      </c>
      <c r="L406" s="97">
        <v>0.1</v>
      </c>
      <c r="M406" s="97">
        <v>0.1</v>
      </c>
      <c r="N406" s="97">
        <v>0.1</v>
      </c>
      <c r="O406" s="97">
        <v>0.1</v>
      </c>
      <c r="P406" s="97">
        <v>0.1</v>
      </c>
      <c r="Q406" s="76"/>
      <c r="R406" s="76" t="s">
        <v>1039</v>
      </c>
      <c r="S406" s="76"/>
      <c r="T406" s="76"/>
      <c r="U406" s="260">
        <f t="shared" ref="U406:AB406" si="66">INDEX($K406:$Q406,1,U$43)</f>
        <v>0.1</v>
      </c>
      <c r="V406" s="260">
        <f t="shared" si="66"/>
        <v>0.1</v>
      </c>
      <c r="W406" s="260">
        <f t="shared" si="66"/>
        <v>0.1</v>
      </c>
      <c r="X406" s="260">
        <f t="shared" si="66"/>
        <v>0.1</v>
      </c>
      <c r="Y406" s="260">
        <f t="shared" si="66"/>
        <v>0.1</v>
      </c>
      <c r="Z406" s="260">
        <f t="shared" si="66"/>
        <v>0.1</v>
      </c>
      <c r="AA406" s="260">
        <f t="shared" si="66"/>
        <v>0.1</v>
      </c>
      <c r="AB406" s="260">
        <f t="shared" si="66"/>
        <v>0.1</v>
      </c>
      <c r="AC406" s="76"/>
      <c r="AD406" s="76"/>
      <c r="AE406" s="76"/>
      <c r="AF406" s="97">
        <v>1</v>
      </c>
      <c r="AG406" s="97">
        <v>1</v>
      </c>
      <c r="AH406" s="73"/>
      <c r="AI406" s="57"/>
      <c r="AJ406" s="45"/>
      <c r="AK406" s="45"/>
      <c r="AL406" s="45"/>
    </row>
    <row r="407" spans="1:38" hidden="1" outlineLevel="2" x14ac:dyDescent="0.35">
      <c r="A407" s="45"/>
      <c r="B407" s="54"/>
      <c r="C407" s="47">
        <f t="shared" si="65"/>
        <v>3</v>
      </c>
      <c r="D407" s="73"/>
      <c r="E407" s="70"/>
      <c r="F407" s="70" t="s">
        <v>1040</v>
      </c>
      <c r="G407" s="73"/>
      <c r="H407" s="391" t="s">
        <v>2781</v>
      </c>
      <c r="I407" s="96" t="s">
        <v>514</v>
      </c>
      <c r="J407" s="96"/>
      <c r="K407" s="76"/>
      <c r="L407" s="76"/>
      <c r="M407" s="76"/>
      <c r="N407" s="76"/>
      <c r="O407" s="76"/>
      <c r="P407" s="76"/>
      <c r="Q407" s="76"/>
      <c r="R407" s="76"/>
      <c r="S407" s="76"/>
      <c r="T407" s="76"/>
      <c r="U407" s="97">
        <f>0.1/365</f>
        <v>2.7397260273972606E-4</v>
      </c>
      <c r="V407" s="97">
        <f t="shared" ref="V407:AB407" si="67">0.1/365</f>
        <v>2.7397260273972606E-4</v>
      </c>
      <c r="W407" s="97">
        <f t="shared" si="67"/>
        <v>2.7397260273972606E-4</v>
      </c>
      <c r="X407" s="97">
        <f t="shared" si="67"/>
        <v>2.7397260273972606E-4</v>
      </c>
      <c r="Y407" s="97">
        <f t="shared" si="67"/>
        <v>2.7397260273972606E-4</v>
      </c>
      <c r="Z407" s="97">
        <f t="shared" si="67"/>
        <v>2.7397260273972606E-4</v>
      </c>
      <c r="AA407" s="97">
        <f t="shared" si="67"/>
        <v>2.7397260273972606E-4</v>
      </c>
      <c r="AB407" s="97">
        <f t="shared" si="67"/>
        <v>2.7397260273972606E-4</v>
      </c>
      <c r="AC407" s="76"/>
      <c r="AD407" s="97" t="s">
        <v>1041</v>
      </c>
      <c r="AE407" s="76"/>
      <c r="AF407" s="97">
        <v>1</v>
      </c>
      <c r="AG407" s="97">
        <v>1</v>
      </c>
      <c r="AH407" s="73"/>
      <c r="AI407" s="57"/>
      <c r="AJ407" s="45"/>
      <c r="AK407" s="45"/>
      <c r="AL407" s="45"/>
    </row>
    <row r="408" spans="1:38" hidden="1" outlineLevel="2" x14ac:dyDescent="0.35">
      <c r="A408" s="45"/>
      <c r="B408" s="54"/>
      <c r="C408" s="47">
        <f t="shared" si="65"/>
        <v>3</v>
      </c>
      <c r="D408" s="73"/>
      <c r="E408" s="70"/>
      <c r="F408" s="70" t="s">
        <v>1042</v>
      </c>
      <c r="G408" s="73"/>
      <c r="H408" s="76" t="s">
        <v>1043</v>
      </c>
      <c r="I408" s="96" t="s">
        <v>514</v>
      </c>
      <c r="J408" s="96"/>
      <c r="K408" s="97">
        <v>300</v>
      </c>
      <c r="L408" s="97">
        <v>300</v>
      </c>
      <c r="M408" s="97">
        <v>300</v>
      </c>
      <c r="N408" s="97">
        <v>300</v>
      </c>
      <c r="O408" s="97">
        <v>300</v>
      </c>
      <c r="P408" s="97">
        <v>300</v>
      </c>
      <c r="Q408" s="76"/>
      <c r="R408" s="76"/>
      <c r="S408" s="76"/>
      <c r="T408" s="76"/>
      <c r="U408" s="260">
        <f t="shared" ref="U408:AB415" si="68">INDEX($K408:$Q408,1,U$43)</f>
        <v>300</v>
      </c>
      <c r="V408" s="260">
        <f t="shared" si="68"/>
        <v>300</v>
      </c>
      <c r="W408" s="260">
        <f t="shared" si="68"/>
        <v>300</v>
      </c>
      <c r="X408" s="260">
        <f t="shared" si="68"/>
        <v>300</v>
      </c>
      <c r="Y408" s="260">
        <f t="shared" si="68"/>
        <v>300</v>
      </c>
      <c r="Z408" s="260">
        <f t="shared" si="68"/>
        <v>300</v>
      </c>
      <c r="AA408" s="260">
        <f t="shared" si="68"/>
        <v>300</v>
      </c>
      <c r="AB408" s="260">
        <f t="shared" si="68"/>
        <v>300</v>
      </c>
      <c r="AC408" s="76"/>
      <c r="AD408" s="76"/>
      <c r="AE408" s="76"/>
      <c r="AF408" s="97">
        <v>1</v>
      </c>
      <c r="AG408" s="97">
        <v>1</v>
      </c>
      <c r="AH408" s="73"/>
      <c r="AI408" s="57"/>
      <c r="AJ408" s="45"/>
      <c r="AK408" s="45"/>
      <c r="AL408" s="45"/>
    </row>
    <row r="409" spans="1:38" hidden="1" outlineLevel="2" x14ac:dyDescent="0.35">
      <c r="A409" s="45"/>
      <c r="B409" s="54"/>
      <c r="C409" s="47">
        <f t="shared" si="65"/>
        <v>3</v>
      </c>
      <c r="D409" s="73"/>
      <c r="E409" s="70"/>
      <c r="F409" s="70" t="s">
        <v>1044</v>
      </c>
      <c r="G409" s="73"/>
      <c r="H409" s="76" t="s">
        <v>1045</v>
      </c>
      <c r="I409" s="96" t="s">
        <v>514</v>
      </c>
      <c r="J409" s="96"/>
      <c r="K409" s="97">
        <v>365</v>
      </c>
      <c r="L409" s="97">
        <v>365</v>
      </c>
      <c r="M409" s="97">
        <v>365</v>
      </c>
      <c r="N409" s="97">
        <v>365</v>
      </c>
      <c r="O409" s="97">
        <v>365</v>
      </c>
      <c r="P409" s="97">
        <v>365</v>
      </c>
      <c r="Q409" s="76"/>
      <c r="R409" s="76"/>
      <c r="S409" s="76"/>
      <c r="T409" s="76"/>
      <c r="U409" s="260">
        <f t="shared" si="68"/>
        <v>365</v>
      </c>
      <c r="V409" s="260">
        <f t="shared" si="68"/>
        <v>365</v>
      </c>
      <c r="W409" s="260">
        <f t="shared" si="68"/>
        <v>365</v>
      </c>
      <c r="X409" s="260">
        <f t="shared" si="68"/>
        <v>365</v>
      </c>
      <c r="Y409" s="260">
        <f t="shared" si="68"/>
        <v>365</v>
      </c>
      <c r="Z409" s="260">
        <f t="shared" si="68"/>
        <v>365</v>
      </c>
      <c r="AA409" s="260">
        <f t="shared" si="68"/>
        <v>365</v>
      </c>
      <c r="AB409" s="260">
        <f t="shared" si="68"/>
        <v>365</v>
      </c>
      <c r="AC409" s="76"/>
      <c r="AD409" s="76"/>
      <c r="AE409" s="76"/>
      <c r="AF409" s="97">
        <v>1</v>
      </c>
      <c r="AG409" s="97">
        <v>1</v>
      </c>
      <c r="AH409" s="73"/>
      <c r="AI409" s="57"/>
      <c r="AJ409" s="45"/>
      <c r="AK409" s="45"/>
      <c r="AL409" s="45"/>
    </row>
    <row r="410" spans="1:38" hidden="1" outlineLevel="2" x14ac:dyDescent="0.35">
      <c r="A410" s="45"/>
      <c r="B410" s="54"/>
      <c r="C410" s="47">
        <f t="shared" si="65"/>
        <v>3</v>
      </c>
      <c r="D410" s="73"/>
      <c r="E410" s="70"/>
      <c r="F410" s="70" t="s">
        <v>1046</v>
      </c>
      <c r="G410" s="73"/>
      <c r="H410" s="76" t="s">
        <v>1047</v>
      </c>
      <c r="I410" s="96" t="s">
        <v>514</v>
      </c>
      <c r="J410" s="96"/>
      <c r="K410" s="97">
        <v>0.2</v>
      </c>
      <c r="L410" s="97">
        <v>0.2</v>
      </c>
      <c r="M410" s="97"/>
      <c r="N410" s="97"/>
      <c r="O410" s="97"/>
      <c r="P410" s="97"/>
      <c r="Q410" s="76"/>
      <c r="R410" s="76"/>
      <c r="S410" s="76"/>
      <c r="T410" s="76"/>
      <c r="U410" s="260">
        <f t="shared" si="68"/>
        <v>0.2</v>
      </c>
      <c r="V410" s="260">
        <f t="shared" si="68"/>
        <v>0.2</v>
      </c>
      <c r="W410" s="260">
        <f t="shared" si="68"/>
        <v>0.2</v>
      </c>
      <c r="X410" s="260">
        <f t="shared" si="68"/>
        <v>0.2</v>
      </c>
      <c r="Y410" s="260">
        <f t="shared" si="68"/>
        <v>0.2</v>
      </c>
      <c r="Z410" s="260">
        <f t="shared" si="68"/>
        <v>0.2</v>
      </c>
      <c r="AA410" s="260">
        <f t="shared" si="68"/>
        <v>0.2</v>
      </c>
      <c r="AB410" s="260">
        <f t="shared" si="68"/>
        <v>0.2</v>
      </c>
      <c r="AC410" s="76"/>
      <c r="AD410" s="76"/>
      <c r="AE410" s="76"/>
      <c r="AF410" s="97">
        <v>1</v>
      </c>
      <c r="AG410" s="97">
        <v>1</v>
      </c>
      <c r="AH410" s="73"/>
      <c r="AI410" s="57"/>
      <c r="AJ410" s="45"/>
      <c r="AK410" s="45"/>
      <c r="AL410" s="45"/>
    </row>
    <row r="411" spans="1:38" hidden="1" outlineLevel="2" x14ac:dyDescent="0.35">
      <c r="A411" s="45"/>
      <c r="B411" s="54"/>
      <c r="C411" s="47">
        <f t="shared" si="65"/>
        <v>3</v>
      </c>
      <c r="D411" s="73"/>
      <c r="E411" s="70"/>
      <c r="F411" s="70" t="s">
        <v>1048</v>
      </c>
      <c r="G411" s="73"/>
      <c r="H411" s="76" t="s">
        <v>1049</v>
      </c>
      <c r="I411" s="96" t="s">
        <v>514</v>
      </c>
      <c r="J411" s="96"/>
      <c r="K411" s="97">
        <v>0.5</v>
      </c>
      <c r="L411" s="97">
        <v>0.5</v>
      </c>
      <c r="M411" s="97"/>
      <c r="N411" s="97"/>
      <c r="O411" s="97"/>
      <c r="P411" s="97"/>
      <c r="Q411" s="76"/>
      <c r="R411" s="76" t="s">
        <v>472</v>
      </c>
      <c r="S411" s="76"/>
      <c r="T411" s="76"/>
      <c r="U411" s="260">
        <f t="shared" si="68"/>
        <v>0.5</v>
      </c>
      <c r="V411" s="260">
        <f t="shared" si="68"/>
        <v>0.5</v>
      </c>
      <c r="W411" s="260">
        <f t="shared" si="68"/>
        <v>0.5</v>
      </c>
      <c r="X411" s="260">
        <f t="shared" si="68"/>
        <v>0.5</v>
      </c>
      <c r="Y411" s="260">
        <f t="shared" si="68"/>
        <v>0.5</v>
      </c>
      <c r="Z411" s="260">
        <f t="shared" si="68"/>
        <v>0.5</v>
      </c>
      <c r="AA411" s="260">
        <f t="shared" si="68"/>
        <v>0.5</v>
      </c>
      <c r="AB411" s="260">
        <f t="shared" si="68"/>
        <v>0.5</v>
      </c>
      <c r="AC411" s="76"/>
      <c r="AD411" s="76"/>
      <c r="AE411" s="76"/>
      <c r="AF411" s="97">
        <v>1</v>
      </c>
      <c r="AG411" s="97">
        <v>1</v>
      </c>
      <c r="AH411" s="73"/>
      <c r="AI411" s="57"/>
      <c r="AJ411" s="45"/>
      <c r="AK411" s="45"/>
      <c r="AL411" s="45"/>
    </row>
    <row r="412" spans="1:38" hidden="1" outlineLevel="2" x14ac:dyDescent="0.35">
      <c r="A412" s="45"/>
      <c r="B412" s="54"/>
      <c r="C412" s="47">
        <f t="shared" si="65"/>
        <v>3</v>
      </c>
      <c r="D412" s="73"/>
      <c r="E412" s="70"/>
      <c r="F412" s="70" t="s">
        <v>1050</v>
      </c>
      <c r="G412" s="73"/>
      <c r="H412" s="76" t="s">
        <v>1051</v>
      </c>
      <c r="I412" s="96" t="s">
        <v>514</v>
      </c>
      <c r="J412" s="96"/>
      <c r="K412" s="123">
        <v>0.1</v>
      </c>
      <c r="L412" s="97"/>
      <c r="M412" s="76"/>
      <c r="N412" s="76"/>
      <c r="O412" s="76"/>
      <c r="P412" s="76"/>
      <c r="Q412" s="76"/>
      <c r="R412" s="76"/>
      <c r="S412" s="76"/>
      <c r="T412" s="76"/>
      <c r="U412" s="260">
        <f t="shared" si="68"/>
        <v>0.1</v>
      </c>
      <c r="V412" s="260">
        <f t="shared" si="68"/>
        <v>0.1</v>
      </c>
      <c r="W412" s="260">
        <f t="shared" si="68"/>
        <v>0.1</v>
      </c>
      <c r="X412" s="260">
        <f t="shared" si="68"/>
        <v>0</v>
      </c>
      <c r="Y412" s="260">
        <f t="shared" si="68"/>
        <v>0</v>
      </c>
      <c r="Z412" s="260">
        <f t="shared" si="68"/>
        <v>0</v>
      </c>
      <c r="AA412" s="260">
        <f t="shared" si="68"/>
        <v>0</v>
      </c>
      <c r="AB412" s="260">
        <f t="shared" si="68"/>
        <v>0</v>
      </c>
      <c r="AC412" s="76"/>
      <c r="AD412" s="76"/>
      <c r="AE412" s="76"/>
      <c r="AF412" s="97">
        <v>1</v>
      </c>
      <c r="AG412" s="97">
        <v>1</v>
      </c>
      <c r="AH412" s="73"/>
      <c r="AI412" s="57"/>
      <c r="AJ412" s="45"/>
      <c r="AK412" s="45"/>
      <c r="AL412" s="45"/>
    </row>
    <row r="413" spans="1:38" hidden="1" outlineLevel="2" x14ac:dyDescent="0.35">
      <c r="A413" s="45"/>
      <c r="B413" s="54"/>
      <c r="C413" s="47">
        <f t="shared" si="65"/>
        <v>3</v>
      </c>
      <c r="D413" s="73"/>
      <c r="E413" s="70"/>
      <c r="F413" s="70" t="s">
        <v>1052</v>
      </c>
      <c r="G413" s="73"/>
      <c r="H413" s="76" t="s">
        <v>1053</v>
      </c>
      <c r="I413" s="96" t="s">
        <v>514</v>
      </c>
      <c r="J413" s="96"/>
      <c r="K413" s="123">
        <v>0.03</v>
      </c>
      <c r="L413" s="97"/>
      <c r="M413" s="76"/>
      <c r="N413" s="76"/>
      <c r="O413" s="76"/>
      <c r="P413" s="76"/>
      <c r="Q413" s="76"/>
      <c r="R413" s="76"/>
      <c r="S413" s="76"/>
      <c r="T413" s="76"/>
      <c r="U413" s="260">
        <f t="shared" si="68"/>
        <v>0.03</v>
      </c>
      <c r="V413" s="260">
        <f t="shared" si="68"/>
        <v>0.03</v>
      </c>
      <c r="W413" s="260">
        <f t="shared" si="68"/>
        <v>0.03</v>
      </c>
      <c r="X413" s="260">
        <f t="shared" si="68"/>
        <v>0</v>
      </c>
      <c r="Y413" s="260">
        <f t="shared" si="68"/>
        <v>0</v>
      </c>
      <c r="Z413" s="260">
        <f t="shared" si="68"/>
        <v>0</v>
      </c>
      <c r="AA413" s="260">
        <f t="shared" si="68"/>
        <v>0</v>
      </c>
      <c r="AB413" s="260">
        <f t="shared" si="68"/>
        <v>0</v>
      </c>
      <c r="AC413" s="76"/>
      <c r="AD413" s="76"/>
      <c r="AE413" s="76"/>
      <c r="AF413" s="97">
        <v>1</v>
      </c>
      <c r="AG413" s="97">
        <v>1</v>
      </c>
      <c r="AH413" s="73"/>
      <c r="AI413" s="57"/>
      <c r="AJ413" s="45"/>
      <c r="AK413" s="45"/>
      <c r="AL413" s="45"/>
    </row>
    <row r="414" spans="1:38" hidden="1" outlineLevel="2" x14ac:dyDescent="0.35">
      <c r="A414" s="45"/>
      <c r="B414" s="54"/>
      <c r="C414" s="47">
        <f t="shared" si="65"/>
        <v>3</v>
      </c>
      <c r="D414" s="73"/>
      <c r="E414" s="70"/>
      <c r="F414" s="70" t="s">
        <v>1054</v>
      </c>
      <c r="G414" s="73"/>
      <c r="H414" s="76" t="s">
        <v>1055</v>
      </c>
      <c r="I414" s="96" t="s">
        <v>514</v>
      </c>
      <c r="J414" s="96"/>
      <c r="K414" s="123">
        <v>0.01</v>
      </c>
      <c r="L414" s="97"/>
      <c r="M414" s="76"/>
      <c r="N414" s="76"/>
      <c r="O414" s="76"/>
      <c r="P414" s="76"/>
      <c r="Q414" s="76"/>
      <c r="R414" s="76"/>
      <c r="S414" s="76"/>
      <c r="T414" s="76"/>
      <c r="U414" s="260">
        <f t="shared" si="68"/>
        <v>0.01</v>
      </c>
      <c r="V414" s="260">
        <f t="shared" si="68"/>
        <v>0.01</v>
      </c>
      <c r="W414" s="260">
        <f t="shared" si="68"/>
        <v>0.01</v>
      </c>
      <c r="X414" s="260">
        <f t="shared" si="68"/>
        <v>0</v>
      </c>
      <c r="Y414" s="260">
        <f t="shared" si="68"/>
        <v>0</v>
      </c>
      <c r="Z414" s="260">
        <f t="shared" si="68"/>
        <v>0</v>
      </c>
      <c r="AA414" s="260">
        <f t="shared" si="68"/>
        <v>0</v>
      </c>
      <c r="AB414" s="260">
        <f t="shared" si="68"/>
        <v>0</v>
      </c>
      <c r="AC414" s="76"/>
      <c r="AD414" s="76"/>
      <c r="AE414" s="76"/>
      <c r="AF414" s="97">
        <v>1</v>
      </c>
      <c r="AG414" s="97">
        <v>1</v>
      </c>
      <c r="AH414" s="73"/>
      <c r="AI414" s="57"/>
      <c r="AJ414" s="45"/>
      <c r="AK414" s="45"/>
      <c r="AL414" s="45"/>
    </row>
    <row r="415" spans="1:38" hidden="1" outlineLevel="2" x14ac:dyDescent="0.35">
      <c r="A415" s="45"/>
      <c r="B415" s="54"/>
      <c r="C415" s="47">
        <f t="shared" si="65"/>
        <v>3</v>
      </c>
      <c r="D415" s="73"/>
      <c r="E415" s="70"/>
      <c r="F415" s="70" t="s">
        <v>1056</v>
      </c>
      <c r="G415" s="73"/>
      <c r="H415" s="76" t="s">
        <v>1057</v>
      </c>
      <c r="I415" s="96" t="s">
        <v>514</v>
      </c>
      <c r="J415" s="96"/>
      <c r="K415" s="123">
        <v>0</v>
      </c>
      <c r="L415" s="97"/>
      <c r="M415" s="76"/>
      <c r="N415" s="76"/>
      <c r="O415" s="76"/>
      <c r="P415" s="76"/>
      <c r="Q415" s="76"/>
      <c r="R415" s="76"/>
      <c r="S415" s="76"/>
      <c r="T415" s="76"/>
      <c r="U415" s="260">
        <f t="shared" si="68"/>
        <v>0</v>
      </c>
      <c r="V415" s="260">
        <f t="shared" si="68"/>
        <v>0</v>
      </c>
      <c r="W415" s="260">
        <f t="shared" si="68"/>
        <v>0</v>
      </c>
      <c r="X415" s="260">
        <f t="shared" si="68"/>
        <v>0</v>
      </c>
      <c r="Y415" s="260">
        <f t="shared" si="68"/>
        <v>0</v>
      </c>
      <c r="Z415" s="260">
        <f t="shared" si="68"/>
        <v>0</v>
      </c>
      <c r="AA415" s="260">
        <f t="shared" si="68"/>
        <v>0</v>
      </c>
      <c r="AB415" s="260">
        <f t="shared" si="68"/>
        <v>0</v>
      </c>
      <c r="AC415" s="76"/>
      <c r="AD415" s="76"/>
      <c r="AE415" s="76"/>
      <c r="AF415" s="97">
        <v>1</v>
      </c>
      <c r="AG415" s="97">
        <v>1</v>
      </c>
      <c r="AH415" s="73"/>
      <c r="AI415" s="57"/>
      <c r="AJ415" s="45"/>
      <c r="AK415" s="45"/>
      <c r="AL415" s="45"/>
    </row>
    <row r="416" spans="1:38" hidden="1" outlineLevel="2" x14ac:dyDescent="0.35">
      <c r="A416" s="45"/>
      <c r="B416" s="54"/>
      <c r="C416" s="47">
        <f t="shared" si="65"/>
        <v>3</v>
      </c>
      <c r="D416" s="73"/>
      <c r="E416" s="70"/>
      <c r="F416" s="70" t="s">
        <v>2247</v>
      </c>
      <c r="G416" s="73"/>
      <c r="H416" s="76" t="s">
        <v>2252</v>
      </c>
      <c r="I416" s="96" t="s">
        <v>2255</v>
      </c>
      <c r="J416" s="96"/>
      <c r="K416" s="76"/>
      <c r="L416" s="76"/>
      <c r="M416" s="76"/>
      <c r="N416" s="76"/>
      <c r="O416" s="76"/>
      <c r="P416" s="76"/>
      <c r="Q416" s="76"/>
      <c r="R416" s="76"/>
      <c r="S416" s="76"/>
      <c r="T416" s="76"/>
      <c r="U416" s="97">
        <f>0.1/365</f>
        <v>2.7397260273972606E-4</v>
      </c>
      <c r="V416" s="97">
        <f t="shared" ref="V416:AB416" si="69">0.1/365</f>
        <v>2.7397260273972606E-4</v>
      </c>
      <c r="W416" s="97">
        <f t="shared" si="69"/>
        <v>2.7397260273972606E-4</v>
      </c>
      <c r="X416" s="97">
        <f t="shared" si="69"/>
        <v>2.7397260273972606E-4</v>
      </c>
      <c r="Y416" s="97">
        <f t="shared" si="69"/>
        <v>2.7397260273972606E-4</v>
      </c>
      <c r="Z416" s="97">
        <f t="shared" si="69"/>
        <v>2.7397260273972606E-4</v>
      </c>
      <c r="AA416" s="97">
        <f t="shared" si="69"/>
        <v>2.7397260273972606E-4</v>
      </c>
      <c r="AB416" s="97">
        <f t="shared" si="69"/>
        <v>2.7397260273972606E-4</v>
      </c>
      <c r="AC416" s="76"/>
      <c r="AD416" s="97" t="s">
        <v>1041</v>
      </c>
      <c r="AE416" s="76"/>
      <c r="AF416" s="97">
        <v>1</v>
      </c>
      <c r="AG416" s="97">
        <v>1</v>
      </c>
      <c r="AH416" s="73"/>
      <c r="AI416" s="57"/>
      <c r="AJ416" s="45"/>
      <c r="AK416" s="45"/>
      <c r="AL416" s="45"/>
    </row>
    <row r="417" spans="1:38" hidden="1" outlineLevel="2" x14ac:dyDescent="0.35">
      <c r="A417" s="45"/>
      <c r="B417" s="54"/>
      <c r="C417" s="47">
        <f t="shared" si="65"/>
        <v>3</v>
      </c>
      <c r="D417" s="73"/>
      <c r="E417" s="70"/>
      <c r="F417" s="70" t="s">
        <v>2248</v>
      </c>
      <c r="G417" s="73"/>
      <c r="H417" s="76" t="s">
        <v>2256</v>
      </c>
      <c r="I417" s="96" t="s">
        <v>514</v>
      </c>
      <c r="J417" s="96"/>
      <c r="K417" s="76"/>
      <c r="L417" s="76"/>
      <c r="M417" s="76"/>
      <c r="N417" s="76"/>
      <c r="O417" s="76"/>
      <c r="P417" s="76"/>
      <c r="Q417" s="76"/>
      <c r="R417" s="76"/>
      <c r="S417" s="76"/>
      <c r="T417" s="76"/>
      <c r="U417" s="97">
        <v>0.8</v>
      </c>
      <c r="V417" s="97">
        <v>0.8</v>
      </c>
      <c r="W417" s="97">
        <v>0.8</v>
      </c>
      <c r="X417" s="97">
        <v>0.8</v>
      </c>
      <c r="Y417" s="97">
        <v>0.8</v>
      </c>
      <c r="Z417" s="97">
        <v>0.8</v>
      </c>
      <c r="AA417" s="97">
        <v>0.8</v>
      </c>
      <c r="AB417" s="97">
        <v>0.8</v>
      </c>
      <c r="AC417" s="76"/>
      <c r="AD417" s="97" t="s">
        <v>472</v>
      </c>
      <c r="AE417" s="76"/>
      <c r="AF417" s="97">
        <v>1</v>
      </c>
      <c r="AG417" s="97">
        <v>1</v>
      </c>
      <c r="AH417" s="73"/>
      <c r="AI417" s="57"/>
      <c r="AJ417" s="45"/>
      <c r="AK417" s="45"/>
      <c r="AL417" s="45"/>
    </row>
    <row r="418" spans="1:38" hidden="1" outlineLevel="2" x14ac:dyDescent="0.35">
      <c r="A418" s="45"/>
      <c r="B418" s="54"/>
      <c r="C418" s="47">
        <f t="shared" si="65"/>
        <v>3</v>
      </c>
      <c r="D418" s="73"/>
      <c r="E418" s="70"/>
      <c r="F418" s="70" t="s">
        <v>2249</v>
      </c>
      <c r="G418" s="73"/>
      <c r="H418" s="76" t="s">
        <v>2253</v>
      </c>
      <c r="I418" s="96" t="s">
        <v>514</v>
      </c>
      <c r="J418" s="96"/>
      <c r="K418" s="76"/>
      <c r="L418" s="76"/>
      <c r="M418" s="76"/>
      <c r="N418" s="76"/>
      <c r="O418" s="76"/>
      <c r="P418" s="76"/>
      <c r="Q418" s="76"/>
      <c r="R418" s="76"/>
      <c r="S418" s="76"/>
      <c r="T418" s="76"/>
      <c r="U418" s="97">
        <v>0.9</v>
      </c>
      <c r="V418" s="97">
        <v>0.9</v>
      </c>
      <c r="W418" s="97">
        <v>0.9</v>
      </c>
      <c r="X418" s="97">
        <v>0.9</v>
      </c>
      <c r="Y418" s="97">
        <v>0.9</v>
      </c>
      <c r="Z418" s="97">
        <v>0.9</v>
      </c>
      <c r="AA418" s="97">
        <v>0.9</v>
      </c>
      <c r="AB418" s="97">
        <v>0.9</v>
      </c>
      <c r="AC418" s="76"/>
      <c r="AD418" s="97" t="s">
        <v>472</v>
      </c>
      <c r="AE418" s="76"/>
      <c r="AF418" s="97">
        <v>1</v>
      </c>
      <c r="AG418" s="97">
        <v>1</v>
      </c>
      <c r="AH418" s="73"/>
      <c r="AI418" s="57"/>
      <c r="AJ418" s="45"/>
      <c r="AK418" s="45"/>
      <c r="AL418" s="45"/>
    </row>
    <row r="419" spans="1:38" hidden="1" outlineLevel="2" x14ac:dyDescent="0.35">
      <c r="A419" s="45"/>
      <c r="B419" s="54"/>
      <c r="C419" s="47">
        <f t="shared" si="65"/>
        <v>3</v>
      </c>
      <c r="D419" s="73"/>
      <c r="E419" s="70"/>
      <c r="F419" s="70" t="s">
        <v>2250</v>
      </c>
      <c r="G419" s="73"/>
      <c r="H419" s="76" t="s">
        <v>2257</v>
      </c>
      <c r="I419" s="96" t="s">
        <v>2258</v>
      </c>
      <c r="J419" s="96"/>
      <c r="K419" s="76"/>
      <c r="L419" s="76"/>
      <c r="M419" s="76"/>
      <c r="N419" s="76"/>
      <c r="O419" s="76"/>
      <c r="P419" s="76"/>
      <c r="Q419" s="76"/>
      <c r="R419" s="76"/>
      <c r="S419" s="76"/>
      <c r="T419" s="76"/>
      <c r="U419" s="97">
        <v>-0.1</v>
      </c>
      <c r="V419" s="97">
        <v>-0.1</v>
      </c>
      <c r="W419" s="97">
        <v>-0.1</v>
      </c>
      <c r="X419" s="97">
        <v>-0.1</v>
      </c>
      <c r="Y419" s="97">
        <v>-0.1</v>
      </c>
      <c r="Z419" s="97">
        <v>-0.1</v>
      </c>
      <c r="AA419" s="97">
        <v>-0.1</v>
      </c>
      <c r="AB419" s="97">
        <v>-0.1</v>
      </c>
      <c r="AC419" s="76"/>
      <c r="AD419" s="97" t="s">
        <v>472</v>
      </c>
      <c r="AE419" s="76"/>
      <c r="AF419" s="97">
        <v>1</v>
      </c>
      <c r="AG419" s="97">
        <v>1</v>
      </c>
      <c r="AH419" s="73"/>
      <c r="AI419" s="57"/>
      <c r="AJ419" s="45"/>
      <c r="AK419" s="45"/>
      <c r="AL419" s="45"/>
    </row>
    <row r="420" spans="1:38" hidden="1" outlineLevel="2" x14ac:dyDescent="0.35">
      <c r="A420" s="45"/>
      <c r="B420" s="54"/>
      <c r="C420" s="47">
        <f t="shared" si="65"/>
        <v>3</v>
      </c>
      <c r="D420" s="73"/>
      <c r="E420" s="70"/>
      <c r="F420" s="70" t="s">
        <v>2251</v>
      </c>
      <c r="G420" s="73"/>
      <c r="H420" s="76" t="s">
        <v>2254</v>
      </c>
      <c r="I420" s="96" t="s">
        <v>2258</v>
      </c>
      <c r="J420" s="96"/>
      <c r="K420" s="76"/>
      <c r="L420" s="76"/>
      <c r="M420" s="76"/>
      <c r="N420" s="76"/>
      <c r="O420" s="76"/>
      <c r="P420" s="76"/>
      <c r="Q420" s="76"/>
      <c r="R420" s="76"/>
      <c r="S420" s="76"/>
      <c r="T420" s="76"/>
      <c r="U420" s="97">
        <v>-0.03</v>
      </c>
      <c r="V420" s="97">
        <v>-0.03</v>
      </c>
      <c r="W420" s="97">
        <v>-0.03</v>
      </c>
      <c r="X420" s="97">
        <v>-0.03</v>
      </c>
      <c r="Y420" s="97">
        <v>-0.03</v>
      </c>
      <c r="Z420" s="97">
        <v>-0.03</v>
      </c>
      <c r="AA420" s="97">
        <v>-0.03</v>
      </c>
      <c r="AB420" s="97">
        <v>-0.03</v>
      </c>
      <c r="AC420" s="76"/>
      <c r="AD420" s="97" t="s">
        <v>472</v>
      </c>
      <c r="AE420" s="76"/>
      <c r="AF420" s="97">
        <v>1</v>
      </c>
      <c r="AG420" s="97">
        <v>1</v>
      </c>
      <c r="AH420" s="73"/>
      <c r="AI420" s="57"/>
      <c r="AJ420" s="45"/>
      <c r="AK420" s="45"/>
      <c r="AL420" s="45"/>
    </row>
    <row r="421" spans="1:38" outlineLevel="1" collapsed="1" x14ac:dyDescent="0.35">
      <c r="A421" s="45"/>
      <c r="B421" s="54"/>
      <c r="C421" s="47">
        <f>INT($C$29)+1</f>
        <v>2</v>
      </c>
      <c r="D421" s="73"/>
      <c r="E421" s="70"/>
      <c r="F421" s="263" t="s">
        <v>1058</v>
      </c>
      <c r="G421" s="73"/>
      <c r="H421" s="253" t="s">
        <v>1059</v>
      </c>
      <c r="I421" s="136"/>
      <c r="J421" s="136" t="s">
        <v>1060</v>
      </c>
      <c r="K421" s="76"/>
      <c r="L421" s="76"/>
      <c r="M421" s="76"/>
      <c r="N421" s="76"/>
      <c r="O421" s="76"/>
      <c r="P421" s="76"/>
      <c r="Q421" s="76"/>
      <c r="R421" s="76"/>
      <c r="S421" s="76"/>
      <c r="T421" s="76"/>
      <c r="U421" s="79">
        <v>24</v>
      </c>
      <c r="V421" s="79">
        <v>8</v>
      </c>
      <c r="W421" s="79">
        <v>-7</v>
      </c>
      <c r="X421" s="76"/>
      <c r="Y421" s="76"/>
      <c r="Z421" s="76"/>
      <c r="AA421" s="76"/>
      <c r="AB421" s="76"/>
      <c r="AC421" s="76"/>
      <c r="AD421" s="76"/>
      <c r="AE421" s="76"/>
      <c r="AF421" s="76"/>
      <c r="AG421" s="76"/>
      <c r="AH421" s="73"/>
      <c r="AI421" s="57"/>
      <c r="AJ421" s="45"/>
      <c r="AK421" s="45"/>
      <c r="AL421" s="45"/>
    </row>
    <row r="422" spans="1:38" hidden="1" outlineLevel="3" x14ac:dyDescent="0.35">
      <c r="A422" s="45"/>
      <c r="B422" s="54"/>
      <c r="C422" s="47">
        <f t="shared" ref="C422:C485" si="70">INT($C$29)+2</f>
        <v>3</v>
      </c>
      <c r="D422" s="73"/>
      <c r="E422" s="70"/>
      <c r="F422" s="70" t="s">
        <v>1061</v>
      </c>
      <c r="G422" s="73"/>
      <c r="H422" s="76" t="s">
        <v>616</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70"/>
        <v>3</v>
      </c>
      <c r="D423" s="73"/>
      <c r="E423" s="70"/>
      <c r="F423" s="70" t="s">
        <v>1062</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70"/>
        <v>3</v>
      </c>
      <c r="D424" s="73"/>
      <c r="E424" s="70"/>
      <c r="F424" s="70" t="s">
        <v>1063</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70"/>
        <v>3</v>
      </c>
      <c r="D425" s="73"/>
      <c r="E425" s="70"/>
      <c r="F425" s="70" t="s">
        <v>1064</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70"/>
        <v>3</v>
      </c>
      <c r="D426" s="73"/>
      <c r="E426" s="70"/>
      <c r="F426" s="70" t="s">
        <v>1065</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70"/>
        <v>3</v>
      </c>
      <c r="D427" s="73"/>
      <c r="E427" s="70"/>
      <c r="F427" s="70" t="s">
        <v>1066</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70"/>
        <v>3</v>
      </c>
      <c r="D428" s="73"/>
      <c r="E428" s="70"/>
      <c r="F428" s="70" t="s">
        <v>1067</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70"/>
        <v>3</v>
      </c>
      <c r="D429" s="73"/>
      <c r="E429" s="70"/>
      <c r="F429" s="70" t="s">
        <v>1068</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70"/>
        <v>3</v>
      </c>
      <c r="D430" s="73"/>
      <c r="E430" s="70"/>
      <c r="F430" s="70" t="s">
        <v>1069</v>
      </c>
      <c r="G430" s="73"/>
      <c r="H430" s="76" t="s">
        <v>616</v>
      </c>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70"/>
        <v>3</v>
      </c>
      <c r="D431" s="73"/>
      <c r="E431" s="70"/>
      <c r="F431" s="70" t="s">
        <v>1070</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70"/>
        <v>3</v>
      </c>
      <c r="D432" s="73"/>
      <c r="E432" s="70"/>
      <c r="F432" s="70" t="s">
        <v>1071</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70"/>
        <v>3</v>
      </c>
      <c r="D433" s="73"/>
      <c r="E433" s="70"/>
      <c r="F433" s="70" t="s">
        <v>1072</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35">
      <c r="A434" s="45"/>
      <c r="B434" s="54"/>
      <c r="C434" s="47">
        <f t="shared" si="70"/>
        <v>3</v>
      </c>
      <c r="D434" s="73"/>
      <c r="E434" s="70"/>
      <c r="F434" s="70" t="s">
        <v>1073</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35">
      <c r="A435" s="45"/>
      <c r="B435" s="54"/>
      <c r="C435" s="47">
        <f t="shared" si="70"/>
        <v>3</v>
      </c>
      <c r="D435" s="73"/>
      <c r="E435" s="70"/>
      <c r="F435" s="70" t="s">
        <v>1074</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35">
      <c r="A436" s="45"/>
      <c r="B436" s="54"/>
      <c r="C436" s="47">
        <f t="shared" si="70"/>
        <v>3</v>
      </c>
      <c r="D436" s="73"/>
      <c r="E436" s="70"/>
      <c r="F436" s="70" t="s">
        <v>1075</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35">
      <c r="A437" s="45"/>
      <c r="B437" s="54"/>
      <c r="C437" s="47">
        <f t="shared" si="70"/>
        <v>3</v>
      </c>
      <c r="D437" s="73"/>
      <c r="E437" s="70"/>
      <c r="F437" s="70" t="s">
        <v>1076</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2" x14ac:dyDescent="0.35">
      <c r="A438" s="45"/>
      <c r="B438" s="54"/>
      <c r="C438" s="47">
        <f t="shared" si="70"/>
        <v>3</v>
      </c>
      <c r="D438" s="73"/>
      <c r="E438" s="70"/>
      <c r="F438" s="70" t="s">
        <v>1077</v>
      </c>
      <c r="G438" s="73"/>
      <c r="H438" s="76" t="s">
        <v>2282</v>
      </c>
      <c r="I438" s="96"/>
      <c r="J438" s="96"/>
      <c r="K438" s="76"/>
      <c r="L438" s="76"/>
      <c r="M438" s="76"/>
      <c r="N438" s="76"/>
      <c r="O438" s="76"/>
      <c r="P438" s="76"/>
      <c r="Q438" s="76"/>
      <c r="R438" s="76"/>
      <c r="S438" s="76"/>
      <c r="T438" s="76"/>
      <c r="U438" s="343">
        <v>0</v>
      </c>
      <c r="V438" s="343">
        <v>0</v>
      </c>
      <c r="W438" s="343">
        <v>0</v>
      </c>
      <c r="X438" s="343">
        <v>0</v>
      </c>
      <c r="Y438" s="343">
        <v>0</v>
      </c>
      <c r="Z438" s="343">
        <v>0</v>
      </c>
      <c r="AA438" s="343">
        <v>0</v>
      </c>
      <c r="AB438" s="343">
        <v>0</v>
      </c>
      <c r="AC438" s="76"/>
      <c r="AD438" s="76"/>
      <c r="AE438" s="76"/>
      <c r="AF438" s="76">
        <v>1</v>
      </c>
      <c r="AG438" s="76">
        <v>1</v>
      </c>
      <c r="AH438" s="73"/>
      <c r="AI438" s="57"/>
      <c r="AJ438" s="45"/>
      <c r="AK438" s="45"/>
      <c r="AL438" s="45"/>
    </row>
    <row r="439" spans="1:38" hidden="1" outlineLevel="2" x14ac:dyDescent="0.35">
      <c r="A439" s="45"/>
      <c r="B439" s="54"/>
      <c r="C439" s="47">
        <f t="shared" si="70"/>
        <v>3</v>
      </c>
      <c r="D439" s="73"/>
      <c r="E439" s="70"/>
      <c r="F439" s="70" t="s">
        <v>1078</v>
      </c>
      <c r="G439" s="73"/>
      <c r="H439" s="76" t="s">
        <v>2612</v>
      </c>
      <c r="I439" s="96"/>
      <c r="J439" s="96"/>
      <c r="K439" s="76"/>
      <c r="L439" s="76"/>
      <c r="M439" s="76"/>
      <c r="N439" s="76"/>
      <c r="O439" s="76"/>
      <c r="P439" s="76"/>
      <c r="Q439" s="76"/>
      <c r="R439" s="76"/>
      <c r="S439" s="76"/>
      <c r="T439" s="76"/>
      <c r="U439" s="123">
        <v>0.33</v>
      </c>
      <c r="V439" s="123">
        <v>0.33</v>
      </c>
      <c r="W439" s="123">
        <v>0.33</v>
      </c>
      <c r="X439" s="123">
        <v>0.33</v>
      </c>
      <c r="Y439" s="123">
        <v>0.33</v>
      </c>
      <c r="Z439" s="123">
        <v>0.33</v>
      </c>
      <c r="AA439" s="123">
        <v>0.33</v>
      </c>
      <c r="AB439" s="123">
        <v>0.33</v>
      </c>
      <c r="AC439" s="76"/>
      <c r="AD439" s="97" t="s">
        <v>2289</v>
      </c>
      <c r="AE439" s="76"/>
      <c r="AF439" s="97">
        <v>1</v>
      </c>
      <c r="AG439" s="97">
        <v>1</v>
      </c>
      <c r="AH439" s="73"/>
      <c r="AI439" s="57"/>
      <c r="AJ439" s="45"/>
      <c r="AK439" s="45"/>
      <c r="AL439" s="45"/>
    </row>
    <row r="440" spans="1:38" hidden="1" outlineLevel="2" x14ac:dyDescent="0.35">
      <c r="A440" s="45"/>
      <c r="B440" s="54"/>
      <c r="C440" s="47">
        <f t="shared" si="70"/>
        <v>3</v>
      </c>
      <c r="D440" s="73"/>
      <c r="E440" s="70"/>
      <c r="F440" s="70" t="s">
        <v>1079</v>
      </c>
      <c r="G440" s="73"/>
      <c r="H440" s="76" t="s">
        <v>2283</v>
      </c>
      <c r="I440" s="96"/>
      <c r="J440" s="96"/>
      <c r="K440" s="76"/>
      <c r="L440" s="76"/>
      <c r="M440" s="76"/>
      <c r="N440" s="76"/>
      <c r="O440" s="76"/>
      <c r="P440" s="76"/>
      <c r="Q440" s="76"/>
      <c r="R440" s="76"/>
      <c r="S440" s="76"/>
      <c r="T440" s="76"/>
      <c r="U440" s="123">
        <v>0.33</v>
      </c>
      <c r="V440" s="123">
        <v>0.33</v>
      </c>
      <c r="W440" s="123">
        <v>0.33</v>
      </c>
      <c r="X440" s="123">
        <v>0.33</v>
      </c>
      <c r="Y440" s="123">
        <v>0.33</v>
      </c>
      <c r="Z440" s="123">
        <v>0.33</v>
      </c>
      <c r="AA440" s="123">
        <v>0.33</v>
      </c>
      <c r="AB440" s="123">
        <v>0.33</v>
      </c>
      <c r="AC440" s="76"/>
      <c r="AD440" s="76"/>
      <c r="AE440" s="76"/>
      <c r="AF440" s="97">
        <v>1</v>
      </c>
      <c r="AG440" s="97">
        <v>1</v>
      </c>
      <c r="AH440" s="73"/>
      <c r="AI440" s="57"/>
      <c r="AJ440" s="45"/>
      <c r="AK440" s="45"/>
      <c r="AL440" s="45"/>
    </row>
    <row r="441" spans="1:38" hidden="1" outlineLevel="2" x14ac:dyDescent="0.35">
      <c r="A441" s="45"/>
      <c r="B441" s="54"/>
      <c r="C441" s="47">
        <f t="shared" si="70"/>
        <v>3</v>
      </c>
      <c r="D441" s="73"/>
      <c r="E441" s="70"/>
      <c r="F441" s="70" t="s">
        <v>1080</v>
      </c>
      <c r="G441" s="73"/>
      <c r="H441" s="76" t="s">
        <v>2284</v>
      </c>
      <c r="I441" s="96"/>
      <c r="J441" s="96"/>
      <c r="K441" s="76"/>
      <c r="L441" s="76"/>
      <c r="M441" s="76"/>
      <c r="N441" s="76"/>
      <c r="O441" s="76"/>
      <c r="P441" s="76"/>
      <c r="Q441" s="76"/>
      <c r="R441" s="76"/>
      <c r="S441" s="76"/>
      <c r="T441" s="76"/>
      <c r="U441" s="123">
        <v>0.33</v>
      </c>
      <c r="V441" s="123">
        <v>0.33</v>
      </c>
      <c r="W441" s="123">
        <v>0.33</v>
      </c>
      <c r="X441" s="123">
        <v>0.33</v>
      </c>
      <c r="Y441" s="123">
        <v>0.33</v>
      </c>
      <c r="Z441" s="123">
        <v>0.33</v>
      </c>
      <c r="AA441" s="123">
        <v>0.33</v>
      </c>
      <c r="AB441" s="123">
        <v>0.33</v>
      </c>
      <c r="AC441" s="76"/>
      <c r="AD441" s="76"/>
      <c r="AE441" s="76"/>
      <c r="AF441" s="97">
        <v>1</v>
      </c>
      <c r="AG441" s="97">
        <v>1</v>
      </c>
      <c r="AH441" s="73"/>
      <c r="AI441" s="57"/>
      <c r="AJ441" s="45"/>
      <c r="AK441" s="45"/>
      <c r="AL441" s="45"/>
    </row>
    <row r="442" spans="1:38" hidden="1" outlineLevel="2" x14ac:dyDescent="0.35">
      <c r="A442" s="45"/>
      <c r="B442" s="54"/>
      <c r="C442" s="47">
        <f t="shared" si="70"/>
        <v>3</v>
      </c>
      <c r="D442" s="73"/>
      <c r="E442" s="70"/>
      <c r="F442" s="70" t="s">
        <v>1081</v>
      </c>
      <c r="G442" s="73"/>
      <c r="H442" s="76" t="s">
        <v>2285</v>
      </c>
      <c r="I442" s="96"/>
      <c r="J442" s="96"/>
      <c r="K442" s="76"/>
      <c r="L442" s="76"/>
      <c r="M442" s="76"/>
      <c r="N442" s="76"/>
      <c r="O442" s="76"/>
      <c r="P442" s="76"/>
      <c r="Q442" s="76"/>
      <c r="R442" s="76"/>
      <c r="S442" s="76"/>
      <c r="T442" s="76"/>
      <c r="U442" s="123">
        <v>0.33</v>
      </c>
      <c r="V442" s="123">
        <v>0.33</v>
      </c>
      <c r="W442" s="123">
        <v>0.33</v>
      </c>
      <c r="X442" s="123">
        <v>0.33</v>
      </c>
      <c r="Y442" s="123">
        <v>0.33</v>
      </c>
      <c r="Z442" s="123">
        <v>0.33</v>
      </c>
      <c r="AA442" s="123">
        <v>0.33</v>
      </c>
      <c r="AB442" s="123">
        <v>0.33</v>
      </c>
      <c r="AC442" s="76"/>
      <c r="AD442" s="76"/>
      <c r="AE442" s="76"/>
      <c r="AF442" s="97">
        <v>1</v>
      </c>
      <c r="AG442" s="97">
        <v>1</v>
      </c>
      <c r="AH442" s="73"/>
      <c r="AI442" s="57"/>
      <c r="AJ442" s="45"/>
      <c r="AK442" s="45"/>
      <c r="AL442" s="45"/>
    </row>
    <row r="443" spans="1:38" hidden="1" outlineLevel="2" x14ac:dyDescent="0.35">
      <c r="A443" s="45"/>
      <c r="B443" s="54"/>
      <c r="C443" s="47">
        <f t="shared" si="70"/>
        <v>3</v>
      </c>
      <c r="D443" s="73"/>
      <c r="E443" s="70"/>
      <c r="F443" s="70" t="s">
        <v>1082</v>
      </c>
      <c r="G443" s="73"/>
      <c r="H443" s="76" t="s">
        <v>2286</v>
      </c>
      <c r="I443" s="96"/>
      <c r="J443" s="96"/>
      <c r="K443" s="76"/>
      <c r="L443" s="76"/>
      <c r="M443" s="76"/>
      <c r="N443" s="76"/>
      <c r="O443" s="76"/>
      <c r="P443" s="76"/>
      <c r="Q443" s="76"/>
      <c r="R443" s="76"/>
      <c r="S443" s="76"/>
      <c r="T443" s="76"/>
      <c r="U443" s="268">
        <f t="shared" ref="U443:AB443" si="71">U442</f>
        <v>0.33</v>
      </c>
      <c r="V443" s="268">
        <f t="shared" si="71"/>
        <v>0.33</v>
      </c>
      <c r="W443" s="268">
        <f t="shared" si="71"/>
        <v>0.33</v>
      </c>
      <c r="X443" s="268">
        <f t="shared" si="71"/>
        <v>0.33</v>
      </c>
      <c r="Y443" s="268">
        <f t="shared" si="71"/>
        <v>0.33</v>
      </c>
      <c r="Z443" s="268">
        <f t="shared" si="71"/>
        <v>0.33</v>
      </c>
      <c r="AA443" s="268">
        <f t="shared" si="71"/>
        <v>0.33</v>
      </c>
      <c r="AB443" s="268">
        <f t="shared" si="71"/>
        <v>0.33</v>
      </c>
      <c r="AC443" s="76"/>
      <c r="AD443" s="76"/>
      <c r="AE443" s="76"/>
      <c r="AF443" s="76">
        <v>1</v>
      </c>
      <c r="AG443" s="76">
        <v>1</v>
      </c>
      <c r="AH443" s="73"/>
      <c r="AI443" s="57"/>
      <c r="AJ443" s="45"/>
      <c r="AK443" s="45"/>
      <c r="AL443" s="45"/>
    </row>
    <row r="444" spans="1:38" hidden="1" outlineLevel="2" x14ac:dyDescent="0.35">
      <c r="A444" s="45"/>
      <c r="B444" s="54"/>
      <c r="C444" s="47">
        <f t="shared" si="70"/>
        <v>3</v>
      </c>
      <c r="D444" s="73"/>
      <c r="E444" s="70"/>
      <c r="F444" s="70" t="s">
        <v>1083</v>
      </c>
      <c r="G444" s="73"/>
      <c r="H444" s="76" t="s">
        <v>2287</v>
      </c>
      <c r="I444" s="96"/>
      <c r="J444" s="96"/>
      <c r="K444" s="76"/>
      <c r="L444" s="76"/>
      <c r="M444" s="76"/>
      <c r="N444" s="76"/>
      <c r="O444" s="76"/>
      <c r="P444" s="76"/>
      <c r="Q444" s="76"/>
      <c r="R444" s="76"/>
      <c r="S444" s="76"/>
      <c r="T444" s="76"/>
      <c r="U444" s="268">
        <f t="shared" ref="U444:AB444" si="72">U443</f>
        <v>0.33</v>
      </c>
      <c r="V444" s="268">
        <f t="shared" si="72"/>
        <v>0.33</v>
      </c>
      <c r="W444" s="268">
        <f t="shared" si="72"/>
        <v>0.33</v>
      </c>
      <c r="X444" s="268">
        <f t="shared" si="72"/>
        <v>0.33</v>
      </c>
      <c r="Y444" s="268">
        <f t="shared" si="72"/>
        <v>0.33</v>
      </c>
      <c r="Z444" s="268">
        <f t="shared" si="72"/>
        <v>0.33</v>
      </c>
      <c r="AA444" s="268">
        <f t="shared" si="72"/>
        <v>0.33</v>
      </c>
      <c r="AB444" s="268">
        <f t="shared" si="72"/>
        <v>0.33</v>
      </c>
      <c r="AC444" s="76"/>
      <c r="AD444" s="76"/>
      <c r="AE444" s="76"/>
      <c r="AF444" s="76">
        <v>1</v>
      </c>
      <c r="AG444" s="76">
        <v>1</v>
      </c>
      <c r="AH444" s="73"/>
      <c r="AI444" s="57"/>
      <c r="AJ444" s="45"/>
      <c r="AK444" s="45"/>
      <c r="AL444" s="45"/>
    </row>
    <row r="445" spans="1:38" hidden="1" outlineLevel="2" collapsed="1" x14ac:dyDescent="0.35">
      <c r="A445" s="45"/>
      <c r="B445" s="54"/>
      <c r="C445" s="47">
        <f t="shared" si="70"/>
        <v>3</v>
      </c>
      <c r="D445" s="73"/>
      <c r="E445" s="70"/>
      <c r="F445" s="70" t="s">
        <v>1084</v>
      </c>
      <c r="G445" s="73"/>
      <c r="H445" s="76" t="s">
        <v>2288</v>
      </c>
      <c r="I445" s="96"/>
      <c r="J445" s="96"/>
      <c r="K445" s="76"/>
      <c r="L445" s="76"/>
      <c r="M445" s="76"/>
      <c r="N445" s="76"/>
      <c r="O445" s="76"/>
      <c r="P445" s="76"/>
      <c r="Q445" s="76"/>
      <c r="R445" s="76"/>
      <c r="S445" s="76"/>
      <c r="T445" s="76"/>
      <c r="U445" s="268">
        <f t="shared" ref="U445:AB445" si="73">U444</f>
        <v>0.33</v>
      </c>
      <c r="V445" s="268">
        <f t="shared" si="73"/>
        <v>0.33</v>
      </c>
      <c r="W445" s="268">
        <f t="shared" si="73"/>
        <v>0.33</v>
      </c>
      <c r="X445" s="268">
        <f t="shared" si="73"/>
        <v>0.33</v>
      </c>
      <c r="Y445" s="268">
        <f t="shared" si="73"/>
        <v>0.33</v>
      </c>
      <c r="Z445" s="268">
        <f t="shared" si="73"/>
        <v>0.33</v>
      </c>
      <c r="AA445" s="268">
        <f t="shared" si="73"/>
        <v>0.33</v>
      </c>
      <c r="AB445" s="268">
        <f t="shared" si="73"/>
        <v>0.33</v>
      </c>
      <c r="AC445" s="76"/>
      <c r="AD445" s="76"/>
      <c r="AE445" s="76"/>
      <c r="AF445" s="76">
        <v>1</v>
      </c>
      <c r="AG445" s="76">
        <v>1</v>
      </c>
      <c r="AH445" s="73"/>
      <c r="AI445" s="57"/>
      <c r="AJ445" s="45"/>
      <c r="AK445" s="45"/>
      <c r="AL445" s="45"/>
    </row>
    <row r="446" spans="1:38" hidden="1" outlineLevel="3" x14ac:dyDescent="0.35">
      <c r="A446" s="45"/>
      <c r="B446" s="54"/>
      <c r="C446" s="47">
        <f t="shared" si="70"/>
        <v>3</v>
      </c>
      <c r="D446" s="73"/>
      <c r="E446" s="70"/>
      <c r="F446" s="70" t="s">
        <v>1085</v>
      </c>
      <c r="G446" s="73"/>
      <c r="H446" s="76" t="s">
        <v>616</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70"/>
        <v>3</v>
      </c>
      <c r="D447" s="73"/>
      <c r="E447" s="70"/>
      <c r="F447" s="70" t="s">
        <v>1086</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70"/>
        <v>3</v>
      </c>
      <c r="D448" s="73"/>
      <c r="E448" s="70"/>
      <c r="F448" s="70" t="s">
        <v>1087</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70"/>
        <v>3</v>
      </c>
      <c r="D449" s="73"/>
      <c r="E449" s="70"/>
      <c r="F449" s="70" t="s">
        <v>1088</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70"/>
        <v>3</v>
      </c>
      <c r="D450" s="73"/>
      <c r="E450" s="70"/>
      <c r="F450" s="70" t="s">
        <v>1089</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70"/>
        <v>3</v>
      </c>
      <c r="D451" s="73"/>
      <c r="E451" s="70"/>
      <c r="F451" s="70" t="s">
        <v>1090</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70"/>
        <v>3</v>
      </c>
      <c r="D452" s="73"/>
      <c r="E452" s="70"/>
      <c r="F452" s="70" t="s">
        <v>1091</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70"/>
        <v>3</v>
      </c>
      <c r="D453" s="73"/>
      <c r="E453" s="70"/>
      <c r="F453" s="70" t="s">
        <v>1092</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70"/>
        <v>3</v>
      </c>
      <c r="D454" s="73"/>
      <c r="E454" s="70"/>
      <c r="F454" s="70" t="s">
        <v>1093</v>
      </c>
      <c r="G454" s="73"/>
      <c r="H454" s="76" t="s">
        <v>616</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70"/>
        <v>3</v>
      </c>
      <c r="D455" s="73"/>
      <c r="E455" s="70"/>
      <c r="F455" s="70" t="s">
        <v>1094</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70"/>
        <v>3</v>
      </c>
      <c r="D456" s="73"/>
      <c r="E456" s="70"/>
      <c r="F456" s="70" t="s">
        <v>1095</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70"/>
        <v>3</v>
      </c>
      <c r="D457" s="73"/>
      <c r="E457" s="70"/>
      <c r="F457" s="70" t="s">
        <v>1096</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70"/>
        <v>3</v>
      </c>
      <c r="D458" s="73"/>
      <c r="E458" s="70"/>
      <c r="F458" s="70" t="s">
        <v>1097</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70"/>
        <v>3</v>
      </c>
      <c r="D459" s="73"/>
      <c r="E459" s="70"/>
      <c r="F459" s="70" t="s">
        <v>1098</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70"/>
        <v>3</v>
      </c>
      <c r="D460" s="73"/>
      <c r="E460" s="70"/>
      <c r="F460" s="70" t="s">
        <v>1099</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70"/>
        <v>3</v>
      </c>
      <c r="D461" s="73"/>
      <c r="E461" s="70"/>
      <c r="F461" s="70" t="s">
        <v>1100</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70"/>
        <v>3</v>
      </c>
      <c r="D462" s="73"/>
      <c r="E462" s="70"/>
      <c r="F462" s="70" t="s">
        <v>1101</v>
      </c>
      <c r="G462" s="73"/>
      <c r="H462" s="76" t="s">
        <v>616</v>
      </c>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70"/>
        <v>3</v>
      </c>
      <c r="D463" s="73"/>
      <c r="E463" s="70"/>
      <c r="F463" s="70" t="s">
        <v>1102</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70"/>
        <v>3</v>
      </c>
      <c r="D464" s="73"/>
      <c r="E464" s="70"/>
      <c r="F464" s="70" t="s">
        <v>1103</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70"/>
        <v>3</v>
      </c>
      <c r="D465" s="73"/>
      <c r="E465" s="70"/>
      <c r="F465" s="70" t="s">
        <v>1104</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70"/>
        <v>3</v>
      </c>
      <c r="D466" s="73"/>
      <c r="E466" s="70"/>
      <c r="F466" s="70" t="s">
        <v>1105</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70"/>
        <v>3</v>
      </c>
      <c r="D467" s="73"/>
      <c r="E467" s="70"/>
      <c r="F467" s="70" t="s">
        <v>1106</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70"/>
        <v>3</v>
      </c>
      <c r="D468" s="73"/>
      <c r="E468" s="70"/>
      <c r="F468" s="70" t="s">
        <v>1107</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70"/>
        <v>3</v>
      </c>
      <c r="D469" s="73"/>
      <c r="E469" s="70"/>
      <c r="F469" s="70" t="s">
        <v>1108</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70"/>
        <v>3</v>
      </c>
      <c r="D470" s="73"/>
      <c r="E470" s="70"/>
      <c r="F470" s="70" t="s">
        <v>1109</v>
      </c>
      <c r="G470" s="73"/>
      <c r="H470" s="76" t="s">
        <v>616</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70"/>
        <v>3</v>
      </c>
      <c r="D471" s="73"/>
      <c r="E471" s="70"/>
      <c r="F471" s="70" t="s">
        <v>1110</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70"/>
        <v>3</v>
      </c>
      <c r="D472" s="73"/>
      <c r="E472" s="70"/>
      <c r="F472" s="70" t="s">
        <v>1111</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70"/>
        <v>3</v>
      </c>
      <c r="D473" s="73"/>
      <c r="E473" s="70"/>
      <c r="F473" s="70" t="s">
        <v>1112</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70"/>
        <v>3</v>
      </c>
      <c r="D474" s="73"/>
      <c r="E474" s="70"/>
      <c r="F474" s="70" t="s">
        <v>1113</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70"/>
        <v>3</v>
      </c>
      <c r="D475" s="73"/>
      <c r="E475" s="70"/>
      <c r="F475" s="70" t="s">
        <v>1114</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70"/>
        <v>3</v>
      </c>
      <c r="D476" s="73"/>
      <c r="E476" s="70"/>
      <c r="F476" s="70" t="s">
        <v>1115</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70"/>
        <v>3</v>
      </c>
      <c r="D477" s="73"/>
      <c r="E477" s="70"/>
      <c r="F477" s="70" t="s">
        <v>1116</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70"/>
        <v>3</v>
      </c>
      <c r="D478" s="73"/>
      <c r="E478" s="70"/>
      <c r="F478" s="70" t="s">
        <v>1117</v>
      </c>
      <c r="G478" s="73"/>
      <c r="H478" s="76" t="s">
        <v>616</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70"/>
        <v>3</v>
      </c>
      <c r="D479" s="73"/>
      <c r="E479" s="70"/>
      <c r="F479" s="70" t="s">
        <v>1118</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70"/>
        <v>3</v>
      </c>
      <c r="D480" s="73"/>
      <c r="E480" s="70"/>
      <c r="F480" s="70" t="s">
        <v>1119</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70"/>
        <v>3</v>
      </c>
      <c r="D481" s="73"/>
      <c r="E481" s="70"/>
      <c r="F481" s="70" t="s">
        <v>1120</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70"/>
        <v>3</v>
      </c>
      <c r="D482" s="73"/>
      <c r="E482" s="70"/>
      <c r="F482" s="70" t="s">
        <v>1121</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70"/>
        <v>3</v>
      </c>
      <c r="D483" s="73"/>
      <c r="E483" s="70"/>
      <c r="F483" s="70" t="s">
        <v>1122</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70"/>
        <v>3</v>
      </c>
      <c r="D484" s="73"/>
      <c r="E484" s="70"/>
      <c r="F484" s="70" t="s">
        <v>1123</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70"/>
        <v>3</v>
      </c>
      <c r="D485" s="73"/>
      <c r="E485" s="70"/>
      <c r="F485" s="70" t="s">
        <v>1124</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35">
      <c r="A486" s="45"/>
      <c r="B486" s="54"/>
      <c r="C486" s="47">
        <f t="shared" ref="C486:C549" si="74">INT($C$29)+2</f>
        <v>3</v>
      </c>
      <c r="D486" s="73"/>
      <c r="E486" s="70"/>
      <c r="F486" s="70" t="s">
        <v>1125</v>
      </c>
      <c r="G486" s="73"/>
      <c r="H486" s="76" t="s">
        <v>2191</v>
      </c>
      <c r="I486" s="96"/>
      <c r="J486" s="96"/>
      <c r="K486" s="76"/>
      <c r="L486" s="76"/>
      <c r="M486" s="76"/>
      <c r="N486" s="76"/>
      <c r="O486" s="76"/>
      <c r="P486" s="76"/>
      <c r="Q486" s="76"/>
      <c r="R486" s="76"/>
      <c r="S486" s="76"/>
      <c r="T486" s="76"/>
      <c r="U486" s="97">
        <f>-1+0.4</f>
        <v>-0.6</v>
      </c>
      <c r="V486" s="262">
        <f>U486</f>
        <v>-0.6</v>
      </c>
      <c r="W486" s="262">
        <f>V486</f>
        <v>-0.6</v>
      </c>
      <c r="X486" s="262">
        <f>Y486</f>
        <v>-1</v>
      </c>
      <c r="Y486" s="97">
        <v>-1</v>
      </c>
      <c r="Z486" s="262">
        <f>Y486</f>
        <v>-1</v>
      </c>
      <c r="AA486" s="262">
        <f>Z486</f>
        <v>-1</v>
      </c>
      <c r="AB486" s="262">
        <f>AA486</f>
        <v>-1</v>
      </c>
      <c r="AC486" s="76"/>
      <c r="AD486" s="97" t="s">
        <v>2608</v>
      </c>
      <c r="AE486" s="76"/>
      <c r="AF486" s="97">
        <v>1</v>
      </c>
      <c r="AG486" s="97">
        <v>1</v>
      </c>
      <c r="AH486" s="73"/>
      <c r="AI486" s="57"/>
      <c r="AJ486" s="45"/>
      <c r="AK486" s="45"/>
      <c r="AL486" s="45"/>
    </row>
    <row r="487" spans="1:38" hidden="1" outlineLevel="2" x14ac:dyDescent="0.35">
      <c r="A487" s="45"/>
      <c r="B487" s="54"/>
      <c r="C487" s="47">
        <f t="shared" si="74"/>
        <v>3</v>
      </c>
      <c r="D487" s="73"/>
      <c r="E487" s="70"/>
      <c r="F487" s="70" t="s">
        <v>1126</v>
      </c>
      <c r="G487" s="73"/>
      <c r="H487" s="76" t="s">
        <v>2618</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97">
        <v>1</v>
      </c>
      <c r="AG487" s="97">
        <v>1</v>
      </c>
      <c r="AH487" s="73"/>
      <c r="AI487" s="57"/>
      <c r="AJ487" s="45"/>
      <c r="AK487" s="45"/>
      <c r="AL487" s="45"/>
    </row>
    <row r="488" spans="1:38" hidden="1" outlineLevel="2" collapsed="1" x14ac:dyDescent="0.35">
      <c r="A488" s="45"/>
      <c r="B488" s="54"/>
      <c r="C488" s="47">
        <f t="shared" si="74"/>
        <v>3</v>
      </c>
      <c r="D488" s="73"/>
      <c r="E488" s="70"/>
      <c r="F488" s="70" t="s">
        <v>1127</v>
      </c>
      <c r="G488" s="73"/>
      <c r="H488" s="76" t="s">
        <v>2619</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97">
        <v>1</v>
      </c>
      <c r="AG488" s="97">
        <v>1</v>
      </c>
      <c r="AH488" s="73"/>
      <c r="AI488" s="57"/>
      <c r="AJ488" s="45"/>
      <c r="AK488" s="45"/>
      <c r="AL488" s="45"/>
    </row>
    <row r="489" spans="1:38" hidden="1" outlineLevel="3" x14ac:dyDescent="0.35">
      <c r="A489" s="45"/>
      <c r="B489" s="54"/>
      <c r="C489" s="47">
        <f t="shared" si="74"/>
        <v>3</v>
      </c>
      <c r="D489" s="73"/>
      <c r="E489" s="70"/>
      <c r="F489" s="70" t="s">
        <v>1128</v>
      </c>
      <c r="G489" s="73"/>
      <c r="H489" s="76" t="s">
        <v>2620</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74"/>
        <v>3</v>
      </c>
      <c r="D490" s="73"/>
      <c r="E490" s="70"/>
      <c r="F490" s="70" t="s">
        <v>1129</v>
      </c>
      <c r="G490" s="73"/>
      <c r="H490" s="76" t="s">
        <v>2621</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74"/>
        <v>3</v>
      </c>
      <c r="D491" s="73"/>
      <c r="E491" s="70"/>
      <c r="F491" s="70" t="s">
        <v>1130</v>
      </c>
      <c r="G491" s="73"/>
      <c r="H491" s="76" t="s">
        <v>2622</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74"/>
        <v>3</v>
      </c>
      <c r="D492" s="73"/>
      <c r="E492" s="70"/>
      <c r="F492" s="70" t="s">
        <v>1131</v>
      </c>
      <c r="G492" s="73"/>
      <c r="H492" s="76" t="s">
        <v>2623</v>
      </c>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collapsed="1" x14ac:dyDescent="0.35">
      <c r="A493" s="45"/>
      <c r="B493" s="54"/>
      <c r="C493" s="47">
        <f t="shared" si="74"/>
        <v>3</v>
      </c>
      <c r="D493" s="73"/>
      <c r="E493" s="70"/>
      <c r="F493" s="70" t="s">
        <v>1132</v>
      </c>
      <c r="G493" s="73"/>
      <c r="H493" s="76" t="s">
        <v>2624</v>
      </c>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74"/>
        <v>3</v>
      </c>
      <c r="D494" s="73"/>
      <c r="E494" s="70"/>
      <c r="F494" s="70" t="s">
        <v>1133</v>
      </c>
      <c r="G494" s="73"/>
      <c r="H494" s="76" t="s">
        <v>616</v>
      </c>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74"/>
        <v>3</v>
      </c>
      <c r="D495" s="73"/>
      <c r="E495" s="70"/>
      <c r="F495" s="70" t="s">
        <v>1134</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74"/>
        <v>3</v>
      </c>
      <c r="D496" s="73"/>
      <c r="E496" s="70"/>
      <c r="F496" s="70" t="s">
        <v>1135</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74"/>
        <v>3</v>
      </c>
      <c r="D497" s="73"/>
      <c r="E497" s="70"/>
      <c r="F497" s="70" t="s">
        <v>1136</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74"/>
        <v>3</v>
      </c>
      <c r="D498" s="73"/>
      <c r="E498" s="70"/>
      <c r="F498" s="70" t="s">
        <v>1137</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74"/>
        <v>3</v>
      </c>
      <c r="D499" s="73"/>
      <c r="E499" s="70"/>
      <c r="F499" s="70" t="s">
        <v>1138</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74"/>
        <v>3</v>
      </c>
      <c r="D500" s="73"/>
      <c r="E500" s="70"/>
      <c r="F500" s="70" t="s">
        <v>1139</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74"/>
        <v>3</v>
      </c>
      <c r="D501" s="73"/>
      <c r="E501" s="70"/>
      <c r="F501" s="70" t="s">
        <v>1140</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74"/>
        <v>3</v>
      </c>
      <c r="D502" s="73"/>
      <c r="E502" s="70"/>
      <c r="F502" s="70" t="s">
        <v>1141</v>
      </c>
      <c r="G502" s="73"/>
      <c r="H502" s="76" t="s">
        <v>616</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74"/>
        <v>3</v>
      </c>
      <c r="D503" s="73"/>
      <c r="E503" s="70"/>
      <c r="F503" s="70" t="s">
        <v>1142</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74"/>
        <v>3</v>
      </c>
      <c r="D504" s="73"/>
      <c r="E504" s="70"/>
      <c r="F504" s="70" t="s">
        <v>1143</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74"/>
        <v>3</v>
      </c>
      <c r="D505" s="73"/>
      <c r="E505" s="70"/>
      <c r="F505" s="70" t="s">
        <v>1144</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74"/>
        <v>3</v>
      </c>
      <c r="D506" s="73"/>
      <c r="E506" s="70"/>
      <c r="F506" s="70" t="s">
        <v>1145</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74"/>
        <v>3</v>
      </c>
      <c r="D507" s="73"/>
      <c r="E507" s="70"/>
      <c r="F507" s="70" t="s">
        <v>1146</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74"/>
        <v>3</v>
      </c>
      <c r="D508" s="73"/>
      <c r="E508" s="70"/>
      <c r="F508" s="70" t="s">
        <v>1147</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74"/>
        <v>3</v>
      </c>
      <c r="D509" s="73"/>
      <c r="E509" s="70"/>
      <c r="F509" s="70" t="s">
        <v>1148</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74"/>
        <v>3</v>
      </c>
      <c r="D510" s="73"/>
      <c r="E510" s="70"/>
      <c r="F510" s="70" t="s">
        <v>1149</v>
      </c>
      <c r="G510" s="73"/>
      <c r="H510" s="76" t="s">
        <v>616</v>
      </c>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74"/>
        <v>3</v>
      </c>
      <c r="D511" s="73"/>
      <c r="E511" s="70"/>
      <c r="F511" s="70" t="s">
        <v>1150</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74"/>
        <v>3</v>
      </c>
      <c r="D512" s="73"/>
      <c r="E512" s="70"/>
      <c r="F512" s="70" t="s">
        <v>1151</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74"/>
        <v>3</v>
      </c>
      <c r="D513" s="73"/>
      <c r="E513" s="70"/>
      <c r="F513" s="70" t="s">
        <v>1152</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35">
      <c r="A514" s="45"/>
      <c r="B514" s="54"/>
      <c r="C514" s="47">
        <f t="shared" si="74"/>
        <v>3</v>
      </c>
      <c r="D514" s="73"/>
      <c r="E514" s="70"/>
      <c r="F514" s="70" t="s">
        <v>1153</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35">
      <c r="A515" s="45"/>
      <c r="B515" s="54"/>
      <c r="C515" s="47">
        <f t="shared" si="74"/>
        <v>3</v>
      </c>
      <c r="D515" s="73"/>
      <c r="E515" s="70"/>
      <c r="F515" s="70" t="s">
        <v>1154</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35">
      <c r="A516" s="45"/>
      <c r="B516" s="54"/>
      <c r="C516" s="47">
        <f t="shared" si="74"/>
        <v>3</v>
      </c>
      <c r="D516" s="73"/>
      <c r="E516" s="70"/>
      <c r="F516" s="70" t="s">
        <v>1155</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35">
      <c r="A517" s="45"/>
      <c r="B517" s="54"/>
      <c r="C517" s="47">
        <f t="shared" si="74"/>
        <v>3</v>
      </c>
      <c r="D517" s="73"/>
      <c r="E517" s="70"/>
      <c r="F517" s="70" t="s">
        <v>1156</v>
      </c>
      <c r="G517" s="73"/>
      <c r="H517" s="76"/>
      <c r="I517" s="96"/>
      <c r="J517" s="96"/>
      <c r="K517" s="76"/>
      <c r="L517" s="76"/>
      <c r="M517" s="76"/>
      <c r="N517" s="76"/>
      <c r="O517" s="76"/>
      <c r="P517" s="76"/>
      <c r="Q517" s="76"/>
      <c r="R517" s="76"/>
      <c r="S517" s="76"/>
      <c r="T517" s="96" t="s">
        <v>1157</v>
      </c>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2" x14ac:dyDescent="0.35">
      <c r="A518" s="45"/>
      <c r="B518" s="54"/>
      <c r="C518" s="47">
        <f t="shared" si="74"/>
        <v>3</v>
      </c>
      <c r="D518" s="73"/>
      <c r="E518" s="70"/>
      <c r="F518" s="70" t="s">
        <v>1158</v>
      </c>
      <c r="G518" s="73"/>
      <c r="H518" s="76" t="s">
        <v>1159</v>
      </c>
      <c r="I518" s="96" t="s">
        <v>514</v>
      </c>
      <c r="J518" s="96" t="s">
        <v>1160</v>
      </c>
      <c r="K518" s="76"/>
      <c r="L518" s="76"/>
      <c r="M518" s="76"/>
      <c r="N518" s="76"/>
      <c r="O518" s="76"/>
      <c r="P518" s="76"/>
      <c r="Q518" s="76"/>
      <c r="R518" s="76"/>
      <c r="S518" s="76"/>
      <c r="T518" s="76">
        <v>-0.1</v>
      </c>
      <c r="U518" s="97">
        <v>-0.2</v>
      </c>
      <c r="V518" s="97">
        <v>-0.2</v>
      </c>
      <c r="W518" s="97">
        <v>-0.2</v>
      </c>
      <c r="X518" s="262">
        <f t="shared" ref="X518:AB530" si="75">W518</f>
        <v>-0.2</v>
      </c>
      <c r="Y518" s="262">
        <f t="shared" si="75"/>
        <v>-0.2</v>
      </c>
      <c r="Z518" s="262">
        <f t="shared" si="75"/>
        <v>-0.2</v>
      </c>
      <c r="AA518" s="262">
        <f t="shared" si="75"/>
        <v>-0.2</v>
      </c>
      <c r="AB518" s="262">
        <f t="shared" si="75"/>
        <v>-0.2</v>
      </c>
      <c r="AC518" s="76"/>
      <c r="AD518" s="97" t="s">
        <v>1161</v>
      </c>
      <c r="AE518" s="76"/>
      <c r="AF518" s="97">
        <v>1</v>
      </c>
      <c r="AG518" s="97">
        <v>1</v>
      </c>
      <c r="AH518" s="73"/>
      <c r="AI518" s="57"/>
      <c r="AJ518" s="45"/>
      <c r="AK518" s="45"/>
      <c r="AL518" s="45"/>
    </row>
    <row r="519" spans="1:38" hidden="1" outlineLevel="2" x14ac:dyDescent="0.35">
      <c r="A519" s="45"/>
      <c r="B519" s="54"/>
      <c r="C519" s="47">
        <f t="shared" si="74"/>
        <v>3</v>
      </c>
      <c r="D519" s="73"/>
      <c r="E519" s="70"/>
      <c r="F519" s="70" t="s">
        <v>1162</v>
      </c>
      <c r="G519" s="73"/>
      <c r="H519" s="76" t="s">
        <v>2625</v>
      </c>
      <c r="I519" s="96" t="s">
        <v>514</v>
      </c>
      <c r="J519" s="96" t="s">
        <v>1160</v>
      </c>
      <c r="K519" s="76"/>
      <c r="L519" s="76"/>
      <c r="M519" s="76"/>
      <c r="N519" s="76"/>
      <c r="O519" s="76"/>
      <c r="P519" s="76"/>
      <c r="Q519" s="76"/>
      <c r="R519" s="76"/>
      <c r="S519" s="76"/>
      <c r="T519" s="76">
        <v>0</v>
      </c>
      <c r="U519" s="97">
        <v>-0.1</v>
      </c>
      <c r="V519" s="97">
        <v>-0.1</v>
      </c>
      <c r="W519" s="97">
        <v>-0.1</v>
      </c>
      <c r="X519" s="262">
        <f t="shared" si="75"/>
        <v>-0.1</v>
      </c>
      <c r="Y519" s="262">
        <f t="shared" si="75"/>
        <v>-0.1</v>
      </c>
      <c r="Z519" s="262">
        <f t="shared" si="75"/>
        <v>-0.1</v>
      </c>
      <c r="AA519" s="262">
        <f t="shared" si="75"/>
        <v>-0.1</v>
      </c>
      <c r="AB519" s="262">
        <f t="shared" si="75"/>
        <v>-0.1</v>
      </c>
      <c r="AC519" s="76"/>
      <c r="AD519" s="97" t="s">
        <v>2613</v>
      </c>
      <c r="AE519" s="76"/>
      <c r="AF519" s="97">
        <v>1</v>
      </c>
      <c r="AG519" s="97">
        <v>1</v>
      </c>
      <c r="AH519" s="73"/>
      <c r="AI519" s="57"/>
      <c r="AJ519" s="45"/>
      <c r="AK519" s="45"/>
      <c r="AL519" s="45"/>
    </row>
    <row r="520" spans="1:38" hidden="1" outlineLevel="2" x14ac:dyDescent="0.35">
      <c r="A520" s="45"/>
      <c r="B520" s="54"/>
      <c r="C520" s="47">
        <f t="shared" si="74"/>
        <v>3</v>
      </c>
      <c r="D520" s="73"/>
      <c r="E520" s="70"/>
      <c r="F520" s="70" t="s">
        <v>1163</v>
      </c>
      <c r="G520" s="73"/>
      <c r="H520" s="76" t="s">
        <v>2626</v>
      </c>
      <c r="I520" s="96" t="s">
        <v>514</v>
      </c>
      <c r="J520" s="96" t="s">
        <v>1160</v>
      </c>
      <c r="K520" s="76"/>
      <c r="L520" s="76"/>
      <c r="M520" s="76"/>
      <c r="N520" s="76"/>
      <c r="O520" s="76"/>
      <c r="P520" s="76"/>
      <c r="Q520" s="76"/>
      <c r="R520" s="76"/>
      <c r="S520" s="76"/>
      <c r="T520" s="76">
        <v>-1.4E-2</v>
      </c>
      <c r="U520" s="97">
        <v>0</v>
      </c>
      <c r="V520" s="97">
        <v>0</v>
      </c>
      <c r="W520" s="97">
        <v>0</v>
      </c>
      <c r="X520" s="262">
        <f t="shared" si="75"/>
        <v>0</v>
      </c>
      <c r="Y520" s="262">
        <f t="shared" si="75"/>
        <v>0</v>
      </c>
      <c r="Z520" s="262">
        <f t="shared" si="75"/>
        <v>0</v>
      </c>
      <c r="AA520" s="262">
        <f t="shared" si="75"/>
        <v>0</v>
      </c>
      <c r="AB520" s="262">
        <f t="shared" si="75"/>
        <v>0</v>
      </c>
      <c r="AC520" s="76"/>
      <c r="AD520" s="97"/>
      <c r="AE520" s="76"/>
      <c r="AF520" s="97">
        <v>1</v>
      </c>
      <c r="AG520" s="97">
        <v>1</v>
      </c>
      <c r="AH520" s="73"/>
      <c r="AI520" s="57"/>
      <c r="AJ520" s="45"/>
      <c r="AK520" s="45"/>
      <c r="AL520" s="45"/>
    </row>
    <row r="521" spans="1:38" hidden="1" outlineLevel="2" x14ac:dyDescent="0.35">
      <c r="A521" s="45"/>
      <c r="B521" s="54"/>
      <c r="C521" s="47">
        <f t="shared" si="74"/>
        <v>3</v>
      </c>
      <c r="D521" s="73"/>
      <c r="E521" s="70"/>
      <c r="F521" s="70" t="s">
        <v>1164</v>
      </c>
      <c r="G521" s="73"/>
      <c r="H521" s="76" t="s">
        <v>2627</v>
      </c>
      <c r="I521" s="96" t="s">
        <v>514</v>
      </c>
      <c r="J521" s="96" t="s">
        <v>1160</v>
      </c>
      <c r="K521" s="76"/>
      <c r="L521" s="76"/>
      <c r="M521" s="76"/>
      <c r="N521" s="76"/>
      <c r="O521" s="76"/>
      <c r="P521" s="76"/>
      <c r="Q521" s="76"/>
      <c r="R521" s="76"/>
      <c r="S521" s="76"/>
      <c r="T521" s="76">
        <v>-0.104</v>
      </c>
      <c r="U521" s="97">
        <v>0</v>
      </c>
      <c r="V521" s="97">
        <v>0</v>
      </c>
      <c r="W521" s="97">
        <v>0</v>
      </c>
      <c r="X521" s="262">
        <f t="shared" si="75"/>
        <v>0</v>
      </c>
      <c r="Y521" s="262">
        <f t="shared" si="75"/>
        <v>0</v>
      </c>
      <c r="Z521" s="262">
        <f t="shared" si="75"/>
        <v>0</v>
      </c>
      <c r="AA521" s="262">
        <f t="shared" si="75"/>
        <v>0</v>
      </c>
      <c r="AB521" s="262">
        <f t="shared" si="75"/>
        <v>0</v>
      </c>
      <c r="AC521" s="76"/>
      <c r="AD521" s="97"/>
      <c r="AE521" s="76"/>
      <c r="AF521" s="97">
        <v>1</v>
      </c>
      <c r="AG521" s="97">
        <v>1</v>
      </c>
      <c r="AH521" s="73"/>
      <c r="AI521" s="57"/>
      <c r="AJ521" s="45"/>
      <c r="AK521" s="45"/>
      <c r="AL521" s="45"/>
    </row>
    <row r="522" spans="1:38" hidden="1" outlineLevel="2" collapsed="1" x14ac:dyDescent="0.35">
      <c r="A522" s="45"/>
      <c r="B522" s="54"/>
      <c r="C522" s="47">
        <f t="shared" si="74"/>
        <v>3</v>
      </c>
      <c r="D522" s="73"/>
      <c r="E522" s="70"/>
      <c r="F522" s="70" t="s">
        <v>1165</v>
      </c>
      <c r="G522" s="73"/>
      <c r="H522" s="76" t="s">
        <v>2628</v>
      </c>
      <c r="I522" s="96" t="s">
        <v>514</v>
      </c>
      <c r="J522" s="96" t="s">
        <v>1160</v>
      </c>
      <c r="K522" s="76"/>
      <c r="L522" s="76"/>
      <c r="M522" s="76"/>
      <c r="N522" s="76"/>
      <c r="O522" s="76"/>
      <c r="P522" s="76"/>
      <c r="Q522" s="76"/>
      <c r="R522" s="76"/>
      <c r="S522" s="76"/>
      <c r="T522" s="76">
        <v>-0.32100000000000001</v>
      </c>
      <c r="U522" s="97">
        <v>0</v>
      </c>
      <c r="V522" s="97">
        <v>0</v>
      </c>
      <c r="W522" s="97">
        <v>0</v>
      </c>
      <c r="X522" s="262">
        <f t="shared" si="75"/>
        <v>0</v>
      </c>
      <c r="Y522" s="262">
        <f t="shared" si="75"/>
        <v>0</v>
      </c>
      <c r="Z522" s="262">
        <f t="shared" si="75"/>
        <v>0</v>
      </c>
      <c r="AA522" s="262">
        <f t="shared" si="75"/>
        <v>0</v>
      </c>
      <c r="AB522" s="262">
        <f t="shared" si="75"/>
        <v>0</v>
      </c>
      <c r="AC522" s="76"/>
      <c r="AD522" s="97"/>
      <c r="AE522" s="76"/>
      <c r="AF522" s="97">
        <v>1</v>
      </c>
      <c r="AG522" s="97">
        <v>1</v>
      </c>
      <c r="AH522" s="73"/>
      <c r="AI522" s="57"/>
      <c r="AJ522" s="45"/>
      <c r="AK522" s="45"/>
      <c r="AL522" s="45"/>
    </row>
    <row r="523" spans="1:38" hidden="1" outlineLevel="3" x14ac:dyDescent="0.35">
      <c r="A523" s="45"/>
      <c r="B523" s="54"/>
      <c r="C523" s="47">
        <f t="shared" si="74"/>
        <v>3</v>
      </c>
      <c r="D523" s="73"/>
      <c r="E523" s="70"/>
      <c r="F523" s="70" t="s">
        <v>1166</v>
      </c>
      <c r="G523" s="73"/>
      <c r="H523" s="76" t="s">
        <v>2629</v>
      </c>
      <c r="I523" s="96" t="s">
        <v>514</v>
      </c>
      <c r="J523" s="96" t="s">
        <v>1160</v>
      </c>
      <c r="K523" s="76"/>
      <c r="L523" s="76"/>
      <c r="M523" s="76"/>
      <c r="N523" s="76"/>
      <c r="O523" s="76"/>
      <c r="P523" s="76"/>
      <c r="Q523" s="76"/>
      <c r="R523" s="76"/>
      <c r="S523" s="76"/>
      <c r="T523" s="76">
        <v>-0.32100000000000001</v>
      </c>
      <c r="U523" s="268">
        <f>U522</f>
        <v>0</v>
      </c>
      <c r="V523" s="268">
        <f>V522</f>
        <v>0</v>
      </c>
      <c r="W523" s="268">
        <f>W522</f>
        <v>0</v>
      </c>
      <c r="X523" s="268">
        <f t="shared" ref="X523:AB525" si="76">X522</f>
        <v>0</v>
      </c>
      <c r="Y523" s="268">
        <f t="shared" si="76"/>
        <v>0</v>
      </c>
      <c r="Z523" s="268">
        <f t="shared" si="76"/>
        <v>0</v>
      </c>
      <c r="AA523" s="268">
        <f t="shared" si="76"/>
        <v>0</v>
      </c>
      <c r="AB523" s="268">
        <f t="shared" si="76"/>
        <v>0</v>
      </c>
      <c r="AC523" s="76"/>
      <c r="AD523" s="97"/>
      <c r="AE523" s="76"/>
      <c r="AF523" s="97">
        <v>1</v>
      </c>
      <c r="AG523" s="97">
        <v>1</v>
      </c>
      <c r="AH523" s="73"/>
      <c r="AI523" s="57"/>
      <c r="AJ523" s="45"/>
      <c r="AK523" s="45"/>
      <c r="AL523" s="45"/>
    </row>
    <row r="524" spans="1:38" hidden="1" outlineLevel="3" x14ac:dyDescent="0.35">
      <c r="A524" s="45"/>
      <c r="B524" s="54"/>
      <c r="C524" s="47">
        <f t="shared" si="74"/>
        <v>3</v>
      </c>
      <c r="D524" s="73"/>
      <c r="E524" s="70"/>
      <c r="F524" s="70" t="s">
        <v>1167</v>
      </c>
      <c r="G524" s="73"/>
      <c r="H524" s="76" t="s">
        <v>2630</v>
      </c>
      <c r="I524" s="96" t="s">
        <v>514</v>
      </c>
      <c r="J524" s="96" t="s">
        <v>1160</v>
      </c>
      <c r="K524" s="76"/>
      <c r="L524" s="76"/>
      <c r="M524" s="76"/>
      <c r="N524" s="76"/>
      <c r="O524" s="76"/>
      <c r="P524" s="76"/>
      <c r="Q524" s="76"/>
      <c r="R524" s="76"/>
      <c r="S524" s="76"/>
      <c r="T524" s="76">
        <v>-0.32100000000000001</v>
      </c>
      <c r="U524" s="268">
        <f t="shared" ref="U524:W525" si="77">U523</f>
        <v>0</v>
      </c>
      <c r="V524" s="268">
        <f t="shared" si="77"/>
        <v>0</v>
      </c>
      <c r="W524" s="268">
        <f t="shared" si="77"/>
        <v>0</v>
      </c>
      <c r="X524" s="268">
        <f t="shared" si="76"/>
        <v>0</v>
      </c>
      <c r="Y524" s="268">
        <f t="shared" si="76"/>
        <v>0</v>
      </c>
      <c r="Z524" s="268">
        <f t="shared" si="76"/>
        <v>0</v>
      </c>
      <c r="AA524" s="268">
        <f t="shared" si="76"/>
        <v>0</v>
      </c>
      <c r="AB524" s="268">
        <f t="shared" si="76"/>
        <v>0</v>
      </c>
      <c r="AC524" s="76"/>
      <c r="AD524" s="97"/>
      <c r="AE524" s="76"/>
      <c r="AF524" s="97">
        <v>1</v>
      </c>
      <c r="AG524" s="97">
        <v>1</v>
      </c>
      <c r="AH524" s="73"/>
      <c r="AI524" s="57"/>
      <c r="AJ524" s="45"/>
      <c r="AK524" s="45"/>
      <c r="AL524" s="45"/>
    </row>
    <row r="525" spans="1:38" hidden="1" outlineLevel="3" x14ac:dyDescent="0.35">
      <c r="A525" s="45"/>
      <c r="B525" s="54"/>
      <c r="C525" s="47">
        <f t="shared" si="74"/>
        <v>3</v>
      </c>
      <c r="D525" s="73"/>
      <c r="E525" s="70"/>
      <c r="F525" s="70" t="s">
        <v>1168</v>
      </c>
      <c r="G525" s="73"/>
      <c r="H525" s="76" t="s">
        <v>2631</v>
      </c>
      <c r="I525" s="96" t="s">
        <v>514</v>
      </c>
      <c r="J525" s="96" t="s">
        <v>1160</v>
      </c>
      <c r="K525" s="76"/>
      <c r="L525" s="76"/>
      <c r="M525" s="76"/>
      <c r="N525" s="76"/>
      <c r="O525" s="76"/>
      <c r="P525" s="76"/>
      <c r="Q525" s="76"/>
      <c r="R525" s="76"/>
      <c r="S525" s="76"/>
      <c r="T525" s="76">
        <v>-0.32100000000000001</v>
      </c>
      <c r="U525" s="268">
        <f t="shared" si="77"/>
        <v>0</v>
      </c>
      <c r="V525" s="268">
        <f t="shared" si="77"/>
        <v>0</v>
      </c>
      <c r="W525" s="268">
        <f t="shared" si="77"/>
        <v>0</v>
      </c>
      <c r="X525" s="268">
        <f t="shared" si="76"/>
        <v>0</v>
      </c>
      <c r="Y525" s="268">
        <f t="shared" si="76"/>
        <v>0</v>
      </c>
      <c r="Z525" s="268">
        <f t="shared" si="76"/>
        <v>0</v>
      </c>
      <c r="AA525" s="268">
        <f t="shared" si="76"/>
        <v>0</v>
      </c>
      <c r="AB525" s="268">
        <f t="shared" si="76"/>
        <v>0</v>
      </c>
      <c r="AC525" s="76"/>
      <c r="AD525" s="97"/>
      <c r="AE525" s="76"/>
      <c r="AF525" s="97">
        <v>1</v>
      </c>
      <c r="AG525" s="97">
        <v>1</v>
      </c>
      <c r="AH525" s="73"/>
      <c r="AI525" s="57"/>
      <c r="AJ525" s="45"/>
      <c r="AK525" s="45"/>
      <c r="AL525" s="45"/>
    </row>
    <row r="526" spans="1:38" hidden="1" outlineLevel="2" x14ac:dyDescent="0.35">
      <c r="A526" s="45"/>
      <c r="B526" s="54"/>
      <c r="C526" s="47">
        <f t="shared" si="74"/>
        <v>3</v>
      </c>
      <c r="D526" s="73"/>
      <c r="E526" s="70"/>
      <c r="F526" s="70" t="s">
        <v>1169</v>
      </c>
      <c r="G526" s="73"/>
      <c r="H526" s="76" t="s">
        <v>1170</v>
      </c>
      <c r="I526" s="96" t="s">
        <v>514</v>
      </c>
      <c r="J526" s="96" t="s">
        <v>1160</v>
      </c>
      <c r="K526" s="76"/>
      <c r="L526" s="76"/>
      <c r="M526" s="76"/>
      <c r="N526" s="76"/>
      <c r="O526" s="76"/>
      <c r="P526" s="76"/>
      <c r="Q526" s="76"/>
      <c r="R526" s="76"/>
      <c r="S526" s="76"/>
      <c r="T526" s="76">
        <v>0</v>
      </c>
      <c r="U526" s="97">
        <v>0</v>
      </c>
      <c r="V526" s="97">
        <v>0</v>
      </c>
      <c r="W526" s="97">
        <v>0</v>
      </c>
      <c r="X526" s="262">
        <f t="shared" si="75"/>
        <v>0</v>
      </c>
      <c r="Y526" s="262">
        <f t="shared" si="75"/>
        <v>0</v>
      </c>
      <c r="Z526" s="262">
        <f t="shared" si="75"/>
        <v>0</v>
      </c>
      <c r="AA526" s="262">
        <f t="shared" si="75"/>
        <v>0</v>
      </c>
      <c r="AB526" s="262">
        <f t="shared" si="75"/>
        <v>0</v>
      </c>
      <c r="AC526" s="76"/>
      <c r="AD526" s="97"/>
      <c r="AE526" s="76"/>
      <c r="AF526" s="97">
        <v>1</v>
      </c>
      <c r="AG526" s="97">
        <v>1</v>
      </c>
      <c r="AH526" s="73"/>
      <c r="AI526" s="57"/>
      <c r="AJ526" s="45"/>
      <c r="AK526" s="45"/>
      <c r="AL526" s="45"/>
    </row>
    <row r="527" spans="1:38" hidden="1" outlineLevel="2" x14ac:dyDescent="0.35">
      <c r="A527" s="45"/>
      <c r="B527" s="54"/>
      <c r="C527" s="47">
        <f t="shared" si="74"/>
        <v>3</v>
      </c>
      <c r="D527" s="73"/>
      <c r="E527" s="70"/>
      <c r="F527" s="70" t="s">
        <v>1171</v>
      </c>
      <c r="G527" s="73"/>
      <c r="H527" s="76" t="s">
        <v>2632</v>
      </c>
      <c r="I527" s="96" t="s">
        <v>514</v>
      </c>
      <c r="J527" s="96" t="s">
        <v>1160</v>
      </c>
      <c r="K527" s="76"/>
      <c r="L527" s="76"/>
      <c r="M527" s="76"/>
      <c r="N527" s="76"/>
      <c r="O527" s="76"/>
      <c r="P527" s="76"/>
      <c r="Q527" s="76"/>
      <c r="R527" s="76"/>
      <c r="S527" s="76"/>
      <c r="T527" s="76">
        <v>0</v>
      </c>
      <c r="U527" s="97">
        <v>0</v>
      </c>
      <c r="V527" s="97">
        <v>0</v>
      </c>
      <c r="W527" s="97">
        <v>0</v>
      </c>
      <c r="X527" s="262">
        <f t="shared" si="75"/>
        <v>0</v>
      </c>
      <c r="Y527" s="262">
        <f t="shared" si="75"/>
        <v>0</v>
      </c>
      <c r="Z527" s="262">
        <f t="shared" si="75"/>
        <v>0</v>
      </c>
      <c r="AA527" s="262">
        <f t="shared" si="75"/>
        <v>0</v>
      </c>
      <c r="AB527" s="262">
        <f t="shared" si="75"/>
        <v>0</v>
      </c>
      <c r="AC527" s="76"/>
      <c r="AD527" s="97"/>
      <c r="AE527" s="76"/>
      <c r="AF527" s="97">
        <v>1</v>
      </c>
      <c r="AG527" s="97">
        <v>1</v>
      </c>
      <c r="AH527" s="73"/>
      <c r="AI527" s="57"/>
      <c r="AJ527" s="45"/>
      <c r="AK527" s="45"/>
      <c r="AL527" s="45"/>
    </row>
    <row r="528" spans="1:38" hidden="1" outlineLevel="2" x14ac:dyDescent="0.35">
      <c r="A528" s="45"/>
      <c r="B528" s="54"/>
      <c r="C528" s="47">
        <f t="shared" si="74"/>
        <v>3</v>
      </c>
      <c r="D528" s="73"/>
      <c r="E528" s="70"/>
      <c r="F528" s="70" t="s">
        <v>1172</v>
      </c>
      <c r="G528" s="73"/>
      <c r="H528" s="76" t="s">
        <v>2633</v>
      </c>
      <c r="I528" s="96" t="s">
        <v>514</v>
      </c>
      <c r="J528" s="96" t="s">
        <v>1160</v>
      </c>
      <c r="K528" s="76"/>
      <c r="L528" s="76"/>
      <c r="M528" s="76"/>
      <c r="N528" s="76"/>
      <c r="O528" s="76"/>
      <c r="P528" s="76"/>
      <c r="Q528" s="76"/>
      <c r="R528" s="76"/>
      <c r="S528" s="76"/>
      <c r="T528" s="76">
        <v>-1.7000000000000001E-2</v>
      </c>
      <c r="U528" s="97">
        <v>0</v>
      </c>
      <c r="V528" s="97">
        <v>0</v>
      </c>
      <c r="W528" s="97">
        <v>0</v>
      </c>
      <c r="X528" s="262">
        <f t="shared" si="75"/>
        <v>0</v>
      </c>
      <c r="Y528" s="262">
        <f t="shared" si="75"/>
        <v>0</v>
      </c>
      <c r="Z528" s="262">
        <f t="shared" si="75"/>
        <v>0</v>
      </c>
      <c r="AA528" s="262">
        <f t="shared" si="75"/>
        <v>0</v>
      </c>
      <c r="AB528" s="262">
        <f t="shared" si="75"/>
        <v>0</v>
      </c>
      <c r="AC528" s="76"/>
      <c r="AD528" s="97"/>
      <c r="AE528" s="76"/>
      <c r="AF528" s="97">
        <v>1</v>
      </c>
      <c r="AG528" s="97">
        <v>1</v>
      </c>
      <c r="AH528" s="73"/>
      <c r="AI528" s="57"/>
      <c r="AJ528" s="45"/>
      <c r="AK528" s="45"/>
      <c r="AL528" s="45"/>
    </row>
    <row r="529" spans="1:38" hidden="1" outlineLevel="2" x14ac:dyDescent="0.35">
      <c r="A529" s="45"/>
      <c r="B529" s="54"/>
      <c r="C529" s="47">
        <f t="shared" si="74"/>
        <v>3</v>
      </c>
      <c r="D529" s="73"/>
      <c r="E529" s="70"/>
      <c r="F529" s="70" t="s">
        <v>1173</v>
      </c>
      <c r="G529" s="73"/>
      <c r="H529" s="76" t="s">
        <v>2634</v>
      </c>
      <c r="I529" s="96" t="s">
        <v>514</v>
      </c>
      <c r="J529" s="96" t="s">
        <v>1160</v>
      </c>
      <c r="K529" s="76"/>
      <c r="L529" s="76"/>
      <c r="M529" s="76"/>
      <c r="N529" s="76"/>
      <c r="O529" s="76"/>
      <c r="P529" s="76"/>
      <c r="Q529" s="76"/>
      <c r="R529" s="76"/>
      <c r="S529" s="76"/>
      <c r="T529" s="76">
        <v>-0.39700000000000002</v>
      </c>
      <c r="U529" s="97">
        <v>0</v>
      </c>
      <c r="V529" s="97">
        <v>0</v>
      </c>
      <c r="W529" s="97">
        <v>0</v>
      </c>
      <c r="X529" s="262">
        <f t="shared" si="75"/>
        <v>0</v>
      </c>
      <c r="Y529" s="262">
        <f t="shared" si="75"/>
        <v>0</v>
      </c>
      <c r="Z529" s="262">
        <f t="shared" si="75"/>
        <v>0</v>
      </c>
      <c r="AA529" s="262">
        <f t="shared" si="75"/>
        <v>0</v>
      </c>
      <c r="AB529" s="262">
        <f t="shared" si="75"/>
        <v>0</v>
      </c>
      <c r="AC529" s="76"/>
      <c r="AD529" s="97"/>
      <c r="AE529" s="76"/>
      <c r="AF529" s="97">
        <v>1</v>
      </c>
      <c r="AG529" s="97">
        <v>1</v>
      </c>
      <c r="AH529" s="73"/>
      <c r="AI529" s="57"/>
      <c r="AJ529" s="45"/>
      <c r="AK529" s="45"/>
      <c r="AL529" s="45"/>
    </row>
    <row r="530" spans="1:38" hidden="1" outlineLevel="2" collapsed="1" x14ac:dyDescent="0.35">
      <c r="A530" s="45"/>
      <c r="B530" s="54"/>
      <c r="C530" s="47">
        <f t="shared" si="74"/>
        <v>3</v>
      </c>
      <c r="D530" s="73"/>
      <c r="E530" s="70"/>
      <c r="F530" s="70" t="s">
        <v>1174</v>
      </c>
      <c r="G530" s="73"/>
      <c r="H530" s="76" t="s">
        <v>2635</v>
      </c>
      <c r="I530" s="96" t="s">
        <v>514</v>
      </c>
      <c r="J530" s="96" t="s">
        <v>1160</v>
      </c>
      <c r="K530" s="76"/>
      <c r="L530" s="76"/>
      <c r="M530" s="76"/>
      <c r="N530" s="76"/>
      <c r="O530" s="76"/>
      <c r="P530" s="76"/>
      <c r="Q530" s="76"/>
      <c r="R530" s="76"/>
      <c r="S530" s="76"/>
      <c r="T530" s="76">
        <v>-0.74199999999999999</v>
      </c>
      <c r="U530" s="97">
        <v>0</v>
      </c>
      <c r="V530" s="97">
        <v>0</v>
      </c>
      <c r="W530" s="97">
        <v>0</v>
      </c>
      <c r="X530" s="262">
        <f t="shared" si="75"/>
        <v>0</v>
      </c>
      <c r="Y530" s="262">
        <f t="shared" si="75"/>
        <v>0</v>
      </c>
      <c r="Z530" s="262">
        <f t="shared" si="75"/>
        <v>0</v>
      </c>
      <c r="AA530" s="262">
        <f t="shared" si="75"/>
        <v>0</v>
      </c>
      <c r="AB530" s="262">
        <f t="shared" si="75"/>
        <v>0</v>
      </c>
      <c r="AC530" s="76"/>
      <c r="AD530" s="97"/>
      <c r="AE530" s="76"/>
      <c r="AF530" s="97">
        <v>1</v>
      </c>
      <c r="AG530" s="97">
        <v>1</v>
      </c>
      <c r="AH530" s="73"/>
      <c r="AI530" s="57"/>
      <c r="AJ530" s="45"/>
      <c r="AK530" s="45"/>
      <c r="AL530" s="45"/>
    </row>
    <row r="531" spans="1:38" hidden="1" outlineLevel="3" x14ac:dyDescent="0.35">
      <c r="A531" s="45"/>
      <c r="B531" s="54"/>
      <c r="C531" s="47">
        <f t="shared" si="74"/>
        <v>3</v>
      </c>
      <c r="D531" s="73"/>
      <c r="E531" s="70"/>
      <c r="F531" s="70" t="s">
        <v>1175</v>
      </c>
      <c r="G531" s="73"/>
      <c r="H531" s="76" t="s">
        <v>2636</v>
      </c>
      <c r="I531" s="96" t="s">
        <v>514</v>
      </c>
      <c r="J531" s="96" t="s">
        <v>1160</v>
      </c>
      <c r="K531" s="76"/>
      <c r="L531" s="76"/>
      <c r="M531" s="76"/>
      <c r="N531" s="76"/>
      <c r="O531" s="76"/>
      <c r="P531" s="76"/>
      <c r="Q531" s="76"/>
      <c r="R531" s="76"/>
      <c r="S531" s="76"/>
      <c r="T531" s="76">
        <v>-0.74199999999999999</v>
      </c>
      <c r="U531" s="268">
        <f t="shared" ref="U531:AB533" si="78">U530</f>
        <v>0</v>
      </c>
      <c r="V531" s="268">
        <f t="shared" si="78"/>
        <v>0</v>
      </c>
      <c r="W531" s="268">
        <f t="shared" si="78"/>
        <v>0</v>
      </c>
      <c r="X531" s="268">
        <f t="shared" si="78"/>
        <v>0</v>
      </c>
      <c r="Y531" s="268">
        <f t="shared" si="78"/>
        <v>0</v>
      </c>
      <c r="Z531" s="268">
        <f t="shared" si="78"/>
        <v>0</v>
      </c>
      <c r="AA531" s="268">
        <f t="shared" si="78"/>
        <v>0</v>
      </c>
      <c r="AB531" s="268">
        <f t="shared" si="78"/>
        <v>0</v>
      </c>
      <c r="AC531" s="76"/>
      <c r="AD531" s="97"/>
      <c r="AE531" s="76"/>
      <c r="AF531" s="97">
        <v>1</v>
      </c>
      <c r="AG531" s="97">
        <v>1</v>
      </c>
      <c r="AH531" s="73"/>
      <c r="AI531" s="57"/>
      <c r="AJ531" s="45"/>
      <c r="AK531" s="45"/>
      <c r="AL531" s="45"/>
    </row>
    <row r="532" spans="1:38" hidden="1" outlineLevel="3" x14ac:dyDescent="0.35">
      <c r="A532" s="45"/>
      <c r="B532" s="54"/>
      <c r="C532" s="47">
        <f t="shared" si="74"/>
        <v>3</v>
      </c>
      <c r="D532" s="73"/>
      <c r="E532" s="70"/>
      <c r="F532" s="70" t="s">
        <v>1176</v>
      </c>
      <c r="G532" s="73"/>
      <c r="H532" s="76" t="s">
        <v>2637</v>
      </c>
      <c r="I532" s="96" t="s">
        <v>514</v>
      </c>
      <c r="J532" s="96" t="s">
        <v>1160</v>
      </c>
      <c r="K532" s="76"/>
      <c r="L532" s="76"/>
      <c r="M532" s="76"/>
      <c r="N532" s="76"/>
      <c r="O532" s="76"/>
      <c r="P532" s="76"/>
      <c r="Q532" s="76"/>
      <c r="R532" s="76"/>
      <c r="S532" s="76"/>
      <c r="T532" s="76">
        <v>-0.74199999999999999</v>
      </c>
      <c r="U532" s="268">
        <f t="shared" si="78"/>
        <v>0</v>
      </c>
      <c r="V532" s="268">
        <f t="shared" si="78"/>
        <v>0</v>
      </c>
      <c r="W532" s="268">
        <f t="shared" si="78"/>
        <v>0</v>
      </c>
      <c r="X532" s="268">
        <f t="shared" si="78"/>
        <v>0</v>
      </c>
      <c r="Y532" s="268">
        <f t="shared" si="78"/>
        <v>0</v>
      </c>
      <c r="Z532" s="268">
        <f t="shared" si="78"/>
        <v>0</v>
      </c>
      <c r="AA532" s="268">
        <f t="shared" si="78"/>
        <v>0</v>
      </c>
      <c r="AB532" s="268">
        <f t="shared" si="78"/>
        <v>0</v>
      </c>
      <c r="AC532" s="76"/>
      <c r="AD532" s="97"/>
      <c r="AE532" s="76"/>
      <c r="AF532" s="97">
        <v>1</v>
      </c>
      <c r="AG532" s="97">
        <v>1</v>
      </c>
      <c r="AH532" s="73"/>
      <c r="AI532" s="57"/>
      <c r="AJ532" s="45"/>
      <c r="AK532" s="45"/>
      <c r="AL532" s="45"/>
    </row>
    <row r="533" spans="1:38" hidden="1" outlineLevel="3" collapsed="1" x14ac:dyDescent="0.35">
      <c r="A533" s="45"/>
      <c r="B533" s="54"/>
      <c r="C533" s="47">
        <f t="shared" si="74"/>
        <v>3</v>
      </c>
      <c r="D533" s="73"/>
      <c r="E533" s="70"/>
      <c r="F533" s="70" t="s">
        <v>1177</v>
      </c>
      <c r="G533" s="73"/>
      <c r="H533" s="76" t="s">
        <v>2638</v>
      </c>
      <c r="I533" s="96" t="s">
        <v>514</v>
      </c>
      <c r="J533" s="96" t="s">
        <v>1160</v>
      </c>
      <c r="K533" s="76"/>
      <c r="L533" s="76"/>
      <c r="M533" s="76"/>
      <c r="N533" s="76"/>
      <c r="O533" s="76"/>
      <c r="P533" s="76"/>
      <c r="Q533" s="76"/>
      <c r="R533" s="76"/>
      <c r="S533" s="76"/>
      <c r="T533" s="76">
        <v>-0.74199999999999999</v>
      </c>
      <c r="U533" s="268">
        <f t="shared" si="78"/>
        <v>0</v>
      </c>
      <c r="V533" s="268">
        <f t="shared" si="78"/>
        <v>0</v>
      </c>
      <c r="W533" s="268">
        <f t="shared" si="78"/>
        <v>0</v>
      </c>
      <c r="X533" s="268">
        <f t="shared" si="78"/>
        <v>0</v>
      </c>
      <c r="Y533" s="268">
        <f t="shared" si="78"/>
        <v>0</v>
      </c>
      <c r="Z533" s="268">
        <f t="shared" si="78"/>
        <v>0</v>
      </c>
      <c r="AA533" s="268">
        <f t="shared" si="78"/>
        <v>0</v>
      </c>
      <c r="AB533" s="268">
        <f t="shared" si="78"/>
        <v>0</v>
      </c>
      <c r="AC533" s="76"/>
      <c r="AD533" s="97"/>
      <c r="AE533" s="76"/>
      <c r="AF533" s="97">
        <v>1</v>
      </c>
      <c r="AG533" s="97">
        <v>1</v>
      </c>
      <c r="AH533" s="73"/>
      <c r="AI533" s="57"/>
      <c r="AJ533" s="45"/>
      <c r="AK533" s="45"/>
      <c r="AL533" s="45"/>
    </row>
    <row r="534" spans="1:38" hidden="1" outlineLevel="3" x14ac:dyDescent="0.35">
      <c r="A534" s="45"/>
      <c r="B534" s="54"/>
      <c r="C534" s="47">
        <f t="shared" si="74"/>
        <v>3</v>
      </c>
      <c r="D534" s="73"/>
      <c r="E534" s="70"/>
      <c r="F534" s="70" t="s">
        <v>1178</v>
      </c>
      <c r="G534" s="73"/>
      <c r="H534" s="76" t="s">
        <v>616</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74"/>
        <v>3</v>
      </c>
      <c r="D535" s="73"/>
      <c r="E535" s="70"/>
      <c r="F535" s="70" t="s">
        <v>1179</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74"/>
        <v>3</v>
      </c>
      <c r="D536" s="73"/>
      <c r="E536" s="70"/>
      <c r="F536" s="70" t="s">
        <v>1180</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74"/>
        <v>3</v>
      </c>
      <c r="D537" s="73"/>
      <c r="E537" s="70"/>
      <c r="F537" s="70" t="s">
        <v>1181</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35">
      <c r="A538" s="45"/>
      <c r="B538" s="54"/>
      <c r="C538" s="47">
        <f t="shared" si="74"/>
        <v>3</v>
      </c>
      <c r="D538" s="73"/>
      <c r="E538" s="70"/>
      <c r="F538" s="70" t="s">
        <v>1182</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35">
      <c r="A539" s="45"/>
      <c r="B539" s="54"/>
      <c r="C539" s="47">
        <f t="shared" si="74"/>
        <v>3</v>
      </c>
      <c r="D539" s="73"/>
      <c r="E539" s="70"/>
      <c r="F539" s="70" t="s">
        <v>1183</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35">
      <c r="A540" s="45"/>
      <c r="B540" s="54"/>
      <c r="C540" s="47">
        <f t="shared" si="74"/>
        <v>3</v>
      </c>
      <c r="D540" s="73"/>
      <c r="E540" s="70"/>
      <c r="F540" s="70" t="s">
        <v>1184</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35">
      <c r="A541" s="45"/>
      <c r="B541" s="54"/>
      <c r="C541" s="47">
        <f t="shared" si="74"/>
        <v>3</v>
      </c>
      <c r="D541" s="73"/>
      <c r="E541" s="70"/>
      <c r="F541" s="70" t="s">
        <v>1185</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35">
      <c r="A542" s="45"/>
      <c r="B542" s="54"/>
      <c r="C542" s="47">
        <f t="shared" si="74"/>
        <v>3</v>
      </c>
      <c r="D542" s="73"/>
      <c r="E542" s="70"/>
      <c r="F542" s="70" t="s">
        <v>1186</v>
      </c>
      <c r="G542" s="73"/>
      <c r="H542" s="76" t="s">
        <v>1187</v>
      </c>
      <c r="I542" s="96" t="s">
        <v>514</v>
      </c>
      <c r="J542" s="96" t="s">
        <v>1188</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t="s">
        <v>1189</v>
      </c>
      <c r="AE542" s="76"/>
      <c r="AF542" s="97">
        <v>1</v>
      </c>
      <c r="AG542" s="97">
        <v>1</v>
      </c>
      <c r="AH542" s="73"/>
      <c r="AI542" s="57"/>
      <c r="AJ542" s="45"/>
      <c r="AK542" s="45"/>
      <c r="AL542" s="45"/>
    </row>
    <row r="543" spans="1:38" hidden="1" outlineLevel="2" x14ac:dyDescent="0.35">
      <c r="A543" s="45"/>
      <c r="B543" s="54"/>
      <c r="C543" s="47">
        <f t="shared" si="74"/>
        <v>3</v>
      </c>
      <c r="D543" s="73"/>
      <c r="E543" s="70"/>
      <c r="F543" s="70" t="s">
        <v>1190</v>
      </c>
      <c r="G543" s="73"/>
      <c r="H543" s="76" t="s">
        <v>2639</v>
      </c>
      <c r="I543" s="96" t="s">
        <v>514</v>
      </c>
      <c r="J543" s="96" t="s">
        <v>1188</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hidden="1" outlineLevel="2" x14ac:dyDescent="0.35">
      <c r="A544" s="45"/>
      <c r="B544" s="54"/>
      <c r="C544" s="47">
        <f t="shared" si="74"/>
        <v>3</v>
      </c>
      <c r="D544" s="73"/>
      <c r="E544" s="70"/>
      <c r="F544" s="70" t="s">
        <v>1191</v>
      </c>
      <c r="G544" s="73"/>
      <c r="H544" s="76" t="s">
        <v>2640</v>
      </c>
      <c r="I544" s="96" t="s">
        <v>514</v>
      </c>
      <c r="J544" s="96" t="s">
        <v>1188</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35">
      <c r="A545" s="45"/>
      <c r="B545" s="54"/>
      <c r="C545" s="47">
        <f t="shared" si="74"/>
        <v>3</v>
      </c>
      <c r="D545" s="73"/>
      <c r="E545" s="70"/>
      <c r="F545" s="70" t="s">
        <v>1192</v>
      </c>
      <c r="G545" s="73"/>
      <c r="H545" s="76" t="s">
        <v>2641</v>
      </c>
      <c r="I545" s="96" t="s">
        <v>514</v>
      </c>
      <c r="J545" s="96" t="s">
        <v>1188</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35">
      <c r="A546" s="45"/>
      <c r="B546" s="54"/>
      <c r="C546" s="47">
        <f t="shared" si="74"/>
        <v>3</v>
      </c>
      <c r="D546" s="73"/>
      <c r="E546" s="70"/>
      <c r="F546" s="70" t="s">
        <v>1193</v>
      </c>
      <c r="G546" s="73"/>
      <c r="H546" s="76" t="s">
        <v>2642</v>
      </c>
      <c r="I546" s="96" t="s">
        <v>514</v>
      </c>
      <c r="J546" s="96" t="s">
        <v>1188</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hidden="1" outlineLevel="2" x14ac:dyDescent="0.35">
      <c r="A547" s="45"/>
      <c r="B547" s="54"/>
      <c r="C547" s="47">
        <f t="shared" si="74"/>
        <v>3</v>
      </c>
      <c r="D547" s="73"/>
      <c r="E547" s="70"/>
      <c r="F547" s="70" t="s">
        <v>1194</v>
      </c>
      <c r="G547" s="73"/>
      <c r="H547" s="76" t="s">
        <v>2643</v>
      </c>
      <c r="I547" s="96" t="s">
        <v>514</v>
      </c>
      <c r="J547" s="96" t="s">
        <v>1188</v>
      </c>
      <c r="K547" s="76"/>
      <c r="L547" s="76"/>
      <c r="M547" s="76"/>
      <c r="N547" s="76"/>
      <c r="O547" s="76"/>
      <c r="P547" s="76"/>
      <c r="Q547" s="76"/>
      <c r="R547" s="76"/>
      <c r="S547" s="76"/>
      <c r="T547" s="76"/>
      <c r="U547" s="76">
        <v>1</v>
      </c>
      <c r="V547" s="76">
        <v>1</v>
      </c>
      <c r="W547" s="76">
        <v>1</v>
      </c>
      <c r="X547" s="76">
        <v>1</v>
      </c>
      <c r="Y547" s="76">
        <v>1</v>
      </c>
      <c r="Z547" s="76">
        <v>1</v>
      </c>
      <c r="AA547" s="76">
        <v>1</v>
      </c>
      <c r="AB547" s="76">
        <v>1</v>
      </c>
      <c r="AC547" s="76"/>
      <c r="AD547" s="97"/>
      <c r="AE547" s="76"/>
      <c r="AF547" s="97">
        <v>1</v>
      </c>
      <c r="AG547" s="97">
        <v>1</v>
      </c>
      <c r="AH547" s="73"/>
      <c r="AI547" s="57"/>
      <c r="AJ547" s="45"/>
      <c r="AK547" s="45"/>
      <c r="AL547" s="45"/>
    </row>
    <row r="548" spans="1:38" hidden="1" outlineLevel="2" x14ac:dyDescent="0.35">
      <c r="A548" s="45"/>
      <c r="B548" s="54"/>
      <c r="C548" s="47">
        <f t="shared" si="74"/>
        <v>3</v>
      </c>
      <c r="D548" s="73"/>
      <c r="E548" s="70"/>
      <c r="F548" s="70" t="s">
        <v>1195</v>
      </c>
      <c r="G548" s="73"/>
      <c r="H548" s="76" t="s">
        <v>2644</v>
      </c>
      <c r="I548" s="96" t="s">
        <v>514</v>
      </c>
      <c r="J548" s="96" t="s">
        <v>1188</v>
      </c>
      <c r="K548" s="76"/>
      <c r="L548" s="76"/>
      <c r="M548" s="76"/>
      <c r="N548" s="76"/>
      <c r="O548" s="76"/>
      <c r="P548" s="76"/>
      <c r="Q548" s="76"/>
      <c r="R548" s="76"/>
      <c r="S548" s="76"/>
      <c r="T548" s="76"/>
      <c r="U548" s="76">
        <v>1</v>
      </c>
      <c r="V548" s="76">
        <v>1</v>
      </c>
      <c r="W548" s="76">
        <v>1</v>
      </c>
      <c r="X548" s="76">
        <v>1</v>
      </c>
      <c r="Y548" s="76">
        <v>1</v>
      </c>
      <c r="Z548" s="76">
        <v>1</v>
      </c>
      <c r="AA548" s="76">
        <v>1</v>
      </c>
      <c r="AB548" s="76">
        <v>1</v>
      </c>
      <c r="AC548" s="76"/>
      <c r="AD548" s="97"/>
      <c r="AE548" s="76"/>
      <c r="AF548" s="97">
        <v>1</v>
      </c>
      <c r="AG548" s="97">
        <v>1</v>
      </c>
      <c r="AH548" s="73"/>
      <c r="AI548" s="57"/>
      <c r="AJ548" s="45"/>
      <c r="AK548" s="45"/>
      <c r="AL548" s="45"/>
    </row>
    <row r="549" spans="1:38" hidden="1" outlineLevel="2" x14ac:dyDescent="0.35">
      <c r="A549" s="45"/>
      <c r="B549" s="54"/>
      <c r="C549" s="47">
        <f t="shared" si="74"/>
        <v>3</v>
      </c>
      <c r="D549" s="73"/>
      <c r="E549" s="70"/>
      <c r="F549" s="70" t="s">
        <v>1196</v>
      </c>
      <c r="G549" s="73"/>
      <c r="H549" s="76" t="s">
        <v>2645</v>
      </c>
      <c r="I549" s="96" t="s">
        <v>514</v>
      </c>
      <c r="J549" s="96" t="s">
        <v>1188</v>
      </c>
      <c r="K549" s="76"/>
      <c r="L549" s="76"/>
      <c r="M549" s="76"/>
      <c r="N549" s="76"/>
      <c r="O549" s="76"/>
      <c r="P549" s="76"/>
      <c r="Q549" s="76"/>
      <c r="R549" s="76"/>
      <c r="S549" s="76"/>
      <c r="T549" s="76"/>
      <c r="U549" s="76">
        <v>1</v>
      </c>
      <c r="V549" s="76">
        <v>1</v>
      </c>
      <c r="W549" s="76">
        <v>1</v>
      </c>
      <c r="X549" s="76">
        <v>1</v>
      </c>
      <c r="Y549" s="76">
        <v>1</v>
      </c>
      <c r="Z549" s="76">
        <v>1</v>
      </c>
      <c r="AA549" s="76">
        <v>1</v>
      </c>
      <c r="AB549" s="76">
        <v>1</v>
      </c>
      <c r="AC549" s="76"/>
      <c r="AD549" s="97"/>
      <c r="AE549" s="76"/>
      <c r="AF549" s="97">
        <v>1</v>
      </c>
      <c r="AG549" s="97">
        <v>1</v>
      </c>
      <c r="AH549" s="73"/>
      <c r="AI549" s="57"/>
      <c r="AJ549" s="45"/>
      <c r="AK549" s="45"/>
      <c r="AL549" s="45"/>
    </row>
    <row r="550" spans="1:38" hidden="1" outlineLevel="2" x14ac:dyDescent="0.35">
      <c r="A550" s="45"/>
      <c r="B550" s="54"/>
      <c r="C550" s="47">
        <f t="shared" ref="C550:C613" si="79">INT($C$29)+2</f>
        <v>3</v>
      </c>
      <c r="D550" s="73"/>
      <c r="E550" s="70"/>
      <c r="F550" s="70" t="s">
        <v>1197</v>
      </c>
      <c r="G550" s="73"/>
      <c r="H550" s="76" t="s">
        <v>2195</v>
      </c>
      <c r="I550" s="96" t="s">
        <v>514</v>
      </c>
      <c r="J550" s="96" t="s">
        <v>1160</v>
      </c>
      <c r="K550" s="76"/>
      <c r="L550" s="76"/>
      <c r="M550" s="76"/>
      <c r="N550" s="76"/>
      <c r="O550" s="76"/>
      <c r="P550" s="76"/>
      <c r="Q550" s="76"/>
      <c r="R550" s="76"/>
      <c r="S550" s="76"/>
      <c r="T550" s="76"/>
      <c r="U550" s="346">
        <v>-0.4</v>
      </c>
      <c r="V550" s="346">
        <v>-0.5</v>
      </c>
      <c r="W550" s="346">
        <v>-0.5</v>
      </c>
      <c r="X550" s="262">
        <f t="shared" ref="X550:Y557" si="80">Y550</f>
        <v>-0.55000000000000004</v>
      </c>
      <c r="Y550" s="262">
        <f t="shared" si="80"/>
        <v>-0.55000000000000004</v>
      </c>
      <c r="Z550" s="97">
        <v>-0.55000000000000004</v>
      </c>
      <c r="AA550" s="262">
        <f>Z550</f>
        <v>-0.55000000000000004</v>
      </c>
      <c r="AB550" s="262">
        <f>AA550</f>
        <v>-0.55000000000000004</v>
      </c>
      <c r="AC550" s="76"/>
      <c r="AD550" s="97" t="s">
        <v>2717</v>
      </c>
      <c r="AE550" s="76"/>
      <c r="AF550" s="97">
        <v>1</v>
      </c>
      <c r="AG550" s="97">
        <v>1</v>
      </c>
      <c r="AH550" s="73"/>
      <c r="AI550" s="57"/>
      <c r="AJ550" s="45"/>
      <c r="AK550" s="45"/>
      <c r="AL550" s="45"/>
    </row>
    <row r="551" spans="1:38" hidden="1" outlineLevel="2" x14ac:dyDescent="0.35">
      <c r="A551" s="45"/>
      <c r="B551" s="54"/>
      <c r="C551" s="47">
        <f t="shared" si="79"/>
        <v>3</v>
      </c>
      <c r="D551" s="73"/>
      <c r="E551" s="70"/>
      <c r="F551" s="70" t="s">
        <v>1198</v>
      </c>
      <c r="G551" s="73"/>
      <c r="H551" s="76" t="s">
        <v>2646</v>
      </c>
      <c r="I551" s="96" t="s">
        <v>514</v>
      </c>
      <c r="J551" s="96" t="s">
        <v>1160</v>
      </c>
      <c r="K551" s="76"/>
      <c r="L551" s="76"/>
      <c r="M551" s="76"/>
      <c r="N551" s="76"/>
      <c r="O551" s="76"/>
      <c r="P551" s="76"/>
      <c r="Q551" s="76"/>
      <c r="R551" s="76"/>
      <c r="S551" s="76"/>
      <c r="T551" s="76"/>
      <c r="U551" s="269">
        <v>0</v>
      </c>
      <c r="V551" s="269">
        <v>0</v>
      </c>
      <c r="W551" s="269">
        <v>0</v>
      </c>
      <c r="X551" s="262">
        <f t="shared" si="80"/>
        <v>-0.2</v>
      </c>
      <c r="Y551" s="262">
        <f t="shared" si="80"/>
        <v>-0.2</v>
      </c>
      <c r="Z551" s="97">
        <v>-0.2</v>
      </c>
      <c r="AA551" s="262">
        <f t="shared" ref="X551:AB573" si="81">Z551</f>
        <v>-0.2</v>
      </c>
      <c r="AB551" s="262">
        <f t="shared" si="81"/>
        <v>-0.2</v>
      </c>
      <c r="AC551" s="76"/>
      <c r="AD551" s="97" t="s">
        <v>2744</v>
      </c>
      <c r="AE551" s="76"/>
      <c r="AF551" s="97">
        <v>1</v>
      </c>
      <c r="AG551" s="97">
        <v>1</v>
      </c>
      <c r="AH551" s="73"/>
      <c r="AI551" s="57"/>
      <c r="AJ551" s="45"/>
      <c r="AK551" s="45"/>
      <c r="AL551" s="45"/>
    </row>
    <row r="552" spans="1:38" hidden="1" outlineLevel="2" x14ac:dyDescent="0.35">
      <c r="A552" s="45"/>
      <c r="B552" s="54"/>
      <c r="C552" s="47">
        <f t="shared" si="79"/>
        <v>3</v>
      </c>
      <c r="D552" s="73"/>
      <c r="E552" s="70"/>
      <c r="F552" s="70" t="s">
        <v>1199</v>
      </c>
      <c r="G552" s="73"/>
      <c r="H552" s="76" t="s">
        <v>2647</v>
      </c>
      <c r="I552" s="96" t="s">
        <v>514</v>
      </c>
      <c r="J552" s="96" t="s">
        <v>1160</v>
      </c>
      <c r="K552" s="76"/>
      <c r="L552" s="76"/>
      <c r="M552" s="76"/>
      <c r="N552" s="76"/>
      <c r="O552" s="76"/>
      <c r="P552" s="76"/>
      <c r="Q552" s="76"/>
      <c r="R552" s="76"/>
      <c r="S552" s="76"/>
      <c r="T552" s="76"/>
      <c r="U552" s="269">
        <v>0</v>
      </c>
      <c r="V552" s="269">
        <v>0</v>
      </c>
      <c r="W552" s="269">
        <v>0</v>
      </c>
      <c r="X552" s="262">
        <f t="shared" si="80"/>
        <v>0</v>
      </c>
      <c r="Y552" s="262">
        <f t="shared" si="80"/>
        <v>0</v>
      </c>
      <c r="Z552" s="97">
        <v>0</v>
      </c>
      <c r="AA552" s="262">
        <f t="shared" si="81"/>
        <v>0</v>
      </c>
      <c r="AB552" s="262">
        <f t="shared" si="81"/>
        <v>0</v>
      </c>
      <c r="AC552" s="76"/>
      <c r="AD552" s="97"/>
      <c r="AE552" s="76"/>
      <c r="AF552" s="97">
        <v>1</v>
      </c>
      <c r="AG552" s="97">
        <v>1</v>
      </c>
      <c r="AH552" s="73"/>
      <c r="AI552" s="57"/>
      <c r="AJ552" s="45"/>
      <c r="AK552" s="45"/>
      <c r="AL552" s="45"/>
    </row>
    <row r="553" spans="1:38" hidden="1" outlineLevel="2" x14ac:dyDescent="0.35">
      <c r="A553" s="45"/>
      <c r="B553" s="54"/>
      <c r="C553" s="47">
        <f t="shared" si="79"/>
        <v>3</v>
      </c>
      <c r="D553" s="73"/>
      <c r="E553" s="70"/>
      <c r="F553" s="70" t="s">
        <v>1200</v>
      </c>
      <c r="G553" s="73"/>
      <c r="H553" s="76" t="s">
        <v>2648</v>
      </c>
      <c r="I553" s="96" t="s">
        <v>514</v>
      </c>
      <c r="J553" s="96" t="s">
        <v>1160</v>
      </c>
      <c r="K553" s="76"/>
      <c r="L553" s="76"/>
      <c r="M553" s="76"/>
      <c r="N553" s="76"/>
      <c r="O553" s="76"/>
      <c r="P553" s="76"/>
      <c r="Q553" s="76"/>
      <c r="R553" s="76"/>
      <c r="S553" s="76"/>
      <c r="T553" s="76"/>
      <c r="U553" s="269">
        <v>0</v>
      </c>
      <c r="V553" s="269">
        <v>0</v>
      </c>
      <c r="W553" s="269">
        <v>0</v>
      </c>
      <c r="X553" s="262">
        <f t="shared" si="80"/>
        <v>0</v>
      </c>
      <c r="Y553" s="262">
        <f t="shared" si="80"/>
        <v>0</v>
      </c>
      <c r="Z553" s="97">
        <v>0</v>
      </c>
      <c r="AA553" s="262">
        <f t="shared" si="81"/>
        <v>0</v>
      </c>
      <c r="AB553" s="262">
        <f t="shared" si="81"/>
        <v>0</v>
      </c>
      <c r="AC553" s="76"/>
      <c r="AD553" s="97"/>
      <c r="AE553" s="76"/>
      <c r="AF553" s="97">
        <v>1</v>
      </c>
      <c r="AG553" s="97">
        <v>1</v>
      </c>
      <c r="AH553" s="73"/>
      <c r="AI553" s="57"/>
      <c r="AJ553" s="45"/>
      <c r="AK553" s="45"/>
      <c r="AL553" s="45"/>
    </row>
    <row r="554" spans="1:38" hidden="1" outlineLevel="2" x14ac:dyDescent="0.35">
      <c r="A554" s="45"/>
      <c r="B554" s="54"/>
      <c r="C554" s="47">
        <f t="shared" si="79"/>
        <v>3</v>
      </c>
      <c r="D554" s="73"/>
      <c r="E554" s="70"/>
      <c r="F554" s="70" t="s">
        <v>1201</v>
      </c>
      <c r="G554" s="73"/>
      <c r="H554" s="76" t="s">
        <v>2649</v>
      </c>
      <c r="I554" s="96" t="s">
        <v>514</v>
      </c>
      <c r="J554" s="96" t="s">
        <v>1160</v>
      </c>
      <c r="K554" s="76"/>
      <c r="L554" s="76"/>
      <c r="M554" s="76"/>
      <c r="N554" s="76"/>
      <c r="O554" s="76"/>
      <c r="P554" s="76"/>
      <c r="Q554" s="76"/>
      <c r="R554" s="76"/>
      <c r="S554" s="76"/>
      <c r="T554" s="76"/>
      <c r="U554" s="269">
        <v>0</v>
      </c>
      <c r="V554" s="269">
        <v>0</v>
      </c>
      <c r="W554" s="269">
        <v>0</v>
      </c>
      <c r="X554" s="262">
        <f t="shared" si="80"/>
        <v>0</v>
      </c>
      <c r="Y554" s="262">
        <f t="shared" si="80"/>
        <v>0</v>
      </c>
      <c r="Z554" s="97">
        <v>0</v>
      </c>
      <c r="AA554" s="262">
        <f t="shared" si="81"/>
        <v>0</v>
      </c>
      <c r="AB554" s="262">
        <f t="shared" si="81"/>
        <v>0</v>
      </c>
      <c r="AC554" s="76"/>
      <c r="AD554" s="97"/>
      <c r="AE554" s="76"/>
      <c r="AF554" s="97">
        <v>1</v>
      </c>
      <c r="AG554" s="97">
        <v>1</v>
      </c>
      <c r="AH554" s="73"/>
      <c r="AI554" s="57"/>
      <c r="AJ554" s="45"/>
      <c r="AK554" s="45"/>
      <c r="AL554" s="45"/>
    </row>
    <row r="555" spans="1:38" hidden="1" outlineLevel="2" x14ac:dyDescent="0.35">
      <c r="A555" s="45"/>
      <c r="B555" s="54"/>
      <c r="C555" s="47">
        <f t="shared" si="79"/>
        <v>3</v>
      </c>
      <c r="D555" s="73"/>
      <c r="E555" s="70"/>
      <c r="F555" s="70" t="s">
        <v>1202</v>
      </c>
      <c r="G555" s="73"/>
      <c r="H555" s="76" t="s">
        <v>2650</v>
      </c>
      <c r="I555" s="96" t="s">
        <v>514</v>
      </c>
      <c r="J555" s="96" t="s">
        <v>1160</v>
      </c>
      <c r="K555" s="76"/>
      <c r="L555" s="76"/>
      <c r="M555" s="76"/>
      <c r="N555" s="76"/>
      <c r="O555" s="76"/>
      <c r="P555" s="76"/>
      <c r="Q555" s="76"/>
      <c r="R555" s="76"/>
      <c r="S555" s="76"/>
      <c r="T555" s="76"/>
      <c r="U555" s="269">
        <v>0</v>
      </c>
      <c r="V555" s="269">
        <v>0</v>
      </c>
      <c r="W555" s="269">
        <v>0</v>
      </c>
      <c r="X555" s="262">
        <f t="shared" si="80"/>
        <v>0</v>
      </c>
      <c r="Y555" s="262">
        <f t="shared" si="80"/>
        <v>0</v>
      </c>
      <c r="Z555" s="97">
        <v>0</v>
      </c>
      <c r="AA555" s="262">
        <f t="shared" si="81"/>
        <v>0</v>
      </c>
      <c r="AB555" s="262">
        <f t="shared" si="81"/>
        <v>0</v>
      </c>
      <c r="AC555" s="76"/>
      <c r="AD555" s="97"/>
      <c r="AE555" s="76"/>
      <c r="AF555" s="97">
        <v>1</v>
      </c>
      <c r="AG555" s="97">
        <v>1</v>
      </c>
      <c r="AH555" s="73"/>
      <c r="AI555" s="57"/>
      <c r="AJ555" s="45"/>
      <c r="AK555" s="45"/>
      <c r="AL555" s="45"/>
    </row>
    <row r="556" spans="1:38" hidden="1" outlineLevel="2" x14ac:dyDescent="0.35">
      <c r="A556" s="45"/>
      <c r="B556" s="54"/>
      <c r="C556" s="47">
        <f t="shared" si="79"/>
        <v>3</v>
      </c>
      <c r="D556" s="73"/>
      <c r="E556" s="70"/>
      <c r="F556" s="70" t="s">
        <v>1203</v>
      </c>
      <c r="G556" s="73"/>
      <c r="H556" s="76" t="s">
        <v>2651</v>
      </c>
      <c r="I556" s="96" t="s">
        <v>514</v>
      </c>
      <c r="J556" s="96" t="s">
        <v>1160</v>
      </c>
      <c r="K556" s="76"/>
      <c r="L556" s="76"/>
      <c r="M556" s="76"/>
      <c r="N556" s="76"/>
      <c r="O556" s="76"/>
      <c r="P556" s="76"/>
      <c r="Q556" s="76"/>
      <c r="R556" s="76"/>
      <c r="S556" s="76"/>
      <c r="T556" s="76"/>
      <c r="U556" s="269">
        <v>0</v>
      </c>
      <c r="V556" s="269">
        <v>0</v>
      </c>
      <c r="W556" s="269">
        <v>0</v>
      </c>
      <c r="X556" s="262">
        <f t="shared" si="80"/>
        <v>0</v>
      </c>
      <c r="Y556" s="262">
        <f t="shared" si="80"/>
        <v>0</v>
      </c>
      <c r="Z556" s="97">
        <v>0</v>
      </c>
      <c r="AA556" s="262">
        <f t="shared" si="81"/>
        <v>0</v>
      </c>
      <c r="AB556" s="262">
        <f t="shared" si="81"/>
        <v>0</v>
      </c>
      <c r="AC556" s="76"/>
      <c r="AD556" s="97"/>
      <c r="AE556" s="76"/>
      <c r="AF556" s="97">
        <v>1</v>
      </c>
      <c r="AG556" s="97">
        <v>1</v>
      </c>
      <c r="AH556" s="73"/>
      <c r="AI556" s="57"/>
      <c r="AJ556" s="45"/>
      <c r="AK556" s="45"/>
      <c r="AL556" s="45"/>
    </row>
    <row r="557" spans="1:38" hidden="1" outlineLevel="2" x14ac:dyDescent="0.35">
      <c r="A557" s="45"/>
      <c r="B557" s="54"/>
      <c r="C557" s="47">
        <f t="shared" si="79"/>
        <v>3</v>
      </c>
      <c r="D557" s="73"/>
      <c r="E557" s="70"/>
      <c r="F557" s="70" t="s">
        <v>1204</v>
      </c>
      <c r="G557" s="73"/>
      <c r="H557" s="76" t="s">
        <v>2652</v>
      </c>
      <c r="I557" s="96" t="s">
        <v>514</v>
      </c>
      <c r="J557" s="96" t="s">
        <v>1160</v>
      </c>
      <c r="K557" s="76"/>
      <c r="L557" s="76"/>
      <c r="M557" s="76"/>
      <c r="N557" s="76"/>
      <c r="O557" s="76"/>
      <c r="P557" s="76"/>
      <c r="Q557" s="76"/>
      <c r="R557" s="76"/>
      <c r="S557" s="76"/>
      <c r="T557" s="76"/>
      <c r="U557" s="269">
        <v>0</v>
      </c>
      <c r="V557" s="269">
        <v>0</v>
      </c>
      <c r="W557" s="269">
        <v>0</v>
      </c>
      <c r="X557" s="262">
        <f t="shared" si="80"/>
        <v>-0.2</v>
      </c>
      <c r="Y557" s="262">
        <f t="shared" si="80"/>
        <v>-0.2</v>
      </c>
      <c r="Z557" s="97">
        <f>Z551</f>
        <v>-0.2</v>
      </c>
      <c r="AA557" s="262">
        <f t="shared" si="81"/>
        <v>-0.2</v>
      </c>
      <c r="AB557" s="262">
        <f t="shared" si="81"/>
        <v>-0.2</v>
      </c>
      <c r="AC557" s="76"/>
      <c r="AD557" s="97"/>
      <c r="AE557" s="76"/>
      <c r="AF557" s="97">
        <v>1</v>
      </c>
      <c r="AG557" s="97">
        <v>1</v>
      </c>
      <c r="AH557" s="73"/>
      <c r="AI557" s="57"/>
      <c r="AJ557" s="45"/>
      <c r="AK557" s="45"/>
      <c r="AL557" s="45"/>
    </row>
    <row r="558" spans="1:38" hidden="1" outlineLevel="2" x14ac:dyDescent="0.35">
      <c r="A558" s="45"/>
      <c r="B558" s="54"/>
      <c r="C558" s="47">
        <f t="shared" si="79"/>
        <v>3</v>
      </c>
      <c r="D558" s="73"/>
      <c r="E558" s="70"/>
      <c r="F558" s="70" t="s">
        <v>1205</v>
      </c>
      <c r="G558" s="73"/>
      <c r="H558" s="76" t="s">
        <v>1206</v>
      </c>
      <c r="I558" s="96" t="s">
        <v>514</v>
      </c>
      <c r="J558" s="96" t="s">
        <v>1160</v>
      </c>
      <c r="K558" s="76"/>
      <c r="L558" s="76"/>
      <c r="M558" s="76"/>
      <c r="N558" s="76"/>
      <c r="O558" s="76"/>
      <c r="P558" s="76"/>
      <c r="Q558" s="76"/>
      <c r="R558" s="76"/>
      <c r="S558" s="76"/>
      <c r="T558" s="76"/>
      <c r="U558" s="269">
        <v>0</v>
      </c>
      <c r="V558" s="269">
        <v>0</v>
      </c>
      <c r="W558" s="269">
        <v>0</v>
      </c>
      <c r="X558" s="262">
        <f t="shared" si="81"/>
        <v>0</v>
      </c>
      <c r="Y558" s="262">
        <f t="shared" si="81"/>
        <v>0</v>
      </c>
      <c r="Z558" s="262">
        <f t="shared" si="81"/>
        <v>0</v>
      </c>
      <c r="AA558" s="262">
        <f t="shared" si="81"/>
        <v>0</v>
      </c>
      <c r="AB558" s="262">
        <f t="shared" si="81"/>
        <v>0</v>
      </c>
      <c r="AC558" s="76"/>
      <c r="AD558" s="97"/>
      <c r="AE558" s="76"/>
      <c r="AF558" s="97">
        <v>1</v>
      </c>
      <c r="AG558" s="97">
        <v>1</v>
      </c>
      <c r="AH558" s="73"/>
      <c r="AI558" s="57"/>
      <c r="AJ558" s="45"/>
      <c r="AK558" s="45"/>
      <c r="AL558" s="45"/>
    </row>
    <row r="559" spans="1:38" hidden="1" outlineLevel="2" x14ac:dyDescent="0.35">
      <c r="A559" s="45"/>
      <c r="B559" s="54"/>
      <c r="C559" s="47">
        <f t="shared" si="79"/>
        <v>3</v>
      </c>
      <c r="D559" s="73"/>
      <c r="E559" s="70"/>
      <c r="F559" s="70" t="s">
        <v>1207</v>
      </c>
      <c r="G559" s="73"/>
      <c r="H559" s="76" t="s">
        <v>2653</v>
      </c>
      <c r="I559" s="96" t="s">
        <v>514</v>
      </c>
      <c r="J559" s="96" t="s">
        <v>1160</v>
      </c>
      <c r="K559" s="76"/>
      <c r="L559" s="76"/>
      <c r="M559" s="76"/>
      <c r="N559" s="76"/>
      <c r="O559" s="76"/>
      <c r="P559" s="76"/>
      <c r="Q559" s="76"/>
      <c r="R559" s="76"/>
      <c r="S559" s="76"/>
      <c r="T559" s="76"/>
      <c r="U559" s="269">
        <v>0</v>
      </c>
      <c r="V559" s="269">
        <v>0</v>
      </c>
      <c r="W559" s="269">
        <v>0</v>
      </c>
      <c r="X559" s="262">
        <f t="shared" si="81"/>
        <v>0</v>
      </c>
      <c r="Y559" s="262">
        <f t="shared" si="81"/>
        <v>0</v>
      </c>
      <c r="Z559" s="262">
        <f t="shared" si="81"/>
        <v>0</v>
      </c>
      <c r="AA559" s="262">
        <f t="shared" si="81"/>
        <v>0</v>
      </c>
      <c r="AB559" s="262">
        <f t="shared" si="81"/>
        <v>0</v>
      </c>
      <c r="AC559" s="76"/>
      <c r="AD559" s="97"/>
      <c r="AE559" s="76"/>
      <c r="AF559" s="97">
        <v>1</v>
      </c>
      <c r="AG559" s="97">
        <v>1</v>
      </c>
      <c r="AH559" s="73"/>
      <c r="AI559" s="57"/>
      <c r="AJ559" s="45"/>
      <c r="AK559" s="45"/>
      <c r="AL559" s="45"/>
    </row>
    <row r="560" spans="1:38" hidden="1" outlineLevel="2" collapsed="1" x14ac:dyDescent="0.35">
      <c r="A560" s="45"/>
      <c r="B560" s="54"/>
      <c r="C560" s="47">
        <f t="shared" si="79"/>
        <v>3</v>
      </c>
      <c r="D560" s="73"/>
      <c r="E560" s="70"/>
      <c r="F560" s="70" t="s">
        <v>1208</v>
      </c>
      <c r="G560" s="73"/>
      <c r="H560" s="76" t="s">
        <v>2654</v>
      </c>
      <c r="I560" s="96" t="s">
        <v>514</v>
      </c>
      <c r="J560" s="96" t="s">
        <v>1160</v>
      </c>
      <c r="K560" s="76"/>
      <c r="L560" s="76"/>
      <c r="M560" s="76"/>
      <c r="N560" s="76"/>
      <c r="O560" s="76"/>
      <c r="P560" s="76"/>
      <c r="Q560" s="76"/>
      <c r="R560" s="76"/>
      <c r="S560" s="76"/>
      <c r="T560" s="76"/>
      <c r="U560" s="269">
        <v>0</v>
      </c>
      <c r="V560" s="269">
        <v>0</v>
      </c>
      <c r="W560" s="269">
        <v>0</v>
      </c>
      <c r="X560" s="262">
        <f t="shared" si="81"/>
        <v>0</v>
      </c>
      <c r="Y560" s="262">
        <f t="shared" si="81"/>
        <v>0</v>
      </c>
      <c r="Z560" s="262">
        <f t="shared" si="81"/>
        <v>0</v>
      </c>
      <c r="AA560" s="262">
        <f t="shared" si="81"/>
        <v>0</v>
      </c>
      <c r="AB560" s="262">
        <f t="shared" si="81"/>
        <v>0</v>
      </c>
      <c r="AC560" s="76"/>
      <c r="AD560" s="97"/>
      <c r="AE560" s="76"/>
      <c r="AF560" s="97">
        <v>1</v>
      </c>
      <c r="AG560" s="97">
        <v>1</v>
      </c>
      <c r="AH560" s="73"/>
      <c r="AI560" s="57"/>
      <c r="AJ560" s="45"/>
      <c r="AK560" s="45"/>
      <c r="AL560" s="45"/>
    </row>
    <row r="561" spans="1:38" hidden="1" outlineLevel="3" x14ac:dyDescent="0.35">
      <c r="A561" s="45"/>
      <c r="B561" s="54"/>
      <c r="C561" s="47">
        <f t="shared" si="79"/>
        <v>3</v>
      </c>
      <c r="D561" s="73"/>
      <c r="E561" s="70"/>
      <c r="F561" s="70" t="s">
        <v>1209</v>
      </c>
      <c r="G561" s="73"/>
      <c r="H561" s="76" t="s">
        <v>2655</v>
      </c>
      <c r="I561" s="96" t="s">
        <v>514</v>
      </c>
      <c r="J561" s="96" t="s">
        <v>1160</v>
      </c>
      <c r="K561" s="76"/>
      <c r="L561" s="76"/>
      <c r="M561" s="76"/>
      <c r="N561" s="76"/>
      <c r="O561" s="76"/>
      <c r="P561" s="76"/>
      <c r="Q561" s="76"/>
      <c r="R561" s="76"/>
      <c r="S561" s="76"/>
      <c r="T561" s="76"/>
      <c r="U561" s="269">
        <v>0</v>
      </c>
      <c r="V561" s="269">
        <v>0</v>
      </c>
      <c r="W561" s="269">
        <v>0</v>
      </c>
      <c r="X561" s="262">
        <f t="shared" si="81"/>
        <v>0</v>
      </c>
      <c r="Y561" s="262">
        <f t="shared" si="81"/>
        <v>0</v>
      </c>
      <c r="Z561" s="262">
        <f t="shared" si="81"/>
        <v>0</v>
      </c>
      <c r="AA561" s="262">
        <f t="shared" si="81"/>
        <v>0</v>
      </c>
      <c r="AB561" s="262">
        <f t="shared" si="81"/>
        <v>0</v>
      </c>
      <c r="AC561" s="76"/>
      <c r="AD561" s="97"/>
      <c r="AE561" s="76"/>
      <c r="AF561" s="97">
        <v>1</v>
      </c>
      <c r="AG561" s="97">
        <v>1</v>
      </c>
      <c r="AH561" s="73"/>
      <c r="AI561" s="57"/>
      <c r="AJ561" s="45"/>
      <c r="AK561" s="45"/>
      <c r="AL561" s="45"/>
    </row>
    <row r="562" spans="1:38" hidden="1" outlineLevel="3" x14ac:dyDescent="0.35">
      <c r="A562" s="45"/>
      <c r="B562" s="54"/>
      <c r="C562" s="47">
        <f t="shared" si="79"/>
        <v>3</v>
      </c>
      <c r="D562" s="73"/>
      <c r="E562" s="70"/>
      <c r="F562" s="70" t="s">
        <v>1210</v>
      </c>
      <c r="G562" s="73"/>
      <c r="H562" s="76" t="s">
        <v>2656</v>
      </c>
      <c r="I562" s="96" t="s">
        <v>514</v>
      </c>
      <c r="J562" s="96" t="s">
        <v>1160</v>
      </c>
      <c r="K562" s="76"/>
      <c r="L562" s="76"/>
      <c r="M562" s="76"/>
      <c r="N562" s="76"/>
      <c r="O562" s="76"/>
      <c r="P562" s="76"/>
      <c r="Q562" s="76"/>
      <c r="R562" s="76"/>
      <c r="S562" s="76"/>
      <c r="T562" s="76"/>
      <c r="U562" s="269">
        <v>0</v>
      </c>
      <c r="V562" s="269">
        <v>0</v>
      </c>
      <c r="W562" s="269">
        <v>0</v>
      </c>
      <c r="X562" s="262">
        <f t="shared" si="81"/>
        <v>0</v>
      </c>
      <c r="Y562" s="262">
        <f t="shared" si="81"/>
        <v>0</v>
      </c>
      <c r="Z562" s="262">
        <f t="shared" si="81"/>
        <v>0</v>
      </c>
      <c r="AA562" s="262">
        <f t="shared" si="81"/>
        <v>0</v>
      </c>
      <c r="AB562" s="262">
        <f t="shared" si="81"/>
        <v>0</v>
      </c>
      <c r="AC562" s="76"/>
      <c r="AD562" s="97"/>
      <c r="AE562" s="76"/>
      <c r="AF562" s="97">
        <v>1</v>
      </c>
      <c r="AG562" s="97">
        <v>1</v>
      </c>
      <c r="AH562" s="73"/>
      <c r="AI562" s="57"/>
      <c r="AJ562" s="45"/>
      <c r="AK562" s="45"/>
      <c r="AL562" s="45"/>
    </row>
    <row r="563" spans="1:38" hidden="1" outlineLevel="3" x14ac:dyDescent="0.35">
      <c r="A563" s="45"/>
      <c r="B563" s="54"/>
      <c r="C563" s="47">
        <f t="shared" si="79"/>
        <v>3</v>
      </c>
      <c r="D563" s="73"/>
      <c r="E563" s="70"/>
      <c r="F563" s="70" t="s">
        <v>1211</v>
      </c>
      <c r="G563" s="73"/>
      <c r="H563" s="76" t="s">
        <v>2657</v>
      </c>
      <c r="I563" s="96" t="s">
        <v>514</v>
      </c>
      <c r="J563" s="96" t="s">
        <v>1160</v>
      </c>
      <c r="K563" s="76"/>
      <c r="L563" s="76"/>
      <c r="M563" s="76"/>
      <c r="N563" s="76"/>
      <c r="O563" s="76"/>
      <c r="P563" s="76"/>
      <c r="Q563" s="76"/>
      <c r="R563" s="76"/>
      <c r="S563" s="76"/>
      <c r="T563" s="76"/>
      <c r="U563" s="269">
        <v>0</v>
      </c>
      <c r="V563" s="269">
        <v>0</v>
      </c>
      <c r="W563" s="269">
        <v>0</v>
      </c>
      <c r="X563" s="262">
        <f t="shared" si="81"/>
        <v>0</v>
      </c>
      <c r="Y563" s="262">
        <f t="shared" si="81"/>
        <v>0</v>
      </c>
      <c r="Z563" s="262">
        <f t="shared" si="81"/>
        <v>0</v>
      </c>
      <c r="AA563" s="262">
        <f t="shared" si="81"/>
        <v>0</v>
      </c>
      <c r="AB563" s="262">
        <f t="shared" si="81"/>
        <v>0</v>
      </c>
      <c r="AC563" s="76"/>
      <c r="AD563" s="97"/>
      <c r="AE563" s="76"/>
      <c r="AF563" s="97">
        <v>1</v>
      </c>
      <c r="AG563" s="97">
        <v>1</v>
      </c>
      <c r="AH563" s="73"/>
      <c r="AI563" s="57"/>
      <c r="AJ563" s="45"/>
      <c r="AK563" s="45"/>
      <c r="AL563" s="45"/>
    </row>
    <row r="564" spans="1:38" hidden="1" outlineLevel="3" x14ac:dyDescent="0.35">
      <c r="A564" s="45"/>
      <c r="B564" s="54"/>
      <c r="C564" s="47">
        <f t="shared" si="79"/>
        <v>3</v>
      </c>
      <c r="D564" s="73"/>
      <c r="E564" s="70"/>
      <c r="F564" s="70" t="s">
        <v>1212</v>
      </c>
      <c r="G564" s="73"/>
      <c r="H564" s="76" t="s">
        <v>2658</v>
      </c>
      <c r="I564" s="96" t="s">
        <v>514</v>
      </c>
      <c r="J564" s="96" t="s">
        <v>1160</v>
      </c>
      <c r="K564" s="76"/>
      <c r="L564" s="76"/>
      <c r="M564" s="76"/>
      <c r="N564" s="76"/>
      <c r="O564" s="76"/>
      <c r="P564" s="76"/>
      <c r="Q564" s="76"/>
      <c r="R564" s="76"/>
      <c r="S564" s="76"/>
      <c r="T564" s="76"/>
      <c r="U564" s="269">
        <v>0</v>
      </c>
      <c r="V564" s="269">
        <v>0</v>
      </c>
      <c r="W564" s="269">
        <v>0</v>
      </c>
      <c r="X564" s="262">
        <f t="shared" si="81"/>
        <v>0</v>
      </c>
      <c r="Y564" s="262">
        <f t="shared" si="81"/>
        <v>0</v>
      </c>
      <c r="Z564" s="262">
        <f t="shared" si="81"/>
        <v>0</v>
      </c>
      <c r="AA564" s="262">
        <f t="shared" si="81"/>
        <v>0</v>
      </c>
      <c r="AB564" s="262">
        <f t="shared" si="81"/>
        <v>0</v>
      </c>
      <c r="AC564" s="76"/>
      <c r="AD564" s="97"/>
      <c r="AE564" s="76"/>
      <c r="AF564" s="97">
        <v>1</v>
      </c>
      <c r="AG564" s="97">
        <v>1</v>
      </c>
      <c r="AH564" s="73"/>
      <c r="AI564" s="57"/>
      <c r="AJ564" s="45"/>
      <c r="AK564" s="45"/>
      <c r="AL564" s="45"/>
    </row>
    <row r="565" spans="1:38" hidden="1" outlineLevel="3" x14ac:dyDescent="0.35">
      <c r="A565" s="45"/>
      <c r="B565" s="54"/>
      <c r="C565" s="47">
        <f t="shared" si="79"/>
        <v>3</v>
      </c>
      <c r="D565" s="73"/>
      <c r="E565" s="70"/>
      <c r="F565" s="70" t="s">
        <v>1213</v>
      </c>
      <c r="G565" s="73"/>
      <c r="H565" s="76" t="s">
        <v>2659</v>
      </c>
      <c r="I565" s="96" t="s">
        <v>514</v>
      </c>
      <c r="J565" s="96" t="s">
        <v>1160</v>
      </c>
      <c r="K565" s="76"/>
      <c r="L565" s="76"/>
      <c r="M565" s="76"/>
      <c r="N565" s="76"/>
      <c r="O565" s="76"/>
      <c r="P565" s="76"/>
      <c r="Q565" s="76"/>
      <c r="R565" s="76"/>
      <c r="S565" s="76"/>
      <c r="T565" s="76"/>
      <c r="U565" s="269">
        <v>0</v>
      </c>
      <c r="V565" s="269">
        <v>0</v>
      </c>
      <c r="W565" s="269">
        <v>0</v>
      </c>
      <c r="X565" s="262">
        <f t="shared" si="81"/>
        <v>0</v>
      </c>
      <c r="Y565" s="262">
        <f t="shared" si="81"/>
        <v>0</v>
      </c>
      <c r="Z565" s="262">
        <f t="shared" si="81"/>
        <v>0</v>
      </c>
      <c r="AA565" s="262">
        <f t="shared" si="81"/>
        <v>0</v>
      </c>
      <c r="AB565" s="262">
        <f t="shared" si="81"/>
        <v>0</v>
      </c>
      <c r="AC565" s="76"/>
      <c r="AD565" s="97"/>
      <c r="AE565" s="76"/>
      <c r="AF565" s="97">
        <v>1</v>
      </c>
      <c r="AG565" s="97">
        <v>1</v>
      </c>
      <c r="AH565" s="73"/>
      <c r="AI565" s="57"/>
      <c r="AJ565" s="45"/>
      <c r="AK565" s="45"/>
      <c r="AL565" s="45"/>
    </row>
    <row r="566" spans="1:38" hidden="1" outlineLevel="2" x14ac:dyDescent="0.35">
      <c r="A566" s="45"/>
      <c r="B566" s="54"/>
      <c r="C566" s="47">
        <f t="shared" si="79"/>
        <v>3</v>
      </c>
      <c r="D566" s="73"/>
      <c r="E566" s="70"/>
      <c r="F566" s="70" t="s">
        <v>1214</v>
      </c>
      <c r="G566" s="73"/>
      <c r="H566" s="76" t="s">
        <v>1215</v>
      </c>
      <c r="I566" s="96" t="s">
        <v>514</v>
      </c>
      <c r="J566" s="96" t="s">
        <v>1160</v>
      </c>
      <c r="K566" s="76"/>
      <c r="L566" s="76"/>
      <c r="M566" s="76"/>
      <c r="N566" s="76"/>
      <c r="O566" s="76"/>
      <c r="P566" s="76"/>
      <c r="Q566" s="76"/>
      <c r="R566" s="76"/>
      <c r="S566" s="76"/>
      <c r="T566" s="76"/>
      <c r="U566" s="269">
        <v>0</v>
      </c>
      <c r="V566" s="269">
        <v>0</v>
      </c>
      <c r="W566" s="269">
        <v>0</v>
      </c>
      <c r="X566" s="262">
        <f t="shared" si="81"/>
        <v>0</v>
      </c>
      <c r="Y566" s="262">
        <f t="shared" si="81"/>
        <v>0</v>
      </c>
      <c r="Z566" s="262">
        <f t="shared" si="81"/>
        <v>0</v>
      </c>
      <c r="AA566" s="262">
        <f t="shared" si="81"/>
        <v>0</v>
      </c>
      <c r="AB566" s="262">
        <f t="shared" si="81"/>
        <v>0</v>
      </c>
      <c r="AC566" s="76"/>
      <c r="AD566" s="97"/>
      <c r="AE566" s="76"/>
      <c r="AF566" s="97">
        <v>1</v>
      </c>
      <c r="AG566" s="97">
        <v>1</v>
      </c>
      <c r="AH566" s="73"/>
      <c r="AI566" s="57"/>
      <c r="AJ566" s="45"/>
      <c r="AK566" s="45"/>
      <c r="AL566" s="45"/>
    </row>
    <row r="567" spans="1:38" hidden="1" outlineLevel="2" x14ac:dyDescent="0.35">
      <c r="A567" s="45"/>
      <c r="B567" s="54"/>
      <c r="C567" s="47">
        <f t="shared" si="79"/>
        <v>3</v>
      </c>
      <c r="D567" s="73"/>
      <c r="E567" s="70"/>
      <c r="F567" s="70" t="s">
        <v>1216</v>
      </c>
      <c r="G567" s="73"/>
      <c r="H567" s="76" t="s">
        <v>2660</v>
      </c>
      <c r="I567" s="96" t="s">
        <v>514</v>
      </c>
      <c r="J567" s="96" t="s">
        <v>1160</v>
      </c>
      <c r="K567" s="76"/>
      <c r="L567" s="76"/>
      <c r="M567" s="76"/>
      <c r="N567" s="76"/>
      <c r="O567" s="76"/>
      <c r="P567" s="76"/>
      <c r="Q567" s="76"/>
      <c r="R567" s="76"/>
      <c r="S567" s="76"/>
      <c r="T567" s="76"/>
      <c r="U567" s="269">
        <v>0</v>
      </c>
      <c r="V567" s="269">
        <v>0</v>
      </c>
      <c r="W567" s="269">
        <v>0</v>
      </c>
      <c r="X567" s="262">
        <f t="shared" si="81"/>
        <v>0</v>
      </c>
      <c r="Y567" s="262">
        <f t="shared" si="81"/>
        <v>0</v>
      </c>
      <c r="Z567" s="262">
        <f t="shared" si="81"/>
        <v>0</v>
      </c>
      <c r="AA567" s="262">
        <f t="shared" si="81"/>
        <v>0</v>
      </c>
      <c r="AB567" s="262">
        <f t="shared" si="81"/>
        <v>0</v>
      </c>
      <c r="AC567" s="76"/>
      <c r="AD567" s="97"/>
      <c r="AE567" s="76"/>
      <c r="AF567" s="97">
        <v>1</v>
      </c>
      <c r="AG567" s="97">
        <v>1</v>
      </c>
      <c r="AH567" s="73"/>
      <c r="AI567" s="57"/>
      <c r="AJ567" s="45"/>
      <c r="AK567" s="45"/>
      <c r="AL567" s="45"/>
    </row>
    <row r="568" spans="1:38" hidden="1" outlineLevel="2" collapsed="1" x14ac:dyDescent="0.35">
      <c r="A568" s="45"/>
      <c r="B568" s="54"/>
      <c r="C568" s="47">
        <f t="shared" si="79"/>
        <v>3</v>
      </c>
      <c r="D568" s="73"/>
      <c r="E568" s="70"/>
      <c r="F568" s="70" t="s">
        <v>1217</v>
      </c>
      <c r="G568" s="73"/>
      <c r="H568" s="76" t="s">
        <v>2661</v>
      </c>
      <c r="I568" s="96" t="s">
        <v>514</v>
      </c>
      <c r="J568" s="96" t="s">
        <v>1160</v>
      </c>
      <c r="K568" s="76"/>
      <c r="L568" s="76"/>
      <c r="M568" s="76"/>
      <c r="N568" s="76"/>
      <c r="O568" s="76"/>
      <c r="P568" s="76"/>
      <c r="Q568" s="76"/>
      <c r="R568" s="76"/>
      <c r="S568" s="76"/>
      <c r="T568" s="76"/>
      <c r="U568" s="269">
        <v>0</v>
      </c>
      <c r="V568" s="269">
        <v>0</v>
      </c>
      <c r="W568" s="269">
        <v>0</v>
      </c>
      <c r="X568" s="262">
        <f t="shared" si="81"/>
        <v>0</v>
      </c>
      <c r="Y568" s="262">
        <f t="shared" si="81"/>
        <v>0</v>
      </c>
      <c r="Z568" s="262">
        <f t="shared" si="81"/>
        <v>0</v>
      </c>
      <c r="AA568" s="262">
        <f t="shared" si="81"/>
        <v>0</v>
      </c>
      <c r="AB568" s="262">
        <f t="shared" si="81"/>
        <v>0</v>
      </c>
      <c r="AC568" s="76"/>
      <c r="AD568" s="97"/>
      <c r="AE568" s="76"/>
      <c r="AF568" s="97">
        <v>1</v>
      </c>
      <c r="AG568" s="97">
        <v>1</v>
      </c>
      <c r="AH568" s="73"/>
      <c r="AI568" s="57"/>
      <c r="AJ568" s="45"/>
      <c r="AK568" s="45"/>
      <c r="AL568" s="45"/>
    </row>
    <row r="569" spans="1:38" hidden="1" outlineLevel="3" x14ac:dyDescent="0.35">
      <c r="A569" s="45"/>
      <c r="B569" s="54"/>
      <c r="C569" s="47">
        <f t="shared" si="79"/>
        <v>3</v>
      </c>
      <c r="D569" s="73"/>
      <c r="E569" s="70"/>
      <c r="F569" s="70" t="s">
        <v>1218</v>
      </c>
      <c r="G569" s="73"/>
      <c r="H569" s="76" t="s">
        <v>2662</v>
      </c>
      <c r="I569" s="96" t="s">
        <v>514</v>
      </c>
      <c r="J569" s="96" t="s">
        <v>1160</v>
      </c>
      <c r="K569" s="76"/>
      <c r="L569" s="76"/>
      <c r="M569" s="76"/>
      <c r="N569" s="76"/>
      <c r="O569" s="76"/>
      <c r="P569" s="76"/>
      <c r="Q569" s="76"/>
      <c r="R569" s="76"/>
      <c r="S569" s="76"/>
      <c r="T569" s="76"/>
      <c r="U569" s="269">
        <v>0</v>
      </c>
      <c r="V569" s="269">
        <v>0</v>
      </c>
      <c r="W569" s="269">
        <v>0</v>
      </c>
      <c r="X569" s="262">
        <f t="shared" si="81"/>
        <v>0</v>
      </c>
      <c r="Y569" s="262">
        <f t="shared" si="81"/>
        <v>0</v>
      </c>
      <c r="Z569" s="262">
        <f t="shared" si="81"/>
        <v>0</v>
      </c>
      <c r="AA569" s="262">
        <f t="shared" si="81"/>
        <v>0</v>
      </c>
      <c r="AB569" s="262">
        <f t="shared" si="81"/>
        <v>0</v>
      </c>
      <c r="AC569" s="76"/>
      <c r="AD569" s="97"/>
      <c r="AE569" s="76"/>
      <c r="AF569" s="97">
        <v>1</v>
      </c>
      <c r="AG569" s="97">
        <v>1</v>
      </c>
      <c r="AH569" s="73"/>
      <c r="AI569" s="57"/>
      <c r="AJ569" s="45"/>
      <c r="AK569" s="45"/>
      <c r="AL569" s="45"/>
    </row>
    <row r="570" spans="1:38" hidden="1" outlineLevel="3" x14ac:dyDescent="0.35">
      <c r="A570" s="45"/>
      <c r="B570" s="54"/>
      <c r="C570" s="47">
        <f t="shared" si="79"/>
        <v>3</v>
      </c>
      <c r="D570" s="73"/>
      <c r="E570" s="70"/>
      <c r="F570" s="70" t="s">
        <v>1219</v>
      </c>
      <c r="G570" s="73"/>
      <c r="H570" s="76" t="s">
        <v>2663</v>
      </c>
      <c r="I570" s="96" t="s">
        <v>514</v>
      </c>
      <c r="J570" s="96" t="s">
        <v>1160</v>
      </c>
      <c r="K570" s="76"/>
      <c r="L570" s="76"/>
      <c r="M570" s="76"/>
      <c r="N570" s="76"/>
      <c r="O570" s="76"/>
      <c r="P570" s="76"/>
      <c r="Q570" s="76"/>
      <c r="R570" s="76"/>
      <c r="S570" s="76"/>
      <c r="T570" s="76"/>
      <c r="U570" s="269">
        <v>0</v>
      </c>
      <c r="V570" s="269">
        <v>0</v>
      </c>
      <c r="W570" s="269">
        <v>0</v>
      </c>
      <c r="X570" s="262">
        <f t="shared" si="81"/>
        <v>0</v>
      </c>
      <c r="Y570" s="262">
        <f t="shared" si="81"/>
        <v>0</v>
      </c>
      <c r="Z570" s="262">
        <f t="shared" si="81"/>
        <v>0</v>
      </c>
      <c r="AA570" s="262">
        <f t="shared" si="81"/>
        <v>0</v>
      </c>
      <c r="AB570" s="262">
        <f t="shared" si="81"/>
        <v>0</v>
      </c>
      <c r="AC570" s="76"/>
      <c r="AD570" s="97"/>
      <c r="AE570" s="76"/>
      <c r="AF570" s="97">
        <v>1</v>
      </c>
      <c r="AG570" s="97">
        <v>1</v>
      </c>
      <c r="AH570" s="73"/>
      <c r="AI570" s="57"/>
      <c r="AJ570" s="45"/>
      <c r="AK570" s="45"/>
      <c r="AL570" s="45"/>
    </row>
    <row r="571" spans="1:38" hidden="1" outlineLevel="3" x14ac:dyDescent="0.35">
      <c r="A571" s="45"/>
      <c r="B571" s="54"/>
      <c r="C571" s="47">
        <f t="shared" si="79"/>
        <v>3</v>
      </c>
      <c r="D571" s="73"/>
      <c r="E571" s="70"/>
      <c r="F571" s="70" t="s">
        <v>1220</v>
      </c>
      <c r="G571" s="73"/>
      <c r="H571" s="76" t="s">
        <v>2664</v>
      </c>
      <c r="I571" s="96" t="s">
        <v>514</v>
      </c>
      <c r="J571" s="96" t="s">
        <v>1160</v>
      </c>
      <c r="K571" s="76"/>
      <c r="L571" s="76"/>
      <c r="M571" s="76"/>
      <c r="N571" s="76"/>
      <c r="O571" s="76"/>
      <c r="P571" s="76"/>
      <c r="Q571" s="76"/>
      <c r="R571" s="76"/>
      <c r="S571" s="76"/>
      <c r="T571" s="76"/>
      <c r="U571" s="269">
        <v>0</v>
      </c>
      <c r="V571" s="269">
        <v>0</v>
      </c>
      <c r="W571" s="269">
        <v>0</v>
      </c>
      <c r="X571" s="262">
        <f t="shared" si="81"/>
        <v>0</v>
      </c>
      <c r="Y571" s="262">
        <f t="shared" si="81"/>
        <v>0</v>
      </c>
      <c r="Z571" s="262">
        <f t="shared" si="81"/>
        <v>0</v>
      </c>
      <c r="AA571" s="262">
        <f t="shared" si="81"/>
        <v>0</v>
      </c>
      <c r="AB571" s="262">
        <f t="shared" si="81"/>
        <v>0</v>
      </c>
      <c r="AC571" s="76"/>
      <c r="AD571" s="97"/>
      <c r="AE571" s="76"/>
      <c r="AF571" s="97">
        <v>1</v>
      </c>
      <c r="AG571" s="97">
        <v>1</v>
      </c>
      <c r="AH571" s="73"/>
      <c r="AI571" s="57"/>
      <c r="AJ571" s="45"/>
      <c r="AK571" s="45"/>
      <c r="AL571" s="45"/>
    </row>
    <row r="572" spans="1:38" hidden="1" outlineLevel="3" x14ac:dyDescent="0.35">
      <c r="A572" s="45"/>
      <c r="B572" s="54"/>
      <c r="C572" s="47">
        <f t="shared" si="79"/>
        <v>3</v>
      </c>
      <c r="D572" s="73"/>
      <c r="E572" s="70"/>
      <c r="F572" s="70" t="s">
        <v>1221</v>
      </c>
      <c r="G572" s="73"/>
      <c r="H572" s="76" t="s">
        <v>2665</v>
      </c>
      <c r="I572" s="96" t="s">
        <v>514</v>
      </c>
      <c r="J572" s="96" t="s">
        <v>1160</v>
      </c>
      <c r="K572" s="76"/>
      <c r="L572" s="76"/>
      <c r="M572" s="76"/>
      <c r="N572" s="76"/>
      <c r="O572" s="76"/>
      <c r="P572" s="76"/>
      <c r="Q572" s="76"/>
      <c r="R572" s="76"/>
      <c r="S572" s="76"/>
      <c r="T572" s="76"/>
      <c r="U572" s="269">
        <v>0</v>
      </c>
      <c r="V572" s="269">
        <v>0</v>
      </c>
      <c r="W572" s="269">
        <v>0</v>
      </c>
      <c r="X572" s="262">
        <f t="shared" si="81"/>
        <v>0</v>
      </c>
      <c r="Y572" s="262">
        <f t="shared" si="81"/>
        <v>0</v>
      </c>
      <c r="Z572" s="262">
        <f t="shared" si="81"/>
        <v>0</v>
      </c>
      <c r="AA572" s="262">
        <f t="shared" si="81"/>
        <v>0</v>
      </c>
      <c r="AB572" s="262">
        <f t="shared" si="81"/>
        <v>0</v>
      </c>
      <c r="AC572" s="76"/>
      <c r="AD572" s="97"/>
      <c r="AE572" s="76"/>
      <c r="AF572" s="97">
        <v>1</v>
      </c>
      <c r="AG572" s="97">
        <v>1</v>
      </c>
      <c r="AH572" s="73"/>
      <c r="AI572" s="57"/>
      <c r="AJ572" s="45"/>
      <c r="AK572" s="45"/>
      <c r="AL572" s="45"/>
    </row>
    <row r="573" spans="1:38" hidden="1" outlineLevel="3" x14ac:dyDescent="0.35">
      <c r="A573" s="45"/>
      <c r="B573" s="54"/>
      <c r="C573" s="47">
        <f t="shared" si="79"/>
        <v>3</v>
      </c>
      <c r="D573" s="73"/>
      <c r="E573" s="70"/>
      <c r="F573" s="70" t="s">
        <v>1222</v>
      </c>
      <c r="G573" s="73"/>
      <c r="H573" s="76" t="s">
        <v>2666</v>
      </c>
      <c r="I573" s="96" t="s">
        <v>514</v>
      </c>
      <c r="J573" s="96" t="s">
        <v>1160</v>
      </c>
      <c r="K573" s="76"/>
      <c r="L573" s="76"/>
      <c r="M573" s="76"/>
      <c r="N573" s="76"/>
      <c r="O573" s="76"/>
      <c r="P573" s="76"/>
      <c r="Q573" s="76"/>
      <c r="R573" s="76"/>
      <c r="S573" s="76"/>
      <c r="T573" s="76"/>
      <c r="U573" s="269">
        <v>0</v>
      </c>
      <c r="V573" s="269">
        <v>0</v>
      </c>
      <c r="W573" s="269">
        <v>0</v>
      </c>
      <c r="X573" s="262">
        <f t="shared" si="81"/>
        <v>0</v>
      </c>
      <c r="Y573" s="262">
        <f t="shared" si="81"/>
        <v>0</v>
      </c>
      <c r="Z573" s="262">
        <f t="shared" si="81"/>
        <v>0</v>
      </c>
      <c r="AA573" s="262">
        <f t="shared" si="81"/>
        <v>0</v>
      </c>
      <c r="AB573" s="262">
        <f t="shared" si="81"/>
        <v>0</v>
      </c>
      <c r="AC573" s="76"/>
      <c r="AD573" s="97"/>
      <c r="AE573" s="76"/>
      <c r="AF573" s="97">
        <v>1</v>
      </c>
      <c r="AG573" s="97">
        <v>1</v>
      </c>
      <c r="AH573" s="73"/>
      <c r="AI573" s="57"/>
      <c r="AJ573" s="45"/>
      <c r="AK573" s="45"/>
      <c r="AL573" s="45"/>
    </row>
    <row r="574" spans="1:38" hidden="1" outlineLevel="3" x14ac:dyDescent="0.35">
      <c r="A574" s="45"/>
      <c r="B574" s="54"/>
      <c r="C574" s="47">
        <f t="shared" si="79"/>
        <v>3</v>
      </c>
      <c r="D574" s="73"/>
      <c r="E574" s="70"/>
      <c r="F574" s="70" t="s">
        <v>2676</v>
      </c>
      <c r="G574" s="73"/>
      <c r="H574" s="76" t="s">
        <v>616</v>
      </c>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79"/>
        <v>3</v>
      </c>
      <c r="D575" s="73"/>
      <c r="E575" s="70"/>
      <c r="F575" s="70" t="s">
        <v>2677</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79"/>
        <v>3</v>
      </c>
      <c r="D576" s="73"/>
      <c r="E576" s="70"/>
      <c r="F576" s="70" t="s">
        <v>2678</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79"/>
        <v>3</v>
      </c>
      <c r="D577" s="73"/>
      <c r="E577" s="70"/>
      <c r="F577" s="70" t="s">
        <v>2679</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35">
      <c r="A578" s="45"/>
      <c r="B578" s="54"/>
      <c r="C578" s="47">
        <f t="shared" si="79"/>
        <v>3</v>
      </c>
      <c r="D578" s="73"/>
      <c r="E578" s="70"/>
      <c r="F578" s="70" t="s">
        <v>2680</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35">
      <c r="A579" s="45"/>
      <c r="B579" s="54"/>
      <c r="C579" s="47">
        <f t="shared" si="79"/>
        <v>3</v>
      </c>
      <c r="D579" s="73"/>
      <c r="E579" s="70"/>
      <c r="F579" s="70" t="s">
        <v>2681</v>
      </c>
      <c r="G579" s="73"/>
      <c r="H579" s="76"/>
      <c r="I579" s="96"/>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35">
      <c r="A580" s="45"/>
      <c r="B580" s="54"/>
      <c r="C580" s="47">
        <f t="shared" si="79"/>
        <v>3</v>
      </c>
      <c r="D580" s="73"/>
      <c r="E580" s="70"/>
      <c r="F580" s="70" t="s">
        <v>2682</v>
      </c>
      <c r="G580" s="73"/>
      <c r="H580" s="76"/>
      <c r="I580" s="96"/>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35">
      <c r="A581" s="45"/>
      <c r="B581" s="54"/>
      <c r="C581" s="47">
        <f t="shared" si="79"/>
        <v>3</v>
      </c>
      <c r="D581" s="73"/>
      <c r="E581" s="70"/>
      <c r="F581" s="70" t="s">
        <v>2683</v>
      </c>
      <c r="G581" s="73"/>
      <c r="H581" s="76"/>
      <c r="I581" s="96"/>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2" x14ac:dyDescent="0.35">
      <c r="A582" s="45"/>
      <c r="B582" s="54"/>
      <c r="C582" s="47">
        <f t="shared" si="79"/>
        <v>3</v>
      </c>
      <c r="D582" s="73"/>
      <c r="E582" s="70"/>
      <c r="F582" s="70" t="s">
        <v>2684</v>
      </c>
      <c r="G582" s="73"/>
      <c r="H582" s="76" t="s">
        <v>2708</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2" collapsed="1" x14ac:dyDescent="0.35">
      <c r="A583" s="45"/>
      <c r="B583" s="54"/>
      <c r="C583" s="47">
        <f t="shared" si="79"/>
        <v>3</v>
      </c>
      <c r="D583" s="73"/>
      <c r="E583" s="70"/>
      <c r="F583" s="70" t="s">
        <v>2685</v>
      </c>
      <c r="G583" s="73"/>
      <c r="H583" s="76" t="s">
        <v>2709</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79"/>
        <v>3</v>
      </c>
      <c r="D584" s="73"/>
      <c r="E584" s="70"/>
      <c r="F584" s="70" t="s">
        <v>2686</v>
      </c>
      <c r="G584" s="73"/>
      <c r="H584" s="76" t="s">
        <v>2710</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79"/>
        <v>3</v>
      </c>
      <c r="D585" s="73"/>
      <c r="E585" s="70"/>
      <c r="F585" s="70" t="s">
        <v>2687</v>
      </c>
      <c r="G585" s="73"/>
      <c r="H585" s="76" t="s">
        <v>2711</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79"/>
        <v>3</v>
      </c>
      <c r="D586" s="73"/>
      <c r="E586" s="70"/>
      <c r="F586" s="70" t="s">
        <v>2688</v>
      </c>
      <c r="G586" s="73"/>
      <c r="H586" s="76" t="s">
        <v>2712</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35">
      <c r="A587" s="45"/>
      <c r="B587" s="54"/>
      <c r="C587" s="47">
        <f t="shared" si="79"/>
        <v>3</v>
      </c>
      <c r="D587" s="73"/>
      <c r="E587" s="70"/>
      <c r="F587" s="70" t="s">
        <v>2689</v>
      </c>
      <c r="G587" s="73"/>
      <c r="H587" s="76" t="s">
        <v>2713</v>
      </c>
      <c r="I587" s="96"/>
      <c r="J587" s="96"/>
      <c r="K587" s="76"/>
      <c r="L587" s="76"/>
      <c r="M587" s="76"/>
      <c r="N587" s="76"/>
      <c r="O587" s="76"/>
      <c r="P587" s="76"/>
      <c r="Q587" s="76"/>
      <c r="R587" s="76"/>
      <c r="S587" s="76"/>
      <c r="T587" s="76"/>
      <c r="U587" s="97"/>
      <c r="V587" s="97"/>
      <c r="W587" s="97"/>
      <c r="X587" s="97"/>
      <c r="Y587" s="97"/>
      <c r="Z587" s="97"/>
      <c r="AA587" s="97"/>
      <c r="AB587" s="97"/>
      <c r="AC587" s="76"/>
      <c r="AD587" s="76"/>
      <c r="AE587" s="76"/>
      <c r="AF587" s="97">
        <v>1</v>
      </c>
      <c r="AG587" s="97">
        <v>1</v>
      </c>
      <c r="AH587" s="73"/>
      <c r="AI587" s="57"/>
      <c r="AJ587" s="45"/>
      <c r="AK587" s="45"/>
      <c r="AL587" s="45"/>
    </row>
    <row r="588" spans="1:38" hidden="1" outlineLevel="3" x14ac:dyDescent="0.35">
      <c r="A588" s="45"/>
      <c r="B588" s="54"/>
      <c r="C588" s="47">
        <f t="shared" si="79"/>
        <v>3</v>
      </c>
      <c r="D588" s="73"/>
      <c r="E588" s="70"/>
      <c r="F588" s="70" t="s">
        <v>2690</v>
      </c>
      <c r="G588" s="73"/>
      <c r="H588" s="76" t="s">
        <v>2714</v>
      </c>
      <c r="I588" s="96"/>
      <c r="J588" s="96"/>
      <c r="K588" s="76"/>
      <c r="L588" s="76"/>
      <c r="M588" s="76"/>
      <c r="N588" s="76"/>
      <c r="O588" s="76"/>
      <c r="P588" s="76"/>
      <c r="Q588" s="76"/>
      <c r="R588" s="76"/>
      <c r="S588" s="76"/>
      <c r="T588" s="76"/>
      <c r="U588" s="97"/>
      <c r="V588" s="97"/>
      <c r="W588" s="97"/>
      <c r="X588" s="97"/>
      <c r="Y588" s="97"/>
      <c r="Z588" s="97"/>
      <c r="AA588" s="97"/>
      <c r="AB588" s="97"/>
      <c r="AC588" s="76"/>
      <c r="AD588" s="76"/>
      <c r="AE588" s="76"/>
      <c r="AF588" s="97">
        <v>1</v>
      </c>
      <c r="AG588" s="97">
        <v>1</v>
      </c>
      <c r="AH588" s="73"/>
      <c r="AI588" s="57"/>
      <c r="AJ588" s="45"/>
      <c r="AK588" s="45"/>
      <c r="AL588" s="45"/>
    </row>
    <row r="589" spans="1:38" hidden="1" outlineLevel="3" x14ac:dyDescent="0.35">
      <c r="A589" s="45"/>
      <c r="B589" s="54"/>
      <c r="C589" s="47">
        <f t="shared" si="79"/>
        <v>3</v>
      </c>
      <c r="D589" s="73"/>
      <c r="E589" s="70"/>
      <c r="F589" s="70" t="s">
        <v>2691</v>
      </c>
      <c r="G589" s="73"/>
      <c r="H589" s="76" t="s">
        <v>2715</v>
      </c>
      <c r="I589" s="96"/>
      <c r="J589" s="96"/>
      <c r="K589" s="76"/>
      <c r="L589" s="76"/>
      <c r="M589" s="76"/>
      <c r="N589" s="76"/>
      <c r="O589" s="76"/>
      <c r="P589" s="76"/>
      <c r="Q589" s="76"/>
      <c r="R589" s="76"/>
      <c r="S589" s="76"/>
      <c r="T589" s="76"/>
      <c r="U589" s="97"/>
      <c r="V589" s="97"/>
      <c r="W589" s="97"/>
      <c r="X589" s="97"/>
      <c r="Y589" s="97"/>
      <c r="Z589" s="97"/>
      <c r="AA589" s="97"/>
      <c r="AB589" s="97"/>
      <c r="AC589" s="76"/>
      <c r="AD589" s="76"/>
      <c r="AE589" s="76"/>
      <c r="AF589" s="97">
        <v>1</v>
      </c>
      <c r="AG589" s="97">
        <v>1</v>
      </c>
      <c r="AH589" s="73"/>
      <c r="AI589" s="57"/>
      <c r="AJ589" s="45"/>
      <c r="AK589" s="45"/>
      <c r="AL589" s="45"/>
    </row>
    <row r="590" spans="1:38" hidden="1" outlineLevel="3" x14ac:dyDescent="0.35">
      <c r="A590" s="45"/>
      <c r="B590" s="54"/>
      <c r="C590" s="47">
        <f t="shared" si="79"/>
        <v>3</v>
      </c>
      <c r="D590" s="73"/>
      <c r="E590" s="70"/>
      <c r="F590" s="70" t="s">
        <v>2692</v>
      </c>
      <c r="G590" s="73"/>
      <c r="H590" s="76" t="s">
        <v>616</v>
      </c>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79"/>
        <v>3</v>
      </c>
      <c r="D591" s="73"/>
      <c r="E591" s="70"/>
      <c r="F591" s="70" t="s">
        <v>2693</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79"/>
        <v>3</v>
      </c>
      <c r="D592" s="73"/>
      <c r="E592" s="70"/>
      <c r="F592" s="70" t="s">
        <v>2694</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79"/>
        <v>3</v>
      </c>
      <c r="D593" s="73"/>
      <c r="E593" s="70"/>
      <c r="F593" s="70" t="s">
        <v>2695</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35">
      <c r="A594" s="45"/>
      <c r="B594" s="54"/>
      <c r="C594" s="47">
        <f t="shared" si="79"/>
        <v>3</v>
      </c>
      <c r="D594" s="73"/>
      <c r="E594" s="70"/>
      <c r="F594" s="70" t="s">
        <v>2696</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35">
      <c r="A595" s="45"/>
      <c r="B595" s="54"/>
      <c r="C595" s="47">
        <f t="shared" si="79"/>
        <v>3</v>
      </c>
      <c r="D595" s="73"/>
      <c r="E595" s="70"/>
      <c r="F595" s="70" t="s">
        <v>2697</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35">
      <c r="A596" s="45"/>
      <c r="B596" s="54"/>
      <c r="C596" s="47">
        <f t="shared" si="79"/>
        <v>3</v>
      </c>
      <c r="D596" s="73"/>
      <c r="E596" s="70"/>
      <c r="F596" s="70" t="s">
        <v>2698</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35">
      <c r="A597" s="45"/>
      <c r="B597" s="54"/>
      <c r="C597" s="47">
        <f t="shared" si="79"/>
        <v>3</v>
      </c>
      <c r="D597" s="73"/>
      <c r="E597" s="70"/>
      <c r="F597" s="70" t="s">
        <v>2699</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2" x14ac:dyDescent="0.35">
      <c r="A598" s="45"/>
      <c r="B598" s="54"/>
      <c r="C598" s="47">
        <f t="shared" si="79"/>
        <v>3</v>
      </c>
      <c r="D598" s="73"/>
      <c r="E598" s="70"/>
      <c r="F598" s="70" t="s">
        <v>2700</v>
      </c>
      <c r="G598" s="73"/>
      <c r="H598" s="76" t="s">
        <v>2794</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2" collapsed="1" x14ac:dyDescent="0.35">
      <c r="A599" s="45"/>
      <c r="B599" s="54"/>
      <c r="C599" s="47">
        <f t="shared" si="79"/>
        <v>3</v>
      </c>
      <c r="D599" s="73"/>
      <c r="E599" s="70"/>
      <c r="F599" s="70" t="s">
        <v>2701</v>
      </c>
      <c r="G599" s="73"/>
      <c r="H599" s="76" t="s">
        <v>2709</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79"/>
        <v>3</v>
      </c>
      <c r="D600" s="73"/>
      <c r="E600" s="70"/>
      <c r="F600" s="70" t="s">
        <v>2702</v>
      </c>
      <c r="G600" s="73"/>
      <c r="H600" s="76" t="s">
        <v>2710</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79"/>
        <v>3</v>
      </c>
      <c r="D601" s="73"/>
      <c r="E601" s="70"/>
      <c r="F601" s="70" t="s">
        <v>2703</v>
      </c>
      <c r="G601" s="73"/>
      <c r="H601" s="76" t="s">
        <v>2711</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35">
      <c r="A602" s="45"/>
      <c r="B602" s="54"/>
      <c r="C602" s="47">
        <f t="shared" si="79"/>
        <v>3</v>
      </c>
      <c r="D602" s="73"/>
      <c r="E602" s="70"/>
      <c r="F602" s="70" t="s">
        <v>2704</v>
      </c>
      <c r="G602" s="73"/>
      <c r="H602" s="76" t="s">
        <v>2712</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35">
      <c r="A603" s="45"/>
      <c r="B603" s="54"/>
      <c r="C603" s="47">
        <f t="shared" si="79"/>
        <v>3</v>
      </c>
      <c r="D603" s="73"/>
      <c r="E603" s="70"/>
      <c r="F603" s="70" t="s">
        <v>2705</v>
      </c>
      <c r="G603" s="73"/>
      <c r="H603" s="76" t="s">
        <v>2713</v>
      </c>
      <c r="I603" s="96"/>
      <c r="J603" s="96"/>
      <c r="K603" s="76"/>
      <c r="L603" s="76"/>
      <c r="M603" s="76"/>
      <c r="N603" s="76"/>
      <c r="O603" s="76"/>
      <c r="P603" s="76"/>
      <c r="Q603" s="76"/>
      <c r="R603" s="76"/>
      <c r="S603" s="76"/>
      <c r="T603" s="76"/>
      <c r="U603" s="97"/>
      <c r="V603" s="97"/>
      <c r="W603" s="97"/>
      <c r="X603" s="97"/>
      <c r="Y603" s="97"/>
      <c r="Z603" s="97"/>
      <c r="AA603" s="97"/>
      <c r="AB603" s="97"/>
      <c r="AC603" s="76"/>
      <c r="AD603" s="76"/>
      <c r="AE603" s="76"/>
      <c r="AF603" s="97">
        <v>1</v>
      </c>
      <c r="AG603" s="97">
        <v>1</v>
      </c>
      <c r="AH603" s="73"/>
      <c r="AI603" s="57"/>
      <c r="AJ603" s="45"/>
      <c r="AK603" s="45"/>
      <c r="AL603" s="45"/>
    </row>
    <row r="604" spans="1:38" hidden="1" outlineLevel="3" x14ac:dyDescent="0.35">
      <c r="A604" s="45"/>
      <c r="B604" s="54"/>
      <c r="C604" s="47">
        <f t="shared" si="79"/>
        <v>3</v>
      </c>
      <c r="D604" s="73"/>
      <c r="E604" s="70"/>
      <c r="F604" s="70" t="s">
        <v>2706</v>
      </c>
      <c r="G604" s="73"/>
      <c r="H604" s="76" t="s">
        <v>2714</v>
      </c>
      <c r="I604" s="96"/>
      <c r="J604" s="96"/>
      <c r="K604" s="76"/>
      <c r="L604" s="76"/>
      <c r="M604" s="76"/>
      <c r="N604" s="76"/>
      <c r="O604" s="76"/>
      <c r="P604" s="76"/>
      <c r="Q604" s="76"/>
      <c r="R604" s="76"/>
      <c r="S604" s="76"/>
      <c r="T604" s="76"/>
      <c r="U604" s="97"/>
      <c r="V604" s="97"/>
      <c r="W604" s="97"/>
      <c r="X604" s="97"/>
      <c r="Y604" s="97"/>
      <c r="Z604" s="97"/>
      <c r="AA604" s="97"/>
      <c r="AB604" s="97"/>
      <c r="AC604" s="76"/>
      <c r="AD604" s="76"/>
      <c r="AE604" s="76"/>
      <c r="AF604" s="97">
        <v>1</v>
      </c>
      <c r="AG604" s="97">
        <v>1</v>
      </c>
      <c r="AH604" s="73"/>
      <c r="AI604" s="57"/>
      <c r="AJ604" s="45"/>
      <c r="AK604" s="45"/>
      <c r="AL604" s="45"/>
    </row>
    <row r="605" spans="1:38" hidden="1" outlineLevel="3" x14ac:dyDescent="0.35">
      <c r="A605" s="45"/>
      <c r="B605" s="54"/>
      <c r="C605" s="47">
        <f t="shared" si="79"/>
        <v>3</v>
      </c>
      <c r="D605" s="73"/>
      <c r="E605" s="70"/>
      <c r="F605" s="70" t="s">
        <v>2707</v>
      </c>
      <c r="G605" s="73"/>
      <c r="H605" s="76" t="s">
        <v>2715</v>
      </c>
      <c r="I605" s="96"/>
      <c r="J605" s="96"/>
      <c r="K605" s="76"/>
      <c r="L605" s="76"/>
      <c r="M605" s="76"/>
      <c r="N605" s="76"/>
      <c r="O605" s="76"/>
      <c r="P605" s="76"/>
      <c r="Q605" s="76"/>
      <c r="R605" s="76"/>
      <c r="S605" s="76"/>
      <c r="T605" s="76"/>
      <c r="U605" s="97"/>
      <c r="V605" s="97"/>
      <c r="W605" s="97"/>
      <c r="X605" s="97"/>
      <c r="Y605" s="97"/>
      <c r="Z605" s="97"/>
      <c r="AA605" s="97"/>
      <c r="AB605" s="97"/>
      <c r="AC605" s="76"/>
      <c r="AD605" s="76"/>
      <c r="AE605" s="76"/>
      <c r="AF605" s="97">
        <v>1</v>
      </c>
      <c r="AG605" s="97">
        <v>1</v>
      </c>
      <c r="AH605" s="73"/>
      <c r="AI605" s="57"/>
      <c r="AJ605" s="45"/>
      <c r="AK605" s="45"/>
      <c r="AL605" s="45"/>
    </row>
    <row r="606" spans="1:38" hidden="1" outlineLevel="2" x14ac:dyDescent="0.35">
      <c r="A606" s="45"/>
      <c r="B606" s="54"/>
      <c r="C606" s="47">
        <f t="shared" si="79"/>
        <v>3</v>
      </c>
      <c r="D606" s="73"/>
      <c r="E606" s="70"/>
      <c r="F606" s="70" t="s">
        <v>2796</v>
      </c>
      <c r="G606" s="73"/>
      <c r="H606" s="76" t="s">
        <v>2795</v>
      </c>
      <c r="I606" s="96">
        <v>1</v>
      </c>
      <c r="J606" s="96"/>
      <c r="K606" s="76"/>
      <c r="L606" s="76"/>
      <c r="M606" s="76"/>
      <c r="N606" s="76"/>
      <c r="O606" s="76"/>
      <c r="P606" s="76"/>
      <c r="Q606" s="76"/>
      <c r="R606" s="76"/>
      <c r="S606" s="76"/>
      <c r="T606" s="76"/>
      <c r="U606" s="97">
        <f>Y606-($I606*-0.3347)</f>
        <v>0.39093</v>
      </c>
      <c r="V606" s="262">
        <f>U606</f>
        <v>0.39093</v>
      </c>
      <c r="W606" s="262">
        <f>V606</f>
        <v>0.39093</v>
      </c>
      <c r="X606" s="262">
        <f>Y606</f>
        <v>5.6230000000000002E-2</v>
      </c>
      <c r="Y606" s="97">
        <f>-($I606*-0.05623)</f>
        <v>5.6230000000000002E-2</v>
      </c>
      <c r="Z606" s="262">
        <f>Y606</f>
        <v>5.6230000000000002E-2</v>
      </c>
      <c r="AA606" s="262">
        <f>Z606</f>
        <v>5.6230000000000002E-2</v>
      </c>
      <c r="AB606" s="262">
        <f>AA606</f>
        <v>5.6230000000000002E-2</v>
      </c>
      <c r="AC606" s="76"/>
      <c r="AD606" s="97" t="s">
        <v>2785</v>
      </c>
      <c r="AE606" s="76"/>
      <c r="AF606" s="97">
        <v>1</v>
      </c>
      <c r="AG606" s="97">
        <v>1</v>
      </c>
      <c r="AH606" s="73"/>
      <c r="AI606" s="57"/>
      <c r="AJ606" s="45"/>
      <c r="AK606" s="45"/>
      <c r="AL606" s="45"/>
    </row>
    <row r="607" spans="1:38" hidden="1" outlineLevel="2" x14ac:dyDescent="0.35">
      <c r="A607" s="45"/>
      <c r="B607" s="54"/>
      <c r="C607" s="47">
        <f t="shared" si="79"/>
        <v>3</v>
      </c>
      <c r="D607" s="73"/>
      <c r="E607" s="70"/>
      <c r="F607" s="70" t="s">
        <v>2797</v>
      </c>
      <c r="G607" s="73"/>
      <c r="H607" s="76" t="s">
        <v>2709</v>
      </c>
      <c r="I607" s="96">
        <v>2</v>
      </c>
      <c r="J607" s="96"/>
      <c r="K607" s="76"/>
      <c r="L607" s="76"/>
      <c r="M607" s="76"/>
      <c r="N607" s="76"/>
      <c r="O607" s="76"/>
      <c r="P607" s="76"/>
      <c r="Q607" s="76"/>
      <c r="R607" s="76"/>
      <c r="S607" s="76"/>
      <c r="T607" s="76"/>
      <c r="U607" s="97">
        <f t="shared" ref="U607:U613" si="82">Y607-($I607*-0.3347)</f>
        <v>0.78186</v>
      </c>
      <c r="V607" s="262">
        <f t="shared" ref="V607:V613" si="83">U607</f>
        <v>0.78186</v>
      </c>
      <c r="W607" s="262">
        <f t="shared" ref="W607:W613" si="84">V607</f>
        <v>0.78186</v>
      </c>
      <c r="X607" s="262">
        <f t="shared" ref="X607:X613" si="85">Y607</f>
        <v>0.11246</v>
      </c>
      <c r="Y607" s="97">
        <f t="shared" ref="Y607:Y613" si="86">-($I607*-0.05623)</f>
        <v>0.11246</v>
      </c>
      <c r="Z607" s="262">
        <f t="shared" ref="Z607:Z613" si="87">Y607</f>
        <v>0.11246</v>
      </c>
      <c r="AA607" s="262">
        <f t="shared" ref="AA607:AA613" si="88">Z607</f>
        <v>0.11246</v>
      </c>
      <c r="AB607" s="262">
        <f t="shared" ref="AB607:AB613" si="89">AA607</f>
        <v>0.11246</v>
      </c>
      <c r="AC607" s="76"/>
      <c r="AD607" s="76"/>
      <c r="AE607" s="76"/>
      <c r="AF607" s="97">
        <v>1</v>
      </c>
      <c r="AG607" s="97">
        <v>1</v>
      </c>
      <c r="AH607" s="73"/>
      <c r="AI607" s="57"/>
      <c r="AJ607" s="45"/>
      <c r="AK607" s="45"/>
      <c r="AL607" s="45"/>
    </row>
    <row r="608" spans="1:38" hidden="1" outlineLevel="2" x14ac:dyDescent="0.35">
      <c r="A608" s="45"/>
      <c r="B608" s="54"/>
      <c r="C608" s="47">
        <f t="shared" si="79"/>
        <v>3</v>
      </c>
      <c r="D608" s="73"/>
      <c r="E608" s="70"/>
      <c r="F608" s="70" t="s">
        <v>2798</v>
      </c>
      <c r="G608" s="73"/>
      <c r="H608" s="76" t="s">
        <v>2710</v>
      </c>
      <c r="I608" s="96">
        <v>3</v>
      </c>
      <c r="J608" s="96"/>
      <c r="K608" s="76"/>
      <c r="L608" s="76"/>
      <c r="M608" s="76"/>
      <c r="N608" s="76"/>
      <c r="O608" s="76"/>
      <c r="P608" s="76"/>
      <c r="Q608" s="76"/>
      <c r="R608" s="76"/>
      <c r="S608" s="76"/>
      <c r="T608" s="76"/>
      <c r="U608" s="97">
        <f t="shared" si="82"/>
        <v>1.17279</v>
      </c>
      <c r="V608" s="262">
        <f t="shared" si="83"/>
        <v>1.17279</v>
      </c>
      <c r="W608" s="262">
        <f t="shared" si="84"/>
        <v>1.17279</v>
      </c>
      <c r="X608" s="262">
        <f t="shared" si="85"/>
        <v>0.16869000000000001</v>
      </c>
      <c r="Y608" s="97">
        <f t="shared" si="86"/>
        <v>0.16869000000000001</v>
      </c>
      <c r="Z608" s="262">
        <f t="shared" si="87"/>
        <v>0.16869000000000001</v>
      </c>
      <c r="AA608" s="262">
        <f t="shared" si="88"/>
        <v>0.16869000000000001</v>
      </c>
      <c r="AB608" s="262">
        <f t="shared" si="89"/>
        <v>0.16869000000000001</v>
      </c>
      <c r="AC608" s="76"/>
      <c r="AD608" s="76"/>
      <c r="AE608" s="76"/>
      <c r="AF608" s="97">
        <v>1</v>
      </c>
      <c r="AG608" s="97">
        <v>1</v>
      </c>
      <c r="AH608" s="73"/>
      <c r="AI608" s="57"/>
      <c r="AJ608" s="45"/>
      <c r="AK608" s="45"/>
      <c r="AL608" s="45"/>
    </row>
    <row r="609" spans="1:38" hidden="1" outlineLevel="2" x14ac:dyDescent="0.35">
      <c r="A609" s="45"/>
      <c r="B609" s="54"/>
      <c r="C609" s="47">
        <f t="shared" si="79"/>
        <v>3</v>
      </c>
      <c r="D609" s="73"/>
      <c r="E609" s="70"/>
      <c r="F609" s="70" t="s">
        <v>2799</v>
      </c>
      <c r="G609" s="73"/>
      <c r="H609" s="76" t="s">
        <v>2711</v>
      </c>
      <c r="I609" s="96">
        <v>4</v>
      </c>
      <c r="J609" s="96"/>
      <c r="K609" s="76"/>
      <c r="L609" s="76"/>
      <c r="M609" s="76"/>
      <c r="N609" s="76"/>
      <c r="O609" s="76"/>
      <c r="P609" s="76"/>
      <c r="Q609" s="76"/>
      <c r="R609" s="76"/>
      <c r="S609" s="76"/>
      <c r="T609" s="76"/>
      <c r="U609" s="97">
        <f t="shared" si="82"/>
        <v>1.56372</v>
      </c>
      <c r="V609" s="262">
        <f t="shared" si="83"/>
        <v>1.56372</v>
      </c>
      <c r="W609" s="262">
        <f t="shared" si="84"/>
        <v>1.56372</v>
      </c>
      <c r="X609" s="262">
        <f t="shared" si="85"/>
        <v>0.22492000000000001</v>
      </c>
      <c r="Y609" s="97">
        <f t="shared" si="86"/>
        <v>0.22492000000000001</v>
      </c>
      <c r="Z609" s="262">
        <f t="shared" si="87"/>
        <v>0.22492000000000001</v>
      </c>
      <c r="AA609" s="262">
        <f t="shared" si="88"/>
        <v>0.22492000000000001</v>
      </c>
      <c r="AB609" s="262">
        <f t="shared" si="89"/>
        <v>0.22492000000000001</v>
      </c>
      <c r="AC609" s="76"/>
      <c r="AD609" s="76"/>
      <c r="AE609" s="76"/>
      <c r="AF609" s="97">
        <v>1</v>
      </c>
      <c r="AG609" s="97">
        <v>1</v>
      </c>
      <c r="AH609" s="73"/>
      <c r="AI609" s="57"/>
      <c r="AJ609" s="45"/>
      <c r="AK609" s="45"/>
      <c r="AL609" s="45"/>
    </row>
    <row r="610" spans="1:38" hidden="1" outlineLevel="2" x14ac:dyDescent="0.35">
      <c r="A610" s="45"/>
      <c r="B610" s="54"/>
      <c r="C610" s="47">
        <f t="shared" si="79"/>
        <v>3</v>
      </c>
      <c r="D610" s="73"/>
      <c r="E610" s="70"/>
      <c r="F610" s="70" t="s">
        <v>2800</v>
      </c>
      <c r="G610" s="73"/>
      <c r="H610" s="76" t="s">
        <v>2712</v>
      </c>
      <c r="I610" s="96">
        <v>5</v>
      </c>
      <c r="J610" s="96"/>
      <c r="K610" s="76"/>
      <c r="L610" s="76"/>
      <c r="M610" s="76"/>
      <c r="N610" s="76"/>
      <c r="O610" s="76"/>
      <c r="P610" s="76"/>
      <c r="Q610" s="76"/>
      <c r="R610" s="76"/>
      <c r="S610" s="76"/>
      <c r="T610" s="76"/>
      <c r="U610" s="97">
        <f t="shared" si="82"/>
        <v>1.95465</v>
      </c>
      <c r="V610" s="262">
        <f t="shared" si="83"/>
        <v>1.95465</v>
      </c>
      <c r="W610" s="262">
        <f t="shared" si="84"/>
        <v>1.95465</v>
      </c>
      <c r="X610" s="262">
        <f t="shared" si="85"/>
        <v>0.28115000000000001</v>
      </c>
      <c r="Y610" s="97">
        <f t="shared" si="86"/>
        <v>0.28115000000000001</v>
      </c>
      <c r="Z610" s="262">
        <f t="shared" si="87"/>
        <v>0.28115000000000001</v>
      </c>
      <c r="AA610" s="262">
        <f t="shared" si="88"/>
        <v>0.28115000000000001</v>
      </c>
      <c r="AB610" s="262">
        <f t="shared" si="89"/>
        <v>0.28115000000000001</v>
      </c>
      <c r="AC610" s="76"/>
      <c r="AD610" s="76"/>
      <c r="AE610" s="76"/>
      <c r="AF610" s="97">
        <v>1</v>
      </c>
      <c r="AG610" s="97">
        <v>1</v>
      </c>
      <c r="AH610" s="73"/>
      <c r="AI610" s="57"/>
      <c r="AJ610" s="45"/>
      <c r="AK610" s="45"/>
      <c r="AL610" s="45"/>
    </row>
    <row r="611" spans="1:38" hidden="1" outlineLevel="2" x14ac:dyDescent="0.35">
      <c r="A611" s="45"/>
      <c r="B611" s="54"/>
      <c r="C611" s="47">
        <f t="shared" si="79"/>
        <v>3</v>
      </c>
      <c r="D611" s="73"/>
      <c r="E611" s="70"/>
      <c r="F611" s="70" t="s">
        <v>2801</v>
      </c>
      <c r="G611" s="73"/>
      <c r="H611" s="76" t="s">
        <v>2713</v>
      </c>
      <c r="I611" s="96">
        <v>6</v>
      </c>
      <c r="J611" s="96"/>
      <c r="K611" s="76"/>
      <c r="L611" s="76"/>
      <c r="M611" s="76"/>
      <c r="N611" s="76"/>
      <c r="O611" s="76"/>
      <c r="P611" s="76"/>
      <c r="Q611" s="76"/>
      <c r="R611" s="76"/>
      <c r="S611" s="76"/>
      <c r="T611" s="76"/>
      <c r="U611" s="97">
        <f t="shared" si="82"/>
        <v>2.34558</v>
      </c>
      <c r="V611" s="262">
        <f t="shared" si="83"/>
        <v>2.34558</v>
      </c>
      <c r="W611" s="262">
        <f t="shared" si="84"/>
        <v>2.34558</v>
      </c>
      <c r="X611" s="262">
        <f t="shared" si="85"/>
        <v>0.33738000000000001</v>
      </c>
      <c r="Y611" s="97">
        <f t="shared" si="86"/>
        <v>0.33738000000000001</v>
      </c>
      <c r="Z611" s="262">
        <f t="shared" si="87"/>
        <v>0.33738000000000001</v>
      </c>
      <c r="AA611" s="262">
        <f t="shared" si="88"/>
        <v>0.33738000000000001</v>
      </c>
      <c r="AB611" s="262">
        <f t="shared" si="89"/>
        <v>0.33738000000000001</v>
      </c>
      <c r="AC611" s="76"/>
      <c r="AD611" s="76"/>
      <c r="AE611" s="76"/>
      <c r="AF611" s="97">
        <v>1</v>
      </c>
      <c r="AG611" s="97">
        <v>1</v>
      </c>
      <c r="AH611" s="73"/>
      <c r="AI611" s="57"/>
      <c r="AJ611" s="45"/>
      <c r="AK611" s="45"/>
      <c r="AL611" s="45"/>
    </row>
    <row r="612" spans="1:38" hidden="1" outlineLevel="2" x14ac:dyDescent="0.35">
      <c r="A612" s="45"/>
      <c r="B612" s="54"/>
      <c r="C612" s="47">
        <f t="shared" si="79"/>
        <v>3</v>
      </c>
      <c r="D612" s="73"/>
      <c r="E612" s="70"/>
      <c r="F612" s="70" t="s">
        <v>2802</v>
      </c>
      <c r="G612" s="73"/>
      <c r="H612" s="76" t="s">
        <v>2714</v>
      </c>
      <c r="I612" s="96">
        <v>7</v>
      </c>
      <c r="J612" s="96"/>
      <c r="K612" s="76"/>
      <c r="L612" s="76"/>
      <c r="M612" s="76"/>
      <c r="N612" s="76"/>
      <c r="O612" s="76"/>
      <c r="P612" s="76"/>
      <c r="Q612" s="76"/>
      <c r="R612" s="76"/>
      <c r="S612" s="76"/>
      <c r="T612" s="76"/>
      <c r="U612" s="97">
        <f t="shared" si="82"/>
        <v>2.73651</v>
      </c>
      <c r="V612" s="262">
        <f t="shared" si="83"/>
        <v>2.73651</v>
      </c>
      <c r="W612" s="262">
        <f t="shared" si="84"/>
        <v>2.73651</v>
      </c>
      <c r="X612" s="262">
        <f t="shared" si="85"/>
        <v>0.39361000000000002</v>
      </c>
      <c r="Y612" s="97">
        <f t="shared" si="86"/>
        <v>0.39361000000000002</v>
      </c>
      <c r="Z612" s="262">
        <f t="shared" si="87"/>
        <v>0.39361000000000002</v>
      </c>
      <c r="AA612" s="262">
        <f t="shared" si="88"/>
        <v>0.39361000000000002</v>
      </c>
      <c r="AB612" s="262">
        <f t="shared" si="89"/>
        <v>0.39361000000000002</v>
      </c>
      <c r="AC612" s="76"/>
      <c r="AD612" s="76"/>
      <c r="AE612" s="76"/>
      <c r="AF612" s="97">
        <v>1</v>
      </c>
      <c r="AG612" s="97">
        <v>1</v>
      </c>
      <c r="AH612" s="73"/>
      <c r="AI612" s="57"/>
      <c r="AJ612" s="45"/>
      <c r="AK612" s="45"/>
      <c r="AL612" s="45"/>
    </row>
    <row r="613" spans="1:38" hidden="1" outlineLevel="2" x14ac:dyDescent="0.35">
      <c r="A613" s="45"/>
      <c r="B613" s="54"/>
      <c r="C613" s="47">
        <f t="shared" si="79"/>
        <v>3</v>
      </c>
      <c r="D613" s="73"/>
      <c r="E613" s="70"/>
      <c r="F613" s="70" t="s">
        <v>2803</v>
      </c>
      <c r="G613" s="73"/>
      <c r="H613" s="76" t="s">
        <v>2715</v>
      </c>
      <c r="I613" s="96">
        <v>8</v>
      </c>
      <c r="J613" s="96"/>
      <c r="K613" s="76"/>
      <c r="L613" s="76"/>
      <c r="M613" s="76"/>
      <c r="N613" s="76"/>
      <c r="O613" s="76"/>
      <c r="P613" s="76"/>
      <c r="Q613" s="76"/>
      <c r="R613" s="76"/>
      <c r="S613" s="76"/>
      <c r="T613" s="76"/>
      <c r="U613" s="97">
        <f t="shared" si="82"/>
        <v>3.12744</v>
      </c>
      <c r="V613" s="262">
        <f t="shared" si="83"/>
        <v>3.12744</v>
      </c>
      <c r="W613" s="262">
        <f t="shared" si="84"/>
        <v>3.12744</v>
      </c>
      <c r="X613" s="262">
        <f t="shared" si="85"/>
        <v>0.44984000000000002</v>
      </c>
      <c r="Y613" s="97">
        <f t="shared" si="86"/>
        <v>0.44984000000000002</v>
      </c>
      <c r="Z613" s="262">
        <f t="shared" si="87"/>
        <v>0.44984000000000002</v>
      </c>
      <c r="AA613" s="262">
        <f t="shared" si="88"/>
        <v>0.44984000000000002</v>
      </c>
      <c r="AB613" s="262">
        <f t="shared" si="89"/>
        <v>0.44984000000000002</v>
      </c>
      <c r="AC613" s="76"/>
      <c r="AD613" s="76"/>
      <c r="AE613" s="76"/>
      <c r="AF613" s="97">
        <v>1</v>
      </c>
      <c r="AG613" s="97">
        <v>1</v>
      </c>
      <c r="AH613" s="73"/>
      <c r="AI613" s="57"/>
      <c r="AJ613" s="45"/>
      <c r="AK613" s="45"/>
      <c r="AL613" s="45"/>
    </row>
    <row r="614" spans="1:38" outlineLevel="1" collapsed="1" x14ac:dyDescent="0.35">
      <c r="A614" s="45"/>
      <c r="B614" s="54"/>
      <c r="C614" s="47">
        <f>INT($C$29)+1</f>
        <v>2</v>
      </c>
      <c r="D614" s="73"/>
      <c r="E614" s="70"/>
      <c r="F614" s="263" t="s">
        <v>1223</v>
      </c>
      <c r="G614" s="73"/>
      <c r="H614" s="253" t="s">
        <v>1224</v>
      </c>
      <c r="I614" s="136"/>
      <c r="J614" s="136" t="s">
        <v>1060</v>
      </c>
      <c r="K614" s="76"/>
      <c r="L614" s="76"/>
      <c r="M614" s="76"/>
      <c r="N614" s="76"/>
      <c r="O614" s="76"/>
      <c r="P614" s="76"/>
      <c r="Q614" s="76"/>
      <c r="R614" s="76"/>
      <c r="S614" s="76"/>
      <c r="T614" s="76"/>
      <c r="U614" s="79">
        <f>COUNTA($F$615:$F$686)/V614</f>
        <v>24</v>
      </c>
      <c r="V614" s="79">
        <v>3</v>
      </c>
      <c r="W614" s="79">
        <v>-3</v>
      </c>
      <c r="X614" s="76"/>
      <c r="Y614" s="76"/>
      <c r="Z614" s="76"/>
      <c r="AA614" s="76"/>
      <c r="AB614" s="76"/>
      <c r="AC614" s="76"/>
      <c r="AD614" s="76"/>
      <c r="AE614" s="76"/>
      <c r="AF614" s="76"/>
      <c r="AG614" s="76"/>
      <c r="AH614" s="73"/>
      <c r="AI614" s="57"/>
      <c r="AJ614" s="45"/>
      <c r="AK614" s="45"/>
      <c r="AL614" s="45"/>
    </row>
    <row r="615" spans="1:38" hidden="1" outlineLevel="3" x14ac:dyDescent="0.35">
      <c r="A615" s="45"/>
      <c r="B615" s="54"/>
      <c r="C615" s="47">
        <f t="shared" ref="C615:C686" si="90">INT($C$29)+2</f>
        <v>3</v>
      </c>
      <c r="D615" s="73"/>
      <c r="E615" s="70"/>
      <c r="F615" s="70" t="s">
        <v>1225</v>
      </c>
      <c r="G615" s="73"/>
      <c r="H615" s="76" t="s">
        <v>616</v>
      </c>
      <c r="I615" s="96" t="s">
        <v>514</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35">
      <c r="A616" s="45"/>
      <c r="B616" s="54"/>
      <c r="C616" s="47">
        <f t="shared" si="90"/>
        <v>3</v>
      </c>
      <c r="D616" s="73"/>
      <c r="E616" s="70"/>
      <c r="F616" s="70" t="s">
        <v>1226</v>
      </c>
      <c r="G616" s="73"/>
      <c r="H616" s="76"/>
      <c r="I616" s="96" t="s">
        <v>514</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35">
      <c r="A617" s="45"/>
      <c r="B617" s="54"/>
      <c r="C617" s="47">
        <f t="shared" si="90"/>
        <v>3</v>
      </c>
      <c r="D617" s="73"/>
      <c r="E617" s="70"/>
      <c r="F617" s="70" t="s">
        <v>1227</v>
      </c>
      <c r="G617" s="73"/>
      <c r="H617" s="76"/>
      <c r="I617" s="96" t="s">
        <v>514</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35">
      <c r="A618" s="45"/>
      <c r="B618" s="54"/>
      <c r="C618" s="47">
        <f t="shared" si="90"/>
        <v>3</v>
      </c>
      <c r="D618" s="73"/>
      <c r="E618" s="70"/>
      <c r="F618" s="70" t="s">
        <v>1228</v>
      </c>
      <c r="G618" s="73"/>
      <c r="H618" s="76" t="s">
        <v>1329</v>
      </c>
      <c r="I618" s="96" t="s">
        <v>514</v>
      </c>
      <c r="J618" s="96"/>
      <c r="K618" s="76"/>
      <c r="L618" s="76"/>
      <c r="M618" s="76"/>
      <c r="N618" s="76"/>
      <c r="O618" s="76"/>
      <c r="P618" s="76"/>
      <c r="Q618" s="76"/>
      <c r="R618" s="76"/>
      <c r="S618" s="76"/>
      <c r="T618" s="76"/>
      <c r="U618" s="97">
        <v>0</v>
      </c>
      <c r="V618" s="97">
        <v>0</v>
      </c>
      <c r="W618" s="97">
        <v>0</v>
      </c>
      <c r="X618" s="97">
        <v>0</v>
      </c>
      <c r="Y618" s="97">
        <v>0</v>
      </c>
      <c r="Z618" s="97">
        <v>0</v>
      </c>
      <c r="AA618" s="97">
        <v>0</v>
      </c>
      <c r="AB618" s="97">
        <v>0</v>
      </c>
      <c r="AC618" s="76"/>
      <c r="AD618" s="97"/>
      <c r="AE618" s="76"/>
      <c r="AF618" s="97">
        <v>1</v>
      </c>
      <c r="AG618" s="97">
        <v>1</v>
      </c>
      <c r="AH618" s="73"/>
      <c r="AI618" s="57"/>
      <c r="AJ618" s="45"/>
      <c r="AK618" s="45"/>
      <c r="AL618" s="45"/>
    </row>
    <row r="619" spans="1:38" hidden="1" outlineLevel="2" x14ac:dyDescent="0.35">
      <c r="A619" s="45"/>
      <c r="B619" s="54"/>
      <c r="C619" s="47">
        <f t="shared" si="90"/>
        <v>3</v>
      </c>
      <c r="D619" s="73"/>
      <c r="E619" s="70"/>
      <c r="F619" s="70" t="s">
        <v>1229</v>
      </c>
      <c r="G619" s="73"/>
      <c r="H619" s="76" t="s">
        <v>1331</v>
      </c>
      <c r="I619" s="96" t="s">
        <v>514</v>
      </c>
      <c r="J619" s="96"/>
      <c r="K619" s="76"/>
      <c r="L619" s="76"/>
      <c r="M619" s="76"/>
      <c r="N619" s="76"/>
      <c r="O619" s="76"/>
      <c r="P619" s="76"/>
      <c r="Q619" s="76"/>
      <c r="R619" s="76"/>
      <c r="S619" s="76"/>
      <c r="T619" s="76"/>
      <c r="U619" s="123">
        <v>-0.01</v>
      </c>
      <c r="V619" s="123">
        <v>-0.01</v>
      </c>
      <c r="W619" s="123">
        <v>-0.01</v>
      </c>
      <c r="X619" s="123">
        <v>-0.01</v>
      </c>
      <c r="Y619" s="123">
        <v>-0.01</v>
      </c>
      <c r="Z619" s="123">
        <v>-0.01</v>
      </c>
      <c r="AA619" s="123">
        <v>-0.01</v>
      </c>
      <c r="AB619" s="123">
        <v>-0.01</v>
      </c>
      <c r="AC619" s="76"/>
      <c r="AD619" s="97" t="s">
        <v>1332</v>
      </c>
      <c r="AE619" s="76"/>
      <c r="AF619" s="97">
        <v>1</v>
      </c>
      <c r="AG619" s="97">
        <v>1</v>
      </c>
      <c r="AH619" s="73"/>
      <c r="AI619" s="57"/>
      <c r="AJ619" s="45"/>
      <c r="AK619" s="45"/>
      <c r="AL619" s="45"/>
    </row>
    <row r="620" spans="1:38" hidden="1" outlineLevel="2" collapsed="1" x14ac:dyDescent="0.35">
      <c r="A620" s="45"/>
      <c r="B620" s="54"/>
      <c r="C620" s="47">
        <f t="shared" si="90"/>
        <v>3</v>
      </c>
      <c r="D620" s="73"/>
      <c r="E620" s="70"/>
      <c r="F620" s="70" t="s">
        <v>1230</v>
      </c>
      <c r="G620" s="73"/>
      <c r="H620" s="76" t="s">
        <v>1334</v>
      </c>
      <c r="I620" s="96" t="s">
        <v>514</v>
      </c>
      <c r="J620" s="96"/>
      <c r="K620" s="76"/>
      <c r="L620" s="76"/>
      <c r="M620" s="76"/>
      <c r="N620" s="76"/>
      <c r="O620" s="76"/>
      <c r="P620" s="76"/>
      <c r="Q620" s="76"/>
      <c r="R620" s="76"/>
      <c r="S620" s="76"/>
      <c r="T620" s="76"/>
      <c r="U620" s="76">
        <v>0</v>
      </c>
      <c r="V620" s="76">
        <v>0</v>
      </c>
      <c r="W620" s="76">
        <v>0</v>
      </c>
      <c r="X620" s="76">
        <v>0</v>
      </c>
      <c r="Y620" s="76">
        <v>0</v>
      </c>
      <c r="Z620" s="76">
        <v>0</v>
      </c>
      <c r="AA620" s="76">
        <v>0</v>
      </c>
      <c r="AB620" s="76">
        <v>0</v>
      </c>
      <c r="AC620" s="76"/>
      <c r="AD620" s="76"/>
      <c r="AE620" s="76"/>
      <c r="AF620" s="97">
        <v>1</v>
      </c>
      <c r="AG620" s="97">
        <v>1</v>
      </c>
      <c r="AH620" s="73"/>
      <c r="AI620" s="57"/>
      <c r="AJ620" s="45"/>
      <c r="AK620" s="45"/>
      <c r="AL620" s="45"/>
    </row>
    <row r="621" spans="1:38" hidden="1" outlineLevel="3" x14ac:dyDescent="0.35">
      <c r="A621" s="45"/>
      <c r="B621" s="54"/>
      <c r="C621" s="47">
        <f t="shared" si="90"/>
        <v>3</v>
      </c>
      <c r="D621" s="73"/>
      <c r="E621" s="70"/>
      <c r="F621" s="70" t="s">
        <v>1231</v>
      </c>
      <c r="G621" s="73"/>
      <c r="H621" s="76" t="s">
        <v>616</v>
      </c>
      <c r="I621" s="96" t="s">
        <v>514</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35">
      <c r="A622" s="45"/>
      <c r="B622" s="54"/>
      <c r="C622" s="47">
        <f t="shared" si="90"/>
        <v>3</v>
      </c>
      <c r="D622" s="73"/>
      <c r="E622" s="70"/>
      <c r="F622" s="70" t="s">
        <v>1232</v>
      </c>
      <c r="G622" s="73"/>
      <c r="H622" s="76"/>
      <c r="I622" s="96" t="s">
        <v>514</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90"/>
        <v>3</v>
      </c>
      <c r="D623" s="73"/>
      <c r="E623" s="70"/>
      <c r="F623" s="70" t="s">
        <v>1233</v>
      </c>
      <c r="G623" s="73"/>
      <c r="H623" s="76"/>
      <c r="I623" s="96" t="s">
        <v>514</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90"/>
        <v>3</v>
      </c>
      <c r="D624" s="73"/>
      <c r="E624" s="70"/>
      <c r="F624" s="70" t="s">
        <v>1234</v>
      </c>
      <c r="G624" s="73"/>
      <c r="H624" s="76" t="s">
        <v>616</v>
      </c>
      <c r="I624" s="96" t="s">
        <v>514</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90"/>
        <v>3</v>
      </c>
      <c r="D625" s="73"/>
      <c r="E625" s="70"/>
      <c r="F625" s="70" t="s">
        <v>1235</v>
      </c>
      <c r="G625" s="73"/>
      <c r="H625" s="76"/>
      <c r="I625" s="96" t="s">
        <v>514</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90"/>
        <v>3</v>
      </c>
      <c r="D626" s="73"/>
      <c r="E626" s="70"/>
      <c r="F626" s="70" t="s">
        <v>1236</v>
      </c>
      <c r="G626" s="73"/>
      <c r="H626" s="76"/>
      <c r="I626" s="96" t="s">
        <v>514</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90"/>
        <v>3</v>
      </c>
      <c r="D627" s="73"/>
      <c r="E627" s="70"/>
      <c r="F627" s="70" t="s">
        <v>1237</v>
      </c>
      <c r="G627" s="73"/>
      <c r="H627" s="76" t="s">
        <v>616</v>
      </c>
      <c r="I627" s="96" t="s">
        <v>514</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90"/>
        <v>3</v>
      </c>
      <c r="D628" s="73"/>
      <c r="E628" s="70"/>
      <c r="F628" s="70" t="s">
        <v>1238</v>
      </c>
      <c r="G628" s="73"/>
      <c r="H628" s="76"/>
      <c r="I628" s="96" t="s">
        <v>514</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si="90"/>
        <v>3</v>
      </c>
      <c r="D629" s="73"/>
      <c r="E629" s="70"/>
      <c r="F629" s="70" t="s">
        <v>1239</v>
      </c>
      <c r="G629" s="73"/>
      <c r="H629" s="76"/>
      <c r="I629" s="96" t="s">
        <v>514</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90"/>
        <v>3</v>
      </c>
      <c r="D630" s="73"/>
      <c r="E630" s="70"/>
      <c r="F630" s="70" t="s">
        <v>1240</v>
      </c>
      <c r="G630" s="73"/>
      <c r="H630" s="76" t="s">
        <v>616</v>
      </c>
      <c r="I630" s="96" t="s">
        <v>514</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90"/>
        <v>3</v>
      </c>
      <c r="D631" s="73"/>
      <c r="E631" s="70"/>
      <c r="F631" s="70" t="s">
        <v>1241</v>
      </c>
      <c r="G631" s="73"/>
      <c r="H631" s="76"/>
      <c r="I631" s="96" t="s">
        <v>514</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90"/>
        <v>3</v>
      </c>
      <c r="D632" s="73"/>
      <c r="E632" s="70"/>
      <c r="F632" s="70" t="s">
        <v>1242</v>
      </c>
      <c r="G632" s="73"/>
      <c r="H632" s="76"/>
      <c r="I632" s="96" t="s">
        <v>514</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ref="C633:C638" si="91">INT($C$29)+3</f>
        <v>4</v>
      </c>
      <c r="D633" s="73"/>
      <c r="E633" s="70"/>
      <c r="F633" s="70" t="s">
        <v>1243</v>
      </c>
      <c r="G633" s="73"/>
      <c r="H633" s="76" t="s">
        <v>616</v>
      </c>
      <c r="I633" s="96" t="s">
        <v>514</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91"/>
        <v>4</v>
      </c>
      <c r="D634" s="73"/>
      <c r="E634" s="70"/>
      <c r="F634" s="70" t="s">
        <v>1244</v>
      </c>
      <c r="G634" s="73"/>
      <c r="H634" s="76"/>
      <c r="I634" s="96" t="s">
        <v>514</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35">
      <c r="A635" s="45"/>
      <c r="B635" s="54"/>
      <c r="C635" s="47">
        <f t="shared" si="91"/>
        <v>4</v>
      </c>
      <c r="D635" s="73"/>
      <c r="E635" s="70"/>
      <c r="F635" s="70" t="s">
        <v>1245</v>
      </c>
      <c r="G635" s="73"/>
      <c r="H635" s="76"/>
      <c r="I635" s="96" t="s">
        <v>514</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35">
      <c r="A636" s="45"/>
      <c r="B636" s="54"/>
      <c r="C636" s="47">
        <f t="shared" si="91"/>
        <v>4</v>
      </c>
      <c r="D636" s="73"/>
      <c r="E636" s="70"/>
      <c r="F636" s="70" t="s">
        <v>1246</v>
      </c>
      <c r="G636" s="73"/>
      <c r="H636" s="76" t="s">
        <v>616</v>
      </c>
      <c r="I636" s="96" t="s">
        <v>514</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35">
      <c r="A637" s="45"/>
      <c r="B637" s="54"/>
      <c r="C637" s="47">
        <f t="shared" si="91"/>
        <v>4</v>
      </c>
      <c r="D637" s="73"/>
      <c r="E637" s="70"/>
      <c r="F637" s="70" t="s">
        <v>1247</v>
      </c>
      <c r="G637" s="73"/>
      <c r="H637" s="76"/>
      <c r="I637" s="96" t="s">
        <v>514</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35">
      <c r="A638" s="45"/>
      <c r="B638" s="54"/>
      <c r="C638" s="47">
        <f t="shared" si="91"/>
        <v>4</v>
      </c>
      <c r="D638" s="73"/>
      <c r="E638" s="70"/>
      <c r="F638" s="70" t="s">
        <v>1248</v>
      </c>
      <c r="G638" s="73"/>
      <c r="H638" s="76"/>
      <c r="I638" s="96" t="s">
        <v>514</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2" x14ac:dyDescent="0.35">
      <c r="A639" s="45"/>
      <c r="B639" s="54"/>
      <c r="C639" s="47">
        <f t="shared" si="90"/>
        <v>3</v>
      </c>
      <c r="D639" s="73"/>
      <c r="E639" s="70"/>
      <c r="F639" s="70" t="s">
        <v>1249</v>
      </c>
      <c r="G639" s="73"/>
      <c r="H639" s="76" t="s">
        <v>1250</v>
      </c>
      <c r="I639" s="96" t="s">
        <v>514</v>
      </c>
      <c r="J639" s="96"/>
      <c r="K639" s="76"/>
      <c r="L639" s="76"/>
      <c r="M639" s="76"/>
      <c r="N639" s="76"/>
      <c r="O639" s="76"/>
      <c r="P639" s="76"/>
      <c r="Q639" s="76"/>
      <c r="R639" s="76"/>
      <c r="S639" s="76"/>
      <c r="T639" s="76"/>
      <c r="U639" s="97">
        <v>0</v>
      </c>
      <c r="V639" s="262">
        <f>U639</f>
        <v>0</v>
      </c>
      <c r="W639" s="262">
        <f>V639</f>
        <v>0</v>
      </c>
      <c r="X639" s="262">
        <f>Y639</f>
        <v>-0.26729999999999998</v>
      </c>
      <c r="Y639" s="97">
        <v>-0.26729999999999998</v>
      </c>
      <c r="Z639" s="262">
        <f t="shared" ref="Z639:AB640" si="92">Y639</f>
        <v>-0.26729999999999998</v>
      </c>
      <c r="AA639" s="262">
        <f t="shared" si="92"/>
        <v>-0.26729999999999998</v>
      </c>
      <c r="AB639" s="262">
        <f t="shared" si="92"/>
        <v>-0.26729999999999998</v>
      </c>
      <c r="AC639" s="76"/>
      <c r="AD639" s="76" t="s">
        <v>1251</v>
      </c>
      <c r="AE639" s="76"/>
      <c r="AF639" s="97">
        <v>1</v>
      </c>
      <c r="AG639" s="97">
        <v>1</v>
      </c>
      <c r="AH639" s="73"/>
      <c r="AI639" s="57"/>
      <c r="AJ639" s="45"/>
      <c r="AK639" s="45"/>
      <c r="AL639" s="45"/>
    </row>
    <row r="640" spans="1:38" hidden="1" outlineLevel="2" x14ac:dyDescent="0.35">
      <c r="A640" s="45"/>
      <c r="B640" s="54"/>
      <c r="C640" s="47">
        <f t="shared" si="90"/>
        <v>3</v>
      </c>
      <c r="D640" s="73"/>
      <c r="E640" s="70"/>
      <c r="F640" s="70" t="s">
        <v>1252</v>
      </c>
      <c r="G640" s="73"/>
      <c r="H640" s="76" t="s">
        <v>2667</v>
      </c>
      <c r="I640" s="96" t="s">
        <v>514</v>
      </c>
      <c r="J640" s="96"/>
      <c r="K640" s="76"/>
      <c r="L640" s="76"/>
      <c r="M640" s="76"/>
      <c r="N640" s="76"/>
      <c r="O640" s="76"/>
      <c r="P640" s="76"/>
      <c r="Q640" s="76"/>
      <c r="R640" s="76"/>
      <c r="S640" s="76"/>
      <c r="T640" s="76"/>
      <c r="U640" s="97">
        <v>-2.38</v>
      </c>
      <c r="V640" s="262">
        <f>U640</f>
        <v>-2.38</v>
      </c>
      <c r="W640" s="262">
        <f>V640</f>
        <v>-2.38</v>
      </c>
      <c r="X640" s="262">
        <f>Y640</f>
        <v>0</v>
      </c>
      <c r="Y640" s="97">
        <v>0</v>
      </c>
      <c r="Z640" s="262">
        <f t="shared" si="92"/>
        <v>0</v>
      </c>
      <c r="AA640" s="262">
        <f t="shared" si="92"/>
        <v>0</v>
      </c>
      <c r="AB640" s="262">
        <f t="shared" si="92"/>
        <v>0</v>
      </c>
      <c r="AC640" s="76"/>
      <c r="AD640" s="76" t="s">
        <v>2605</v>
      </c>
      <c r="AE640" s="76"/>
      <c r="AF640" s="97">
        <v>1</v>
      </c>
      <c r="AG640" s="97">
        <v>1</v>
      </c>
      <c r="AH640" s="73"/>
      <c r="AI640" s="57"/>
      <c r="AJ640" s="45"/>
      <c r="AK640" s="45"/>
      <c r="AL640" s="45"/>
    </row>
    <row r="641" spans="1:38" hidden="1" outlineLevel="2" x14ac:dyDescent="0.35">
      <c r="A641" s="45"/>
      <c r="B641" s="54"/>
      <c r="C641" s="47">
        <f t="shared" si="90"/>
        <v>3</v>
      </c>
      <c r="D641" s="73"/>
      <c r="E641" s="70"/>
      <c r="F641" s="70" t="s">
        <v>1253</v>
      </c>
      <c r="G641" s="73"/>
      <c r="H641" s="76" t="s">
        <v>2668</v>
      </c>
      <c r="I641" s="96" t="s">
        <v>514</v>
      </c>
      <c r="J641" s="96"/>
      <c r="K641" s="76"/>
      <c r="L641" s="76"/>
      <c r="M641" s="76"/>
      <c r="N641" s="76"/>
      <c r="O641" s="76"/>
      <c r="P641" s="76"/>
      <c r="Q641" s="76"/>
      <c r="R641" s="76"/>
      <c r="S641" s="76"/>
      <c r="T641" s="76"/>
      <c r="U641" s="260">
        <f>U639</f>
        <v>0</v>
      </c>
      <c r="V641" s="260">
        <f t="shared" ref="V641:AB641" si="93">V639</f>
        <v>0</v>
      </c>
      <c r="W641" s="260">
        <f t="shared" si="93"/>
        <v>0</v>
      </c>
      <c r="X641" s="260">
        <f t="shared" si="93"/>
        <v>-0.26729999999999998</v>
      </c>
      <c r="Y641" s="260">
        <f t="shared" si="93"/>
        <v>-0.26729999999999998</v>
      </c>
      <c r="Z641" s="260">
        <f t="shared" si="93"/>
        <v>-0.26729999999999998</v>
      </c>
      <c r="AA641" s="260">
        <f t="shared" si="93"/>
        <v>-0.26729999999999998</v>
      </c>
      <c r="AB641" s="260">
        <f t="shared" si="93"/>
        <v>-0.26729999999999998</v>
      </c>
      <c r="AC641" s="76"/>
      <c r="AD641" s="76"/>
      <c r="AE641" s="76"/>
      <c r="AF641" s="97">
        <v>1</v>
      </c>
      <c r="AG641" s="97">
        <v>1</v>
      </c>
      <c r="AH641" s="73"/>
      <c r="AI641" s="57"/>
      <c r="AJ641" s="45"/>
      <c r="AK641" s="45"/>
      <c r="AL641" s="45"/>
    </row>
    <row r="642" spans="1:38" hidden="1" outlineLevel="2" x14ac:dyDescent="0.35">
      <c r="A642" s="45"/>
      <c r="B642" s="54"/>
      <c r="C642" s="47">
        <f t="shared" si="90"/>
        <v>3</v>
      </c>
      <c r="D642" s="73"/>
      <c r="E642" s="70"/>
      <c r="F642" s="70" t="s">
        <v>1254</v>
      </c>
      <c r="G642" s="73"/>
      <c r="H642" s="76" t="s">
        <v>1255</v>
      </c>
      <c r="I642" s="96" t="s">
        <v>514</v>
      </c>
      <c r="J642" s="96"/>
      <c r="K642" s="76"/>
      <c r="L642" s="76"/>
      <c r="M642" s="76"/>
      <c r="N642" s="76"/>
      <c r="O642" s="76"/>
      <c r="P642" s="76"/>
      <c r="Q642" s="76"/>
      <c r="R642" s="76"/>
      <c r="S642" s="76"/>
      <c r="T642" s="76"/>
      <c r="U642" s="97">
        <v>0</v>
      </c>
      <c r="V642" s="262">
        <f>U642</f>
        <v>0</v>
      </c>
      <c r="W642" s="262">
        <f>V642</f>
        <v>0</v>
      </c>
      <c r="X642" s="262">
        <f>Y642</f>
        <v>0</v>
      </c>
      <c r="Y642" s="97">
        <v>0</v>
      </c>
      <c r="Z642" s="262">
        <f t="shared" ref="Z642:AB644" si="94">Y642</f>
        <v>0</v>
      </c>
      <c r="AA642" s="262">
        <f t="shared" si="94"/>
        <v>0</v>
      </c>
      <c r="AB642" s="262">
        <f t="shared" si="94"/>
        <v>0</v>
      </c>
      <c r="AC642" s="76"/>
      <c r="AD642" s="76" t="s">
        <v>1251</v>
      </c>
      <c r="AE642" s="76"/>
      <c r="AF642" s="97">
        <v>1</v>
      </c>
      <c r="AG642" s="97">
        <v>1</v>
      </c>
      <c r="AH642" s="73"/>
      <c r="AI642" s="57"/>
      <c r="AJ642" s="45"/>
      <c r="AK642" s="45"/>
      <c r="AL642" s="45"/>
    </row>
    <row r="643" spans="1:38" hidden="1" outlineLevel="2" x14ac:dyDescent="0.35">
      <c r="A643" s="45"/>
      <c r="B643" s="54"/>
      <c r="C643" s="47">
        <f t="shared" si="90"/>
        <v>3</v>
      </c>
      <c r="D643" s="73"/>
      <c r="E643" s="70"/>
      <c r="F643" s="70" t="s">
        <v>1256</v>
      </c>
      <c r="G643" s="73"/>
      <c r="H643" s="76" t="s">
        <v>2669</v>
      </c>
      <c r="I643" s="96" t="s">
        <v>514</v>
      </c>
      <c r="J643" s="96"/>
      <c r="K643" s="76"/>
      <c r="L643" s="76"/>
      <c r="M643" s="76"/>
      <c r="N643" s="76"/>
      <c r="O643" s="76"/>
      <c r="P643" s="76"/>
      <c r="Q643" s="76"/>
      <c r="R643" s="76"/>
      <c r="S643" s="76"/>
      <c r="T643" s="76"/>
      <c r="U643" s="97">
        <v>2.673E-3</v>
      </c>
      <c r="V643" s="262">
        <f>U643</f>
        <v>2.673E-3</v>
      </c>
      <c r="W643" s="262">
        <f>V643</f>
        <v>2.673E-3</v>
      </c>
      <c r="X643" s="262">
        <f>Y643</f>
        <v>0</v>
      </c>
      <c r="Y643" s="97">
        <v>0</v>
      </c>
      <c r="Z643" s="262">
        <f t="shared" si="94"/>
        <v>0</v>
      </c>
      <c r="AA643" s="262">
        <f t="shared" si="94"/>
        <v>0</v>
      </c>
      <c r="AB643" s="262">
        <f t="shared" si="94"/>
        <v>0</v>
      </c>
      <c r="AC643" s="76"/>
      <c r="AD643" s="76"/>
      <c r="AE643" s="76"/>
      <c r="AF643" s="97">
        <v>1</v>
      </c>
      <c r="AG643" s="97">
        <v>1</v>
      </c>
      <c r="AH643" s="73"/>
      <c r="AI643" s="57"/>
      <c r="AJ643" s="45"/>
      <c r="AK643" s="45"/>
      <c r="AL643" s="45"/>
    </row>
    <row r="644" spans="1:38" hidden="1" outlineLevel="2" x14ac:dyDescent="0.35">
      <c r="A644" s="45"/>
      <c r="B644" s="54"/>
      <c r="C644" s="47">
        <f t="shared" si="90"/>
        <v>3</v>
      </c>
      <c r="D644" s="73"/>
      <c r="E644" s="70"/>
      <c r="F644" s="70" t="s">
        <v>1257</v>
      </c>
      <c r="G644" s="73"/>
      <c r="H644" s="76" t="s">
        <v>2670</v>
      </c>
      <c r="I644" s="96" t="s">
        <v>514</v>
      </c>
      <c r="J644" s="96"/>
      <c r="K644" s="76"/>
      <c r="L644" s="76"/>
      <c r="M644" s="76"/>
      <c r="N644" s="76"/>
      <c r="O644" s="76"/>
      <c r="P644" s="76"/>
      <c r="Q644" s="76"/>
      <c r="R644" s="76"/>
      <c r="S644" s="76"/>
      <c r="T644" s="76"/>
      <c r="U644" s="76">
        <v>0</v>
      </c>
      <c r="V644" s="76">
        <v>0</v>
      </c>
      <c r="W644" s="76">
        <v>0</v>
      </c>
      <c r="X644" s="262">
        <f>Y644</f>
        <v>0</v>
      </c>
      <c r="Y644" s="97">
        <v>0</v>
      </c>
      <c r="Z644" s="262">
        <f t="shared" si="94"/>
        <v>0</v>
      </c>
      <c r="AA644" s="262">
        <f t="shared" si="94"/>
        <v>0</v>
      </c>
      <c r="AB644" s="262">
        <f t="shared" si="94"/>
        <v>0</v>
      </c>
      <c r="AC644" s="76"/>
      <c r="AD644" s="76"/>
      <c r="AE644" s="76"/>
      <c r="AF644" s="97">
        <v>1</v>
      </c>
      <c r="AG644" s="97">
        <v>1</v>
      </c>
      <c r="AH644" s="73"/>
      <c r="AI644" s="57"/>
      <c r="AJ644" s="45"/>
      <c r="AK644" s="45"/>
      <c r="AL644" s="45"/>
    </row>
    <row r="645" spans="1:38" hidden="1" outlineLevel="2" x14ac:dyDescent="0.35">
      <c r="A645" s="45"/>
      <c r="B645" s="54"/>
      <c r="C645" s="47">
        <f t="shared" si="90"/>
        <v>3</v>
      </c>
      <c r="D645" s="73"/>
      <c r="E645" s="70"/>
      <c r="F645" s="70" t="s">
        <v>1258</v>
      </c>
      <c r="G645" s="73"/>
      <c r="H645" s="76" t="s">
        <v>1259</v>
      </c>
      <c r="I645" s="96"/>
      <c r="J645" s="96" t="s">
        <v>1188</v>
      </c>
      <c r="K645" s="97">
        <v>1.1499999999999999</v>
      </c>
      <c r="L645" s="97">
        <v>1.1499999999999999</v>
      </c>
      <c r="M645" s="97">
        <v>1.1499999999999999</v>
      </c>
      <c r="N645" s="97">
        <v>1.1499999999999999</v>
      </c>
      <c r="O645" s="97">
        <v>1.1499999999999999</v>
      </c>
      <c r="P645" s="97">
        <v>1.1499999999999999</v>
      </c>
      <c r="Q645" s="76"/>
      <c r="R645" s="76" t="s">
        <v>524</v>
      </c>
      <c r="S645" s="76" t="s">
        <v>524</v>
      </c>
      <c r="T645" s="76"/>
      <c r="U645" s="260">
        <f t="shared" ref="U645:AB650" si="95">INDEX($K645:$Q645,1,U$43)</f>
        <v>1.1499999999999999</v>
      </c>
      <c r="V645" s="260">
        <f t="shared" si="95"/>
        <v>1.1499999999999999</v>
      </c>
      <c r="W645" s="260">
        <f t="shared" si="95"/>
        <v>1.1499999999999999</v>
      </c>
      <c r="X645" s="260">
        <f t="shared" si="95"/>
        <v>1.1499999999999999</v>
      </c>
      <c r="Y645" s="260">
        <f t="shared" si="95"/>
        <v>1.1499999999999999</v>
      </c>
      <c r="Z645" s="260">
        <f t="shared" si="95"/>
        <v>1.1499999999999999</v>
      </c>
      <c r="AA645" s="260">
        <f t="shared" si="95"/>
        <v>1.1499999999999999</v>
      </c>
      <c r="AB645" s="260">
        <f t="shared" si="95"/>
        <v>1.1499999999999999</v>
      </c>
      <c r="AC645" s="76"/>
      <c r="AD645" s="76"/>
      <c r="AE645" s="76"/>
      <c r="AF645" s="97">
        <v>1</v>
      </c>
      <c r="AG645" s="97">
        <v>1</v>
      </c>
      <c r="AH645" s="73"/>
      <c r="AI645" s="57"/>
      <c r="AJ645" s="45"/>
      <c r="AK645" s="45"/>
      <c r="AL645" s="45"/>
    </row>
    <row r="646" spans="1:38" hidden="1" outlineLevel="2" x14ac:dyDescent="0.35">
      <c r="A646" s="45"/>
      <c r="B646" s="54"/>
      <c r="C646" s="47">
        <f t="shared" si="90"/>
        <v>3</v>
      </c>
      <c r="D646" s="73"/>
      <c r="E646" s="70"/>
      <c r="F646" s="70" t="s">
        <v>1260</v>
      </c>
      <c r="G646" s="73"/>
      <c r="H646" s="76" t="s">
        <v>2671</v>
      </c>
      <c r="I646" s="96"/>
      <c r="J646" s="96" t="s">
        <v>1188</v>
      </c>
      <c r="K646" s="97">
        <v>1</v>
      </c>
      <c r="L646" s="97">
        <v>1</v>
      </c>
      <c r="M646" s="97">
        <v>1</v>
      </c>
      <c r="N646" s="97">
        <v>1</v>
      </c>
      <c r="O646" s="97">
        <v>1</v>
      </c>
      <c r="P646" s="97">
        <v>1</v>
      </c>
      <c r="Q646" s="76"/>
      <c r="R646" s="76" t="s">
        <v>524</v>
      </c>
      <c r="S646" s="76" t="s">
        <v>524</v>
      </c>
      <c r="T646" s="76"/>
      <c r="U646" s="260">
        <f t="shared" si="95"/>
        <v>1</v>
      </c>
      <c r="V646" s="260">
        <f t="shared" si="95"/>
        <v>1</v>
      </c>
      <c r="W646" s="260">
        <f t="shared" si="95"/>
        <v>1</v>
      </c>
      <c r="X646" s="260">
        <f t="shared" si="95"/>
        <v>1</v>
      </c>
      <c r="Y646" s="260">
        <f t="shared" si="95"/>
        <v>1</v>
      </c>
      <c r="Z646" s="260">
        <f t="shared" si="95"/>
        <v>1</v>
      </c>
      <c r="AA646" s="260">
        <f t="shared" si="95"/>
        <v>1</v>
      </c>
      <c r="AB646" s="260">
        <f t="shared" si="95"/>
        <v>1</v>
      </c>
      <c r="AC646" s="76"/>
      <c r="AD646" s="76"/>
      <c r="AE646" s="76"/>
      <c r="AF646" s="97">
        <v>1</v>
      </c>
      <c r="AG646" s="97">
        <v>1</v>
      </c>
      <c r="AH646" s="73"/>
      <c r="AI646" s="57"/>
      <c r="AJ646" s="45"/>
      <c r="AK646" s="45"/>
      <c r="AL646" s="45"/>
    </row>
    <row r="647" spans="1:38" hidden="1" outlineLevel="2" x14ac:dyDescent="0.35">
      <c r="A647" s="45"/>
      <c r="B647" s="54"/>
      <c r="C647" s="47">
        <f t="shared" si="90"/>
        <v>3</v>
      </c>
      <c r="D647" s="73"/>
      <c r="E647" s="70"/>
      <c r="F647" s="70" t="s">
        <v>1261</v>
      </c>
      <c r="G647" s="73"/>
      <c r="H647" s="76" t="s">
        <v>2672</v>
      </c>
      <c r="I647" s="96"/>
      <c r="J647" s="96" t="s">
        <v>1188</v>
      </c>
      <c r="K647" s="97">
        <v>1</v>
      </c>
      <c r="L647" s="97">
        <v>1</v>
      </c>
      <c r="M647" s="97">
        <v>1</v>
      </c>
      <c r="N647" s="97">
        <v>1</v>
      </c>
      <c r="O647" s="97">
        <v>1</v>
      </c>
      <c r="P647" s="97">
        <v>1</v>
      </c>
      <c r="Q647" s="76"/>
      <c r="R647" s="76" t="s">
        <v>524</v>
      </c>
      <c r="S647" s="76" t="s">
        <v>524</v>
      </c>
      <c r="T647" s="76"/>
      <c r="U647" s="260">
        <f t="shared" si="95"/>
        <v>1</v>
      </c>
      <c r="V647" s="260">
        <f t="shared" si="95"/>
        <v>1</v>
      </c>
      <c r="W647" s="260">
        <f t="shared" si="95"/>
        <v>1</v>
      </c>
      <c r="X647" s="260">
        <f t="shared" si="95"/>
        <v>1</v>
      </c>
      <c r="Y647" s="260">
        <f t="shared" si="95"/>
        <v>1</v>
      </c>
      <c r="Z647" s="260">
        <f t="shared" si="95"/>
        <v>1</v>
      </c>
      <c r="AA647" s="260">
        <f t="shared" si="95"/>
        <v>1</v>
      </c>
      <c r="AB647" s="260">
        <f t="shared" si="95"/>
        <v>1</v>
      </c>
      <c r="AC647" s="76"/>
      <c r="AD647" s="76"/>
      <c r="AE647" s="76"/>
      <c r="AF647" s="97">
        <v>1</v>
      </c>
      <c r="AG647" s="97">
        <v>1</v>
      </c>
      <c r="AH647" s="73"/>
      <c r="AI647" s="57"/>
      <c r="AJ647" s="45"/>
      <c r="AK647" s="45"/>
      <c r="AL647" s="45"/>
    </row>
    <row r="648" spans="1:38" hidden="1" outlineLevel="2" x14ac:dyDescent="0.35">
      <c r="A648" s="45"/>
      <c r="B648" s="54"/>
      <c r="C648" s="47">
        <f t="shared" si="90"/>
        <v>3</v>
      </c>
      <c r="D648" s="73"/>
      <c r="E648" s="70"/>
      <c r="F648" s="70" t="s">
        <v>1262</v>
      </c>
      <c r="G648" s="73"/>
      <c r="H648" s="76" t="s">
        <v>3000</v>
      </c>
      <c r="I648" s="96"/>
      <c r="J648" s="96" t="s">
        <v>1188</v>
      </c>
      <c r="K648" s="97">
        <v>1.4</v>
      </c>
      <c r="L648" s="97">
        <v>1.4</v>
      </c>
      <c r="M648" s="97">
        <v>1.4</v>
      </c>
      <c r="N648" s="97">
        <v>1.4</v>
      </c>
      <c r="O648" s="97">
        <v>1.4</v>
      </c>
      <c r="P648" s="97">
        <v>1.4</v>
      </c>
      <c r="Q648" s="76"/>
      <c r="R648" s="76" t="s">
        <v>524</v>
      </c>
      <c r="S648" s="76" t="s">
        <v>524</v>
      </c>
      <c r="T648" s="76"/>
      <c r="U648" s="260">
        <f t="shared" si="95"/>
        <v>1.4</v>
      </c>
      <c r="V648" s="260">
        <f t="shared" si="95"/>
        <v>1.4</v>
      </c>
      <c r="W648" s="260">
        <f t="shared" si="95"/>
        <v>1.4</v>
      </c>
      <c r="X648" s="260">
        <f t="shared" si="95"/>
        <v>1.4</v>
      </c>
      <c r="Y648" s="260">
        <f t="shared" si="95"/>
        <v>1.4</v>
      </c>
      <c r="Z648" s="260">
        <f t="shared" si="95"/>
        <v>1.4</v>
      </c>
      <c r="AA648" s="260">
        <f t="shared" si="95"/>
        <v>1.4</v>
      </c>
      <c r="AB648" s="260">
        <f t="shared" si="95"/>
        <v>1.4</v>
      </c>
      <c r="AC648" s="76"/>
      <c r="AD648" s="76"/>
      <c r="AE648" s="76"/>
      <c r="AF648" s="97">
        <v>1</v>
      </c>
      <c r="AG648" s="97">
        <v>1</v>
      </c>
      <c r="AH648" s="73"/>
      <c r="AI648" s="57"/>
      <c r="AJ648" s="45"/>
      <c r="AK648" s="45"/>
      <c r="AL648" s="45"/>
    </row>
    <row r="649" spans="1:38" hidden="1" outlineLevel="2" x14ac:dyDescent="0.35">
      <c r="A649" s="45"/>
      <c r="B649" s="54"/>
      <c r="C649" s="47">
        <f t="shared" si="90"/>
        <v>3</v>
      </c>
      <c r="D649" s="73"/>
      <c r="E649" s="70"/>
      <c r="F649" s="70" t="s">
        <v>1263</v>
      </c>
      <c r="G649" s="73"/>
      <c r="H649" s="76" t="s">
        <v>3001</v>
      </c>
      <c r="I649" s="96"/>
      <c r="J649" s="96" t="s">
        <v>1188</v>
      </c>
      <c r="K649" s="97">
        <v>1</v>
      </c>
      <c r="L649" s="97">
        <v>1</v>
      </c>
      <c r="M649" s="97">
        <v>1</v>
      </c>
      <c r="N649" s="97">
        <v>1</v>
      </c>
      <c r="O649" s="97">
        <v>1</v>
      </c>
      <c r="P649" s="97">
        <v>1</v>
      </c>
      <c r="Q649" s="76"/>
      <c r="R649" s="76" t="s">
        <v>524</v>
      </c>
      <c r="S649" s="76" t="s">
        <v>524</v>
      </c>
      <c r="T649" s="76"/>
      <c r="U649" s="260">
        <f t="shared" si="95"/>
        <v>1</v>
      </c>
      <c r="V649" s="260">
        <f t="shared" si="95"/>
        <v>1</v>
      </c>
      <c r="W649" s="260">
        <f t="shared" si="95"/>
        <v>1</v>
      </c>
      <c r="X649" s="260">
        <f t="shared" si="95"/>
        <v>1</v>
      </c>
      <c r="Y649" s="260">
        <f t="shared" si="95"/>
        <v>1</v>
      </c>
      <c r="Z649" s="260">
        <f t="shared" si="95"/>
        <v>1</v>
      </c>
      <c r="AA649" s="260">
        <f t="shared" si="95"/>
        <v>1</v>
      </c>
      <c r="AB649" s="260">
        <f t="shared" si="95"/>
        <v>1</v>
      </c>
      <c r="AC649" s="76"/>
      <c r="AD649" s="76"/>
      <c r="AE649" s="76"/>
      <c r="AF649" s="97">
        <v>1</v>
      </c>
      <c r="AG649" s="97">
        <v>1</v>
      </c>
      <c r="AH649" s="73"/>
      <c r="AI649" s="57"/>
      <c r="AJ649" s="45"/>
      <c r="AK649" s="45"/>
      <c r="AL649" s="45"/>
    </row>
    <row r="650" spans="1:38" hidden="1" outlineLevel="2" x14ac:dyDescent="0.35">
      <c r="A650" s="45"/>
      <c r="B650" s="54"/>
      <c r="C650" s="47">
        <f t="shared" si="90"/>
        <v>3</v>
      </c>
      <c r="D650" s="73"/>
      <c r="E650" s="70"/>
      <c r="F650" s="70" t="s">
        <v>1264</v>
      </c>
      <c r="G650" s="73"/>
      <c r="H650" s="76" t="s">
        <v>3002</v>
      </c>
      <c r="I650" s="96"/>
      <c r="J650" s="96" t="s">
        <v>1188</v>
      </c>
      <c r="K650" s="97">
        <v>1.2</v>
      </c>
      <c r="L650" s="97">
        <v>1.2</v>
      </c>
      <c r="M650" s="97">
        <v>1.2</v>
      </c>
      <c r="N650" s="97">
        <v>1.2</v>
      </c>
      <c r="O650" s="97">
        <v>1.2</v>
      </c>
      <c r="P650" s="97">
        <v>1.2</v>
      </c>
      <c r="Q650" s="76"/>
      <c r="R650" s="76" t="s">
        <v>524</v>
      </c>
      <c r="S650" s="76" t="s">
        <v>524</v>
      </c>
      <c r="T650" s="76"/>
      <c r="U650" s="260">
        <f t="shared" si="95"/>
        <v>1.2</v>
      </c>
      <c r="V650" s="260">
        <f t="shared" si="95"/>
        <v>1.2</v>
      </c>
      <c r="W650" s="260">
        <f t="shared" si="95"/>
        <v>1.2</v>
      </c>
      <c r="X650" s="260">
        <f t="shared" si="95"/>
        <v>1.2</v>
      </c>
      <c r="Y650" s="260">
        <f t="shared" si="95"/>
        <v>1.2</v>
      </c>
      <c r="Z650" s="260">
        <f t="shared" si="95"/>
        <v>1.2</v>
      </c>
      <c r="AA650" s="260">
        <f t="shared" si="95"/>
        <v>1.2</v>
      </c>
      <c r="AB650" s="260">
        <f t="shared" si="95"/>
        <v>1.2</v>
      </c>
      <c r="AC650" s="76"/>
      <c r="AD650" s="76"/>
      <c r="AE650" s="76"/>
      <c r="AF650" s="97">
        <v>1</v>
      </c>
      <c r="AG650" s="97">
        <v>1</v>
      </c>
      <c r="AH650" s="73"/>
      <c r="AI650" s="57"/>
      <c r="AJ650" s="45"/>
      <c r="AK650" s="45"/>
      <c r="AL650" s="45"/>
    </row>
    <row r="651" spans="1:38" hidden="1" outlineLevel="2" x14ac:dyDescent="0.35">
      <c r="A651" s="45"/>
      <c r="B651" s="54"/>
      <c r="C651" s="47">
        <f t="shared" si="90"/>
        <v>3</v>
      </c>
      <c r="D651" s="73"/>
      <c r="E651" s="70"/>
      <c r="F651" s="70" t="s">
        <v>1265</v>
      </c>
      <c r="G651" s="73"/>
      <c r="H651" s="76" t="s">
        <v>1266</v>
      </c>
      <c r="I651" s="96" t="s">
        <v>514</v>
      </c>
      <c r="J651" s="96" t="s">
        <v>1160</v>
      </c>
      <c r="K651" s="76"/>
      <c r="L651" s="76"/>
      <c r="M651" s="76"/>
      <c r="N651" s="76"/>
      <c r="O651" s="76"/>
      <c r="P651" s="76"/>
      <c r="Q651" s="76"/>
      <c r="R651" s="76"/>
      <c r="S651" s="76"/>
      <c r="T651" s="76"/>
      <c r="U651" s="97">
        <v>0</v>
      </c>
      <c r="V651" s="97">
        <v>0</v>
      </c>
      <c r="W651" s="97">
        <v>0</v>
      </c>
      <c r="X651" s="262">
        <f t="shared" ref="X651:AB656" si="96">W651</f>
        <v>0</v>
      </c>
      <c r="Y651" s="262">
        <f t="shared" si="96"/>
        <v>0</v>
      </c>
      <c r="Z651" s="262">
        <f t="shared" si="96"/>
        <v>0</v>
      </c>
      <c r="AA651" s="262">
        <f t="shared" si="96"/>
        <v>0</v>
      </c>
      <c r="AB651" s="262">
        <f t="shared" si="96"/>
        <v>0</v>
      </c>
      <c r="AC651" s="76"/>
      <c r="AD651" s="76"/>
      <c r="AE651" s="76"/>
      <c r="AF651" s="97">
        <v>1</v>
      </c>
      <c r="AG651" s="97">
        <v>1</v>
      </c>
      <c r="AH651" s="73"/>
      <c r="AI651" s="57"/>
      <c r="AJ651" s="45"/>
      <c r="AK651" s="45"/>
      <c r="AL651" s="45"/>
    </row>
    <row r="652" spans="1:38" hidden="1" outlineLevel="2" x14ac:dyDescent="0.35">
      <c r="A652" s="45"/>
      <c r="B652" s="54"/>
      <c r="C652" s="47">
        <f t="shared" si="90"/>
        <v>3</v>
      </c>
      <c r="D652" s="73"/>
      <c r="E652" s="70"/>
      <c r="F652" s="70" t="s">
        <v>1267</v>
      </c>
      <c r="G652" s="73"/>
      <c r="H652" s="76" t="s">
        <v>1268</v>
      </c>
      <c r="I652" s="96" t="s">
        <v>514</v>
      </c>
      <c r="J652" s="96" t="s">
        <v>1160</v>
      </c>
      <c r="K652" s="76"/>
      <c r="L652" s="76"/>
      <c r="M652" s="76"/>
      <c r="N652" s="76"/>
      <c r="O652" s="76"/>
      <c r="P652" s="76"/>
      <c r="Q652" s="76"/>
      <c r="R652" s="76"/>
      <c r="S652" s="76"/>
      <c r="T652" s="76"/>
      <c r="U652" s="97">
        <v>0</v>
      </c>
      <c r="V652" s="97">
        <v>0</v>
      </c>
      <c r="W652" s="97">
        <v>0</v>
      </c>
      <c r="X652" s="262">
        <f t="shared" si="96"/>
        <v>0</v>
      </c>
      <c r="Y652" s="262">
        <f t="shared" si="96"/>
        <v>0</v>
      </c>
      <c r="Z652" s="262">
        <f t="shared" si="96"/>
        <v>0</v>
      </c>
      <c r="AA652" s="262">
        <f t="shared" si="96"/>
        <v>0</v>
      </c>
      <c r="AB652" s="262">
        <f t="shared" si="96"/>
        <v>0</v>
      </c>
      <c r="AC652" s="76"/>
      <c r="AD652" s="76"/>
      <c r="AE652" s="76"/>
      <c r="AF652" s="97">
        <v>1</v>
      </c>
      <c r="AG652" s="97">
        <v>1</v>
      </c>
      <c r="AH652" s="73"/>
      <c r="AI652" s="57"/>
      <c r="AJ652" s="45"/>
      <c r="AK652" s="45"/>
      <c r="AL652" s="45"/>
    </row>
    <row r="653" spans="1:38" hidden="1" outlineLevel="2" x14ac:dyDescent="0.35">
      <c r="A653" s="45"/>
      <c r="B653" s="54"/>
      <c r="C653" s="47">
        <f t="shared" si="90"/>
        <v>3</v>
      </c>
      <c r="D653" s="73"/>
      <c r="E653" s="70"/>
      <c r="F653" s="70" t="s">
        <v>1269</v>
      </c>
      <c r="G653" s="73"/>
      <c r="H653" s="76" t="s">
        <v>1270</v>
      </c>
      <c r="I653" s="96" t="s">
        <v>514</v>
      </c>
      <c r="J653" s="96" t="s">
        <v>1160</v>
      </c>
      <c r="K653" s="76"/>
      <c r="L653" s="76"/>
      <c r="M653" s="76"/>
      <c r="N653" s="76"/>
      <c r="O653" s="76"/>
      <c r="P653" s="76"/>
      <c r="Q653" s="76"/>
      <c r="R653" s="76"/>
      <c r="S653" s="76"/>
      <c r="T653" s="76"/>
      <c r="U653" s="97">
        <v>0</v>
      </c>
      <c r="V653" s="97">
        <v>0</v>
      </c>
      <c r="W653" s="97">
        <v>0</v>
      </c>
      <c r="X653" s="262">
        <f t="shared" si="96"/>
        <v>0</v>
      </c>
      <c r="Y653" s="262">
        <f t="shared" si="96"/>
        <v>0</v>
      </c>
      <c r="Z653" s="262">
        <f t="shared" si="96"/>
        <v>0</v>
      </c>
      <c r="AA653" s="262">
        <f t="shared" si="96"/>
        <v>0</v>
      </c>
      <c r="AB653" s="262">
        <f t="shared" si="96"/>
        <v>0</v>
      </c>
      <c r="AC653" s="76"/>
      <c r="AD653" s="76"/>
      <c r="AE653" s="76"/>
      <c r="AF653" s="97">
        <v>1</v>
      </c>
      <c r="AG653" s="97">
        <v>1</v>
      </c>
      <c r="AH653" s="73"/>
      <c r="AI653" s="57"/>
      <c r="AJ653" s="45"/>
      <c r="AK653" s="45"/>
      <c r="AL653" s="45"/>
    </row>
    <row r="654" spans="1:38" hidden="1" outlineLevel="2" x14ac:dyDescent="0.35">
      <c r="A654" s="45"/>
      <c r="B654" s="54"/>
      <c r="C654" s="47">
        <f t="shared" si="90"/>
        <v>3</v>
      </c>
      <c r="D654" s="73"/>
      <c r="E654" s="70"/>
      <c r="F654" s="70" t="s">
        <v>1271</v>
      </c>
      <c r="G654" s="73"/>
      <c r="H654" s="76" t="s">
        <v>1272</v>
      </c>
      <c r="I654" s="96" t="s">
        <v>514</v>
      </c>
      <c r="J654" s="96" t="s">
        <v>1160</v>
      </c>
      <c r="K654" s="76"/>
      <c r="L654" s="76"/>
      <c r="M654" s="76"/>
      <c r="N654" s="76"/>
      <c r="O654" s="76"/>
      <c r="P654" s="76"/>
      <c r="Q654" s="76"/>
      <c r="R654" s="76"/>
      <c r="S654" s="76"/>
      <c r="T654" s="76"/>
      <c r="U654" s="97">
        <v>0</v>
      </c>
      <c r="V654" s="97">
        <v>0</v>
      </c>
      <c r="W654" s="97">
        <v>0</v>
      </c>
      <c r="X654" s="262">
        <f t="shared" si="96"/>
        <v>0</v>
      </c>
      <c r="Y654" s="262">
        <f t="shared" si="96"/>
        <v>0</v>
      </c>
      <c r="Z654" s="262">
        <f t="shared" si="96"/>
        <v>0</v>
      </c>
      <c r="AA654" s="262">
        <f t="shared" si="96"/>
        <v>0</v>
      </c>
      <c r="AB654" s="262">
        <f t="shared" si="96"/>
        <v>0</v>
      </c>
      <c r="AC654" s="76"/>
      <c r="AD654" s="76"/>
      <c r="AE654" s="76"/>
      <c r="AF654" s="97">
        <v>1</v>
      </c>
      <c r="AG654" s="97">
        <v>1</v>
      </c>
      <c r="AH654" s="73"/>
      <c r="AI654" s="57"/>
      <c r="AJ654" s="45"/>
      <c r="AK654" s="45"/>
      <c r="AL654" s="45"/>
    </row>
    <row r="655" spans="1:38" hidden="1" outlineLevel="2" x14ac:dyDescent="0.35">
      <c r="A655" s="45"/>
      <c r="B655" s="54"/>
      <c r="C655" s="47">
        <f t="shared" si="90"/>
        <v>3</v>
      </c>
      <c r="D655" s="73"/>
      <c r="E655" s="70"/>
      <c r="F655" s="70" t="s">
        <v>1273</v>
      </c>
      <c r="G655" s="73"/>
      <c r="H655" s="76" t="s">
        <v>1274</v>
      </c>
      <c r="I655" s="96" t="s">
        <v>514</v>
      </c>
      <c r="J655" s="96" t="s">
        <v>1160</v>
      </c>
      <c r="K655" s="76"/>
      <c r="L655" s="76"/>
      <c r="M655" s="76"/>
      <c r="N655" s="76"/>
      <c r="O655" s="76"/>
      <c r="P655" s="76"/>
      <c r="Q655" s="76"/>
      <c r="R655" s="76"/>
      <c r="S655" s="76"/>
      <c r="T655" s="76"/>
      <c r="U655" s="97">
        <v>0.26</v>
      </c>
      <c r="V655" s="97">
        <v>0.26</v>
      </c>
      <c r="W655" s="97">
        <v>0.26</v>
      </c>
      <c r="X655" s="262">
        <f t="shared" si="96"/>
        <v>0.26</v>
      </c>
      <c r="Y655" s="262">
        <f t="shared" si="96"/>
        <v>0.26</v>
      </c>
      <c r="Z655" s="262">
        <f t="shared" si="96"/>
        <v>0.26</v>
      </c>
      <c r="AA655" s="262">
        <f t="shared" si="96"/>
        <v>0.26</v>
      </c>
      <c r="AB655" s="262">
        <f t="shared" si="96"/>
        <v>0.26</v>
      </c>
      <c r="AC655" s="76"/>
      <c r="AD655" s="97" t="s">
        <v>1275</v>
      </c>
      <c r="AE655" s="76"/>
      <c r="AF655" s="97">
        <v>1</v>
      </c>
      <c r="AG655" s="97">
        <v>1</v>
      </c>
      <c r="AH655" s="73"/>
      <c r="AI655" s="57"/>
      <c r="AJ655" s="45"/>
      <c r="AK655" s="45"/>
      <c r="AL655" s="45"/>
    </row>
    <row r="656" spans="1:38" hidden="1" outlineLevel="2" collapsed="1" x14ac:dyDescent="0.35">
      <c r="A656" s="45"/>
      <c r="B656" s="54"/>
      <c r="C656" s="47">
        <f t="shared" si="90"/>
        <v>3</v>
      </c>
      <c r="D656" s="73"/>
      <c r="E656" s="70"/>
      <c r="F656" s="70" t="s">
        <v>1276</v>
      </c>
      <c r="G656" s="73"/>
      <c r="H656" s="76" t="s">
        <v>1277</v>
      </c>
      <c r="I656" s="96" t="s">
        <v>514</v>
      </c>
      <c r="J656" s="96" t="s">
        <v>1160</v>
      </c>
      <c r="K656" s="76"/>
      <c r="L656" s="76"/>
      <c r="M656" s="76"/>
      <c r="N656" s="76"/>
      <c r="O656" s="76"/>
      <c r="P656" s="76"/>
      <c r="Q656" s="76"/>
      <c r="R656" s="76"/>
      <c r="S656" s="76"/>
      <c r="T656" s="76"/>
      <c r="U656" s="97">
        <v>0</v>
      </c>
      <c r="V656" s="97">
        <v>0</v>
      </c>
      <c r="W656" s="97">
        <v>0</v>
      </c>
      <c r="X656" s="262">
        <f t="shared" si="96"/>
        <v>0</v>
      </c>
      <c r="Y656" s="262">
        <f t="shared" si="96"/>
        <v>0</v>
      </c>
      <c r="Z656" s="262">
        <f t="shared" si="96"/>
        <v>0</v>
      </c>
      <c r="AA656" s="262">
        <f t="shared" si="96"/>
        <v>0</v>
      </c>
      <c r="AB656" s="262">
        <f t="shared" si="96"/>
        <v>0</v>
      </c>
      <c r="AC656" s="76"/>
      <c r="AD656" s="76"/>
      <c r="AE656" s="76"/>
      <c r="AF656" s="97">
        <v>1</v>
      </c>
      <c r="AG656" s="97">
        <v>1</v>
      </c>
      <c r="AH656" s="73"/>
      <c r="AI656" s="57"/>
      <c r="AJ656" s="45"/>
      <c r="AK656" s="45"/>
      <c r="AL656" s="45"/>
    </row>
    <row r="657" spans="1:38" hidden="1" outlineLevel="3" x14ac:dyDescent="0.35">
      <c r="A657" s="45"/>
      <c r="B657" s="54"/>
      <c r="C657" s="47">
        <f t="shared" si="90"/>
        <v>3</v>
      </c>
      <c r="D657" s="73"/>
      <c r="E657" s="70"/>
      <c r="F657" s="70" t="s">
        <v>1278</v>
      </c>
      <c r="G657" s="73"/>
      <c r="H657" s="76" t="s">
        <v>616</v>
      </c>
      <c r="I657" s="96" t="s">
        <v>514</v>
      </c>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35">
      <c r="A658" s="45"/>
      <c r="B658" s="54"/>
      <c r="C658" s="47">
        <f t="shared" si="90"/>
        <v>3</v>
      </c>
      <c r="D658" s="73"/>
      <c r="E658" s="70"/>
      <c r="F658" s="70" t="s">
        <v>1279</v>
      </c>
      <c r="G658" s="73"/>
      <c r="H658" s="76"/>
      <c r="I658" s="96" t="s">
        <v>514</v>
      </c>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35">
      <c r="A659" s="45"/>
      <c r="B659" s="54"/>
      <c r="C659" s="47">
        <f t="shared" si="90"/>
        <v>3</v>
      </c>
      <c r="D659" s="73"/>
      <c r="E659" s="70"/>
      <c r="F659" s="70" t="s">
        <v>1280</v>
      </c>
      <c r="G659" s="73"/>
      <c r="H659" s="76"/>
      <c r="I659" s="96" t="s">
        <v>514</v>
      </c>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2" x14ac:dyDescent="0.35">
      <c r="A660" s="45"/>
      <c r="B660" s="54"/>
      <c r="C660" s="47">
        <f t="shared" si="90"/>
        <v>3</v>
      </c>
      <c r="D660" s="73"/>
      <c r="E660" s="70"/>
      <c r="F660" s="70" t="s">
        <v>1281</v>
      </c>
      <c r="G660" s="73"/>
      <c r="H660" s="76" t="s">
        <v>1282</v>
      </c>
      <c r="I660" s="96"/>
      <c r="J660" s="96" t="s">
        <v>1188</v>
      </c>
      <c r="K660" s="97">
        <f>5.1/5</f>
        <v>1.02</v>
      </c>
      <c r="L660" s="97">
        <f>5.1/5</f>
        <v>1.02</v>
      </c>
      <c r="M660" s="97">
        <v>1</v>
      </c>
      <c r="N660" s="97">
        <v>1</v>
      </c>
      <c r="O660" s="97">
        <v>1</v>
      </c>
      <c r="P660" s="97">
        <v>1</v>
      </c>
      <c r="Q660" s="76"/>
      <c r="R660" s="76" t="s">
        <v>1283</v>
      </c>
      <c r="S660" s="76"/>
      <c r="T660" s="76"/>
      <c r="U660" s="260">
        <f t="shared" ref="U660:AB662" si="97">INDEX($K660:$Q660,1,U$43)</f>
        <v>1.02</v>
      </c>
      <c r="V660" s="260">
        <f t="shared" si="97"/>
        <v>1.02</v>
      </c>
      <c r="W660" s="260">
        <f t="shared" si="97"/>
        <v>1.02</v>
      </c>
      <c r="X660" s="260">
        <f t="shared" si="97"/>
        <v>1.02</v>
      </c>
      <c r="Y660" s="260">
        <f t="shared" si="97"/>
        <v>1.02</v>
      </c>
      <c r="Z660" s="260">
        <f t="shared" si="97"/>
        <v>1.02</v>
      </c>
      <c r="AA660" s="260">
        <f t="shared" si="97"/>
        <v>1.02</v>
      </c>
      <c r="AB660" s="260">
        <f t="shared" si="97"/>
        <v>1.02</v>
      </c>
      <c r="AC660" s="76"/>
      <c r="AD660" s="76"/>
      <c r="AE660" s="76"/>
      <c r="AF660" s="97">
        <v>1</v>
      </c>
      <c r="AG660" s="97">
        <v>1</v>
      </c>
      <c r="AH660" s="73"/>
      <c r="AI660" s="57"/>
      <c r="AJ660" s="45"/>
      <c r="AK660" s="45"/>
      <c r="AL660" s="45"/>
    </row>
    <row r="661" spans="1:38" hidden="1" outlineLevel="2" x14ac:dyDescent="0.35">
      <c r="A661" s="45"/>
      <c r="B661" s="54"/>
      <c r="C661" s="47">
        <f t="shared" si="90"/>
        <v>3</v>
      </c>
      <c r="D661" s="73"/>
      <c r="E661" s="70"/>
      <c r="F661" s="70" t="s">
        <v>1284</v>
      </c>
      <c r="G661" s="73"/>
      <c r="H661" s="76" t="s">
        <v>1285</v>
      </c>
      <c r="I661" s="96"/>
      <c r="J661" s="96" t="s">
        <v>1188</v>
      </c>
      <c r="K661" s="97">
        <f>4.9/5</f>
        <v>0.98000000000000009</v>
      </c>
      <c r="L661" s="97">
        <f>4.9/5</f>
        <v>0.98000000000000009</v>
      </c>
      <c r="M661" s="97">
        <v>1</v>
      </c>
      <c r="N661" s="97">
        <v>1</v>
      </c>
      <c r="O661" s="97">
        <v>1</v>
      </c>
      <c r="P661" s="97">
        <v>1</v>
      </c>
      <c r="Q661" s="76"/>
      <c r="R661" s="76" t="s">
        <v>1286</v>
      </c>
      <c r="S661" s="76"/>
      <c r="T661" s="76"/>
      <c r="U661" s="260">
        <f t="shared" si="97"/>
        <v>0.98000000000000009</v>
      </c>
      <c r="V661" s="260">
        <f t="shared" si="97"/>
        <v>0.98000000000000009</v>
      </c>
      <c r="W661" s="260">
        <f t="shared" si="97"/>
        <v>0.98000000000000009</v>
      </c>
      <c r="X661" s="260">
        <f t="shared" si="97"/>
        <v>0.98000000000000009</v>
      </c>
      <c r="Y661" s="260">
        <f t="shared" si="97"/>
        <v>0.98000000000000009</v>
      </c>
      <c r="Z661" s="260">
        <f t="shared" si="97"/>
        <v>0.98000000000000009</v>
      </c>
      <c r="AA661" s="260">
        <f t="shared" si="97"/>
        <v>0.98000000000000009</v>
      </c>
      <c r="AB661" s="260">
        <f t="shared" si="97"/>
        <v>0.98000000000000009</v>
      </c>
      <c r="AC661" s="76"/>
      <c r="AD661" s="76"/>
      <c r="AE661" s="76"/>
      <c r="AF661" s="97">
        <v>1</v>
      </c>
      <c r="AG661" s="97">
        <v>1</v>
      </c>
      <c r="AH661" s="73"/>
      <c r="AI661" s="57"/>
      <c r="AJ661" s="45"/>
      <c r="AK661" s="45"/>
      <c r="AL661" s="45"/>
    </row>
    <row r="662" spans="1:38" hidden="1" outlineLevel="2" x14ac:dyDescent="0.35">
      <c r="A662" s="45"/>
      <c r="B662" s="54"/>
      <c r="C662" s="47">
        <f t="shared" si="90"/>
        <v>3</v>
      </c>
      <c r="D662" s="73"/>
      <c r="E662" s="70"/>
      <c r="F662" s="70" t="s">
        <v>1287</v>
      </c>
      <c r="G662" s="73"/>
      <c r="H662" s="76" t="s">
        <v>2369</v>
      </c>
      <c r="I662" s="96"/>
      <c r="J662" s="96" t="s">
        <v>1188</v>
      </c>
      <c r="K662" s="260">
        <f t="shared" ref="K662:P662" si="98">K660</f>
        <v>1.02</v>
      </c>
      <c r="L662" s="260">
        <f t="shared" si="98"/>
        <v>1.02</v>
      </c>
      <c r="M662" s="260">
        <f t="shared" si="98"/>
        <v>1</v>
      </c>
      <c r="N662" s="260">
        <f t="shared" si="98"/>
        <v>1</v>
      </c>
      <c r="O662" s="260">
        <f t="shared" si="98"/>
        <v>1</v>
      </c>
      <c r="P662" s="260">
        <f t="shared" si="98"/>
        <v>1</v>
      </c>
      <c r="Q662" s="76"/>
      <c r="R662" s="76"/>
      <c r="S662" s="76"/>
      <c r="T662" s="76"/>
      <c r="U662" s="260">
        <f t="shared" si="97"/>
        <v>1.02</v>
      </c>
      <c r="V662" s="260">
        <f t="shared" si="97"/>
        <v>1.02</v>
      </c>
      <c r="W662" s="260">
        <f t="shared" si="97"/>
        <v>1.02</v>
      </c>
      <c r="X662" s="260">
        <f t="shared" si="97"/>
        <v>1.02</v>
      </c>
      <c r="Y662" s="260">
        <f t="shared" si="97"/>
        <v>1.02</v>
      </c>
      <c r="Z662" s="260">
        <f t="shared" si="97"/>
        <v>1.02</v>
      </c>
      <c r="AA662" s="260">
        <f t="shared" si="97"/>
        <v>1.02</v>
      </c>
      <c r="AB662" s="260">
        <f t="shared" si="97"/>
        <v>1.02</v>
      </c>
      <c r="AC662" s="76"/>
      <c r="AD662" s="76"/>
      <c r="AE662" s="76"/>
      <c r="AF662" s="97">
        <v>1</v>
      </c>
      <c r="AG662" s="97">
        <v>1</v>
      </c>
      <c r="AH662" s="73"/>
      <c r="AI662" s="57"/>
      <c r="AJ662" s="45"/>
      <c r="AK662" s="45"/>
      <c r="AL662" s="45"/>
    </row>
    <row r="663" spans="1:38" hidden="1" outlineLevel="2" x14ac:dyDescent="0.35">
      <c r="A663" s="45"/>
      <c r="B663" s="54"/>
      <c r="C663" s="47">
        <f t="shared" si="90"/>
        <v>3</v>
      </c>
      <c r="D663" s="73"/>
      <c r="E663" s="70"/>
      <c r="F663" s="70" t="s">
        <v>1288</v>
      </c>
      <c r="G663" s="73"/>
      <c r="H663" s="76" t="s">
        <v>1289</v>
      </c>
      <c r="I663" s="96" t="s">
        <v>514</v>
      </c>
      <c r="J663" s="96" t="s">
        <v>1160</v>
      </c>
      <c r="K663" s="76"/>
      <c r="L663" s="76"/>
      <c r="M663" s="76"/>
      <c r="N663" s="76"/>
      <c r="O663" s="76"/>
      <c r="P663" s="76"/>
      <c r="Q663" s="76"/>
      <c r="R663" s="76"/>
      <c r="S663" s="76"/>
      <c r="T663" s="76"/>
      <c r="U663" s="97">
        <v>0</v>
      </c>
      <c r="V663" s="97">
        <v>0</v>
      </c>
      <c r="W663" s="97">
        <v>0</v>
      </c>
      <c r="X663" s="262">
        <f t="shared" ref="X663:Y665" si="99">Y663</f>
        <v>0.35589999999999999</v>
      </c>
      <c r="Y663" s="262">
        <f t="shared" si="99"/>
        <v>0.35589999999999999</v>
      </c>
      <c r="Z663" s="97">
        <v>0.35589999999999999</v>
      </c>
      <c r="AA663" s="262">
        <f t="shared" ref="X663:AB671" si="100">Z663</f>
        <v>0.35589999999999999</v>
      </c>
      <c r="AB663" s="262">
        <f t="shared" si="100"/>
        <v>0.35589999999999999</v>
      </c>
      <c r="AC663" s="76"/>
      <c r="AD663" s="97" t="s">
        <v>2197</v>
      </c>
      <c r="AE663" s="76"/>
      <c r="AF663" s="97">
        <v>1</v>
      </c>
      <c r="AG663" s="97">
        <v>1</v>
      </c>
      <c r="AH663" s="73"/>
      <c r="AI663" s="57"/>
      <c r="AJ663" s="45"/>
      <c r="AK663" s="45"/>
      <c r="AL663" s="45"/>
    </row>
    <row r="664" spans="1:38" hidden="1" outlineLevel="2" x14ac:dyDescent="0.35">
      <c r="A664" s="45"/>
      <c r="B664" s="54"/>
      <c r="C664" s="47">
        <f t="shared" si="90"/>
        <v>3</v>
      </c>
      <c r="D664" s="73"/>
      <c r="E664" s="70"/>
      <c r="F664" s="70" t="s">
        <v>1290</v>
      </c>
      <c r="G664" s="73"/>
      <c r="H664" s="76" t="s">
        <v>1291</v>
      </c>
      <c r="I664" s="96" t="s">
        <v>514</v>
      </c>
      <c r="J664" s="96" t="s">
        <v>1160</v>
      </c>
      <c r="K664" s="76"/>
      <c r="L664" s="76"/>
      <c r="M664" s="76"/>
      <c r="N664" s="76"/>
      <c r="O664" s="76"/>
      <c r="P664" s="76"/>
      <c r="Q664" s="76"/>
      <c r="R664" s="76"/>
      <c r="S664" s="76"/>
      <c r="T664" s="76"/>
      <c r="U664" s="97">
        <v>-0.19574</v>
      </c>
      <c r="V664" s="262">
        <f>U664</f>
        <v>-0.19574</v>
      </c>
      <c r="W664" s="262">
        <f>V664</f>
        <v>-0.19574</v>
      </c>
      <c r="X664" s="262">
        <f t="shared" si="99"/>
        <v>0</v>
      </c>
      <c r="Y664" s="262">
        <f t="shared" si="99"/>
        <v>0</v>
      </c>
      <c r="Z664" s="97">
        <v>0</v>
      </c>
      <c r="AA664" s="262">
        <f t="shared" si="100"/>
        <v>0</v>
      </c>
      <c r="AB664" s="262">
        <f t="shared" si="100"/>
        <v>0</v>
      </c>
      <c r="AC664" s="76"/>
      <c r="AD664" s="76"/>
      <c r="AE664" s="76"/>
      <c r="AF664" s="97">
        <v>1</v>
      </c>
      <c r="AG664" s="97">
        <v>1</v>
      </c>
      <c r="AH664" s="73"/>
      <c r="AI664" s="57"/>
      <c r="AJ664" s="45"/>
      <c r="AK664" s="45"/>
      <c r="AL664" s="45"/>
    </row>
    <row r="665" spans="1:38" hidden="1" outlineLevel="2" x14ac:dyDescent="0.35">
      <c r="A665" s="45"/>
      <c r="B665" s="54"/>
      <c r="C665" s="47">
        <f t="shared" si="90"/>
        <v>3</v>
      </c>
      <c r="D665" s="73"/>
      <c r="E665" s="70"/>
      <c r="F665" s="70" t="s">
        <v>1292</v>
      </c>
      <c r="G665" s="73"/>
      <c r="H665" s="76" t="s">
        <v>1293</v>
      </c>
      <c r="I665" s="96" t="s">
        <v>514</v>
      </c>
      <c r="J665" s="96" t="s">
        <v>1160</v>
      </c>
      <c r="K665" s="76"/>
      <c r="L665" s="76"/>
      <c r="M665" s="76"/>
      <c r="N665" s="76"/>
      <c r="O665" s="76"/>
      <c r="P665" s="76"/>
      <c r="Q665" s="76"/>
      <c r="R665" s="76"/>
      <c r="S665" s="76"/>
      <c r="T665" s="76"/>
      <c r="U665" s="97">
        <v>0</v>
      </c>
      <c r="V665" s="97">
        <v>0</v>
      </c>
      <c r="W665" s="97">
        <v>0</v>
      </c>
      <c r="X665" s="262">
        <f t="shared" si="99"/>
        <v>0.35589999999999999</v>
      </c>
      <c r="Y665" s="262">
        <f t="shared" si="99"/>
        <v>0.35589999999999999</v>
      </c>
      <c r="Z665" s="260">
        <f>Z663</f>
        <v>0.35589999999999999</v>
      </c>
      <c r="AA665" s="262">
        <f t="shared" si="100"/>
        <v>0.35589999999999999</v>
      </c>
      <c r="AB665" s="262">
        <f t="shared" si="100"/>
        <v>0.35589999999999999</v>
      </c>
      <c r="AC665" s="76"/>
      <c r="AD665" s="76"/>
      <c r="AE665" s="76"/>
      <c r="AF665" s="97">
        <v>1</v>
      </c>
      <c r="AG665" s="97">
        <v>1</v>
      </c>
      <c r="AH665" s="73"/>
      <c r="AI665" s="57"/>
      <c r="AJ665" s="45"/>
      <c r="AK665" s="45"/>
      <c r="AL665" s="45"/>
    </row>
    <row r="666" spans="1:38" hidden="1" outlineLevel="2" x14ac:dyDescent="0.35">
      <c r="A666" s="45"/>
      <c r="B666" s="54"/>
      <c r="C666" s="47">
        <f t="shared" si="90"/>
        <v>3</v>
      </c>
      <c r="D666" s="73"/>
      <c r="E666" s="70"/>
      <c r="F666" s="70" t="s">
        <v>1294</v>
      </c>
      <c r="G666" s="73"/>
      <c r="H666" s="76" t="s">
        <v>1295</v>
      </c>
      <c r="I666" s="96" t="s">
        <v>514</v>
      </c>
      <c r="J666" s="96" t="s">
        <v>1160</v>
      </c>
      <c r="K666" s="76"/>
      <c r="L666" s="76"/>
      <c r="M666" s="76"/>
      <c r="N666" s="76"/>
      <c r="O666" s="76"/>
      <c r="P666" s="76"/>
      <c r="Q666" s="76"/>
      <c r="R666" s="76"/>
      <c r="S666" s="76"/>
      <c r="T666" s="76"/>
      <c r="U666" s="97">
        <v>0</v>
      </c>
      <c r="V666" s="97">
        <v>0</v>
      </c>
      <c r="W666" s="97">
        <v>0</v>
      </c>
      <c r="X666" s="262">
        <f t="shared" si="100"/>
        <v>0</v>
      </c>
      <c r="Y666" s="97">
        <v>1.42</v>
      </c>
      <c r="Z666" s="262">
        <f t="shared" si="100"/>
        <v>1.42</v>
      </c>
      <c r="AA666" s="262">
        <f t="shared" si="100"/>
        <v>1.42</v>
      </c>
      <c r="AB666" s="262">
        <f t="shared" si="100"/>
        <v>1.42</v>
      </c>
      <c r="AC666" s="76"/>
      <c r="AD666" s="97" t="s">
        <v>2197</v>
      </c>
      <c r="AE666" s="76"/>
      <c r="AF666" s="97">
        <v>1</v>
      </c>
      <c r="AG666" s="97">
        <v>1</v>
      </c>
      <c r="AH666" s="73"/>
      <c r="AI666" s="57"/>
      <c r="AJ666" s="45"/>
      <c r="AK666" s="45"/>
      <c r="AL666" s="45"/>
    </row>
    <row r="667" spans="1:38" hidden="1" outlineLevel="2" x14ac:dyDescent="0.35">
      <c r="A667" s="45"/>
      <c r="B667" s="54"/>
      <c r="C667" s="47">
        <f t="shared" si="90"/>
        <v>3</v>
      </c>
      <c r="D667" s="73"/>
      <c r="E667" s="70"/>
      <c r="F667" s="70" t="s">
        <v>1296</v>
      </c>
      <c r="G667" s="73"/>
      <c r="H667" s="76" t="s">
        <v>1297</v>
      </c>
      <c r="I667" s="96" t="s">
        <v>514</v>
      </c>
      <c r="J667" s="96" t="s">
        <v>1160</v>
      </c>
      <c r="K667" s="76"/>
      <c r="L667" s="76"/>
      <c r="M667" s="76"/>
      <c r="N667" s="76"/>
      <c r="O667" s="76"/>
      <c r="P667" s="76"/>
      <c r="Q667" s="76"/>
      <c r="R667" s="76"/>
      <c r="S667" s="76"/>
      <c r="T667" s="76"/>
      <c r="U667" s="97">
        <v>-0.72</v>
      </c>
      <c r="V667" s="97">
        <v>-0.72</v>
      </c>
      <c r="W667" s="97">
        <v>-0.72</v>
      </c>
      <c r="X667" s="262">
        <f t="shared" si="100"/>
        <v>-0.72</v>
      </c>
      <c r="Y667" s="97">
        <v>0</v>
      </c>
      <c r="Z667" s="262">
        <f t="shared" si="100"/>
        <v>0</v>
      </c>
      <c r="AA667" s="262">
        <f t="shared" si="100"/>
        <v>0</v>
      </c>
      <c r="AB667" s="262">
        <f t="shared" si="100"/>
        <v>0</v>
      </c>
      <c r="AC667" s="76"/>
      <c r="AD667" s="97" t="s">
        <v>1298</v>
      </c>
      <c r="AE667" s="76"/>
      <c r="AF667" s="97">
        <v>1</v>
      </c>
      <c r="AG667" s="97">
        <v>1</v>
      </c>
      <c r="AH667" s="73"/>
      <c r="AI667" s="57"/>
      <c r="AJ667" s="45"/>
      <c r="AK667" s="45"/>
      <c r="AL667" s="45"/>
    </row>
    <row r="668" spans="1:38" hidden="1" outlineLevel="2" x14ac:dyDescent="0.35">
      <c r="A668" s="45"/>
      <c r="B668" s="54"/>
      <c r="C668" s="47">
        <f t="shared" si="90"/>
        <v>3</v>
      </c>
      <c r="D668" s="73"/>
      <c r="E668" s="70"/>
      <c r="F668" s="70" t="s">
        <v>1299</v>
      </c>
      <c r="G668" s="73"/>
      <c r="H668" s="76" t="s">
        <v>1300</v>
      </c>
      <c r="I668" s="96" t="s">
        <v>514</v>
      </c>
      <c r="J668" s="96" t="s">
        <v>1160</v>
      </c>
      <c r="K668" s="76"/>
      <c r="L668" s="76"/>
      <c r="M668" s="76"/>
      <c r="N668" s="76"/>
      <c r="O668" s="76"/>
      <c r="P668" s="76"/>
      <c r="Q668" s="76"/>
      <c r="R668" s="76"/>
      <c r="S668" s="76"/>
      <c r="T668" s="76"/>
      <c r="U668" s="97">
        <v>0</v>
      </c>
      <c r="V668" s="97">
        <v>0</v>
      </c>
      <c r="W668" s="97">
        <v>0</v>
      </c>
      <c r="X668" s="262">
        <f t="shared" si="100"/>
        <v>0</v>
      </c>
      <c r="Y668" s="260">
        <f>Y666</f>
        <v>1.42</v>
      </c>
      <c r="Z668" s="262">
        <f t="shared" si="100"/>
        <v>1.42</v>
      </c>
      <c r="AA668" s="262">
        <f t="shared" si="100"/>
        <v>1.42</v>
      </c>
      <c r="AB668" s="262">
        <f t="shared" si="100"/>
        <v>1.42</v>
      </c>
      <c r="AC668" s="76"/>
      <c r="AD668" s="76"/>
      <c r="AE668" s="76"/>
      <c r="AF668" s="97">
        <v>1</v>
      </c>
      <c r="AG668" s="97">
        <v>1</v>
      </c>
      <c r="AH668" s="73"/>
      <c r="AI668" s="57"/>
      <c r="AJ668" s="45"/>
      <c r="AK668" s="45"/>
      <c r="AL668" s="45"/>
    </row>
    <row r="669" spans="1:38" hidden="1" outlineLevel="2" x14ac:dyDescent="0.35">
      <c r="A669" s="45"/>
      <c r="B669" s="54"/>
      <c r="C669" s="47">
        <f t="shared" si="90"/>
        <v>3</v>
      </c>
      <c r="D669" s="73"/>
      <c r="E669" s="70"/>
      <c r="F669" s="70" t="s">
        <v>1301</v>
      </c>
      <c r="G669" s="73"/>
      <c r="H669" s="76" t="s">
        <v>1302</v>
      </c>
      <c r="I669" s="96" t="s">
        <v>514</v>
      </c>
      <c r="J669" s="96" t="s">
        <v>1160</v>
      </c>
      <c r="K669" s="76"/>
      <c r="L669" s="76"/>
      <c r="M669" s="76"/>
      <c r="N669" s="76"/>
      <c r="O669" s="76"/>
      <c r="P669" s="76"/>
      <c r="Q669" s="76"/>
      <c r="R669" s="76"/>
      <c r="S669" s="76"/>
      <c r="T669" s="76"/>
      <c r="U669" s="97">
        <v>0</v>
      </c>
      <c r="V669" s="97">
        <v>0</v>
      </c>
      <c r="W669" s="97">
        <v>0</v>
      </c>
      <c r="X669" s="262">
        <f t="shared" si="100"/>
        <v>0</v>
      </c>
      <c r="Y669" s="262">
        <f t="shared" si="100"/>
        <v>0</v>
      </c>
      <c r="Z669" s="262">
        <f t="shared" si="100"/>
        <v>0</v>
      </c>
      <c r="AA669" s="262">
        <f t="shared" si="100"/>
        <v>0</v>
      </c>
      <c r="AB669" s="262">
        <f t="shared" si="100"/>
        <v>0</v>
      </c>
      <c r="AC669" s="76"/>
      <c r="AD669" s="76"/>
      <c r="AE669" s="76"/>
      <c r="AF669" s="97">
        <v>1</v>
      </c>
      <c r="AG669" s="97">
        <v>1</v>
      </c>
      <c r="AH669" s="73"/>
      <c r="AI669" s="57"/>
      <c r="AJ669" s="45"/>
      <c r="AK669" s="45"/>
      <c r="AL669" s="45"/>
    </row>
    <row r="670" spans="1:38" hidden="1" outlineLevel="2" x14ac:dyDescent="0.35">
      <c r="A670" s="45"/>
      <c r="B670" s="54"/>
      <c r="C670" s="47">
        <f t="shared" si="90"/>
        <v>3</v>
      </c>
      <c r="D670" s="73"/>
      <c r="E670" s="70"/>
      <c r="F670" s="70" t="s">
        <v>1303</v>
      </c>
      <c r="G670" s="73"/>
      <c r="H670" s="76" t="s">
        <v>1304</v>
      </c>
      <c r="I670" s="96" t="s">
        <v>514</v>
      </c>
      <c r="J670" s="96" t="s">
        <v>1160</v>
      </c>
      <c r="K670" s="76"/>
      <c r="L670" s="76"/>
      <c r="M670" s="76"/>
      <c r="N670" s="76"/>
      <c r="O670" s="76"/>
      <c r="P670" s="76"/>
      <c r="Q670" s="76"/>
      <c r="R670" s="76"/>
      <c r="S670" s="76"/>
      <c r="T670" s="76"/>
      <c r="U670" s="97">
        <f>-7/1000</f>
        <v>-7.0000000000000001E-3</v>
      </c>
      <c r="V670" s="97">
        <f>-7/1000</f>
        <v>-7.0000000000000001E-3</v>
      </c>
      <c r="W670" s="97">
        <f>-7/1000</f>
        <v>-7.0000000000000001E-3</v>
      </c>
      <c r="X670" s="262">
        <f t="shared" si="100"/>
        <v>-7.0000000000000001E-3</v>
      </c>
      <c r="Y670" s="262">
        <f t="shared" si="100"/>
        <v>-7.0000000000000001E-3</v>
      </c>
      <c r="Z670" s="262">
        <f t="shared" si="100"/>
        <v>-7.0000000000000001E-3</v>
      </c>
      <c r="AA670" s="262">
        <f t="shared" si="100"/>
        <v>-7.0000000000000001E-3</v>
      </c>
      <c r="AB670" s="262">
        <f t="shared" si="100"/>
        <v>-7.0000000000000001E-3</v>
      </c>
      <c r="AC670" s="76"/>
      <c r="AD670" s="97" t="s">
        <v>1305</v>
      </c>
      <c r="AE670" s="76"/>
      <c r="AF670" s="97">
        <v>1</v>
      </c>
      <c r="AG670" s="97">
        <v>1</v>
      </c>
      <c r="AH670" s="73"/>
      <c r="AI670" s="57"/>
      <c r="AJ670" s="45"/>
      <c r="AK670" s="45"/>
      <c r="AL670" s="45"/>
    </row>
    <row r="671" spans="1:38" hidden="1" outlineLevel="2" collapsed="1" x14ac:dyDescent="0.35">
      <c r="A671" s="45"/>
      <c r="B671" s="54"/>
      <c r="C671" s="47">
        <f t="shared" si="90"/>
        <v>3</v>
      </c>
      <c r="D671" s="73"/>
      <c r="E671" s="70"/>
      <c r="F671" s="70" t="s">
        <v>1306</v>
      </c>
      <c r="G671" s="73"/>
      <c r="H671" s="76" t="s">
        <v>1307</v>
      </c>
      <c r="I671" s="96" t="s">
        <v>514</v>
      </c>
      <c r="J671" s="96" t="s">
        <v>1160</v>
      </c>
      <c r="K671" s="76"/>
      <c r="L671" s="76"/>
      <c r="M671" s="76"/>
      <c r="N671" s="76"/>
      <c r="O671" s="76"/>
      <c r="P671" s="76"/>
      <c r="Q671" s="76"/>
      <c r="R671" s="76"/>
      <c r="S671" s="76"/>
      <c r="T671" s="76"/>
      <c r="U671" s="97">
        <v>0</v>
      </c>
      <c r="V671" s="97">
        <v>0</v>
      </c>
      <c r="W671" s="97">
        <v>0</v>
      </c>
      <c r="X671" s="262">
        <f t="shared" si="100"/>
        <v>0</v>
      </c>
      <c r="Y671" s="262">
        <f t="shared" si="100"/>
        <v>0</v>
      </c>
      <c r="Z671" s="262">
        <f t="shared" si="100"/>
        <v>0</v>
      </c>
      <c r="AA671" s="262">
        <f t="shared" si="100"/>
        <v>0</v>
      </c>
      <c r="AB671" s="262">
        <f t="shared" si="100"/>
        <v>0</v>
      </c>
      <c r="AC671" s="76"/>
      <c r="AD671" s="76"/>
      <c r="AE671" s="76"/>
      <c r="AF671" s="97">
        <v>1</v>
      </c>
      <c r="AG671" s="97">
        <v>1</v>
      </c>
      <c r="AH671" s="73"/>
      <c r="AI671" s="57"/>
      <c r="AJ671" s="45"/>
      <c r="AK671" s="45"/>
      <c r="AL671" s="45"/>
    </row>
    <row r="672" spans="1:38" hidden="1" outlineLevel="3" x14ac:dyDescent="0.35">
      <c r="A672" s="45"/>
      <c r="B672" s="54"/>
      <c r="C672" s="47">
        <f t="shared" si="90"/>
        <v>3</v>
      </c>
      <c r="D672" s="73"/>
      <c r="E672" s="70"/>
      <c r="F672" s="70" t="s">
        <v>1308</v>
      </c>
      <c r="G672" s="73"/>
      <c r="H672" s="76" t="s">
        <v>616</v>
      </c>
      <c r="I672" s="96" t="s">
        <v>514</v>
      </c>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35">
      <c r="A673" s="45"/>
      <c r="B673" s="54"/>
      <c r="C673" s="47">
        <f t="shared" si="90"/>
        <v>3</v>
      </c>
      <c r="D673" s="73"/>
      <c r="E673" s="70"/>
      <c r="F673" s="70" t="s">
        <v>1309</v>
      </c>
      <c r="G673" s="73"/>
      <c r="H673" s="76"/>
      <c r="I673" s="96" t="s">
        <v>514</v>
      </c>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35">
      <c r="A674" s="45"/>
      <c r="B674" s="54"/>
      <c r="C674" s="47">
        <f t="shared" si="90"/>
        <v>3</v>
      </c>
      <c r="D674" s="73"/>
      <c r="E674" s="70"/>
      <c r="F674" s="70" t="s">
        <v>1310</v>
      </c>
      <c r="G674" s="73"/>
      <c r="H674" s="76"/>
      <c r="I674" s="96" t="s">
        <v>514</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2" x14ac:dyDescent="0.35">
      <c r="A675" s="45"/>
      <c r="B675" s="54"/>
      <c r="C675" s="47">
        <f t="shared" si="90"/>
        <v>3</v>
      </c>
      <c r="D675" s="73"/>
      <c r="E675" s="70"/>
      <c r="F675" s="70" t="s">
        <v>1311</v>
      </c>
      <c r="G675" s="73"/>
      <c r="H675" s="76" t="s">
        <v>1312</v>
      </c>
      <c r="I675" s="96" t="s">
        <v>514</v>
      </c>
      <c r="J675" s="96"/>
      <c r="K675" s="76"/>
      <c r="L675" s="76"/>
      <c r="M675" s="76"/>
      <c r="N675" s="76"/>
      <c r="O675" s="76"/>
      <c r="P675" s="76"/>
      <c r="Q675" s="76"/>
      <c r="R675" s="76"/>
      <c r="S675" s="76"/>
      <c r="T675" s="76"/>
      <c r="U675" s="97">
        <v>0</v>
      </c>
      <c r="V675" s="97">
        <v>0</v>
      </c>
      <c r="W675" s="97">
        <v>0</v>
      </c>
      <c r="X675" s="97">
        <v>0</v>
      </c>
      <c r="Y675" s="97">
        <v>0</v>
      </c>
      <c r="Z675" s="97">
        <v>0</v>
      </c>
      <c r="AA675" s="97">
        <v>0</v>
      </c>
      <c r="AB675" s="97">
        <v>0</v>
      </c>
      <c r="AC675" s="76"/>
      <c r="AD675" s="97" t="s">
        <v>1313</v>
      </c>
      <c r="AE675" s="76"/>
      <c r="AF675" s="97">
        <v>1</v>
      </c>
      <c r="AG675" s="97">
        <v>1</v>
      </c>
      <c r="AH675" s="73"/>
      <c r="AI675" s="57"/>
      <c r="AJ675" s="45"/>
      <c r="AK675" s="45"/>
      <c r="AL675" s="45"/>
    </row>
    <row r="676" spans="1:38" hidden="1" outlineLevel="2" x14ac:dyDescent="0.35">
      <c r="A676" s="45"/>
      <c r="B676" s="54"/>
      <c r="C676" s="47">
        <f t="shared" si="90"/>
        <v>3</v>
      </c>
      <c r="D676" s="73"/>
      <c r="E676" s="70"/>
      <c r="F676" s="70" t="s">
        <v>1314</v>
      </c>
      <c r="G676" s="73"/>
      <c r="H676" s="76" t="s">
        <v>1315</v>
      </c>
      <c r="I676" s="96" t="s">
        <v>514</v>
      </c>
      <c r="J676" s="96"/>
      <c r="K676" s="76"/>
      <c r="L676" s="76"/>
      <c r="M676" s="76"/>
      <c r="N676" s="76"/>
      <c r="O676" s="76"/>
      <c r="P676" s="76"/>
      <c r="Q676" s="76"/>
      <c r="R676" s="76"/>
      <c r="S676" s="76"/>
      <c r="T676" s="76"/>
      <c r="U676" s="97">
        <v>0.34200000000000003</v>
      </c>
      <c r="V676" s="97">
        <v>0.34200000000000003</v>
      </c>
      <c r="W676" s="97">
        <v>0.34200000000000003</v>
      </c>
      <c r="X676" s="262">
        <f>W676</f>
        <v>0.34200000000000003</v>
      </c>
      <c r="Y676" s="262">
        <f>X676</f>
        <v>0.34200000000000003</v>
      </c>
      <c r="Z676" s="262">
        <f>Y676</f>
        <v>0.34200000000000003</v>
      </c>
      <c r="AA676" s="262">
        <f>Z676</f>
        <v>0.34200000000000003</v>
      </c>
      <c r="AB676" s="262">
        <f>AA676</f>
        <v>0.34200000000000003</v>
      </c>
      <c r="AC676" s="76"/>
      <c r="AD676" s="97" t="s">
        <v>1316</v>
      </c>
      <c r="AE676" s="76"/>
      <c r="AF676" s="97">
        <v>1</v>
      </c>
      <c r="AG676" s="97">
        <v>1</v>
      </c>
      <c r="AH676" s="73"/>
      <c r="AI676" s="57"/>
      <c r="AJ676" s="45"/>
      <c r="AK676" s="45"/>
      <c r="AL676" s="45"/>
    </row>
    <row r="677" spans="1:38" hidden="1" outlineLevel="2" x14ac:dyDescent="0.35">
      <c r="A677" s="45"/>
      <c r="B677" s="54"/>
      <c r="C677" s="47">
        <f t="shared" si="90"/>
        <v>3</v>
      </c>
      <c r="D677" s="73"/>
      <c r="E677" s="70"/>
      <c r="F677" s="70" t="s">
        <v>1317</v>
      </c>
      <c r="G677" s="73"/>
      <c r="H677" s="76" t="s">
        <v>1318</v>
      </c>
      <c r="I677" s="96" t="s">
        <v>514</v>
      </c>
      <c r="J677" s="96"/>
      <c r="K677" s="76"/>
      <c r="L677" s="76"/>
      <c r="M677" s="76"/>
      <c r="N677" s="76"/>
      <c r="O677" s="76"/>
      <c r="P677" s="76"/>
      <c r="Q677" s="76"/>
      <c r="R677" s="76"/>
      <c r="S677" s="76"/>
      <c r="T677" s="76"/>
      <c r="U677" s="76">
        <v>0</v>
      </c>
      <c r="V677" s="76">
        <v>0</v>
      </c>
      <c r="W677" s="76">
        <v>0</v>
      </c>
      <c r="X677" s="76">
        <v>0</v>
      </c>
      <c r="Y677" s="76">
        <v>0</v>
      </c>
      <c r="Z677" s="76">
        <v>0</v>
      </c>
      <c r="AA677" s="76">
        <v>0</v>
      </c>
      <c r="AB677" s="76">
        <v>0</v>
      </c>
      <c r="AC677" s="76"/>
      <c r="AD677" s="76"/>
      <c r="AE677" s="76"/>
      <c r="AF677" s="97">
        <v>1</v>
      </c>
      <c r="AG677" s="97">
        <v>1</v>
      </c>
      <c r="AH677" s="73"/>
      <c r="AI677" s="57"/>
      <c r="AJ677" s="45"/>
      <c r="AK677" s="45"/>
      <c r="AL677" s="45"/>
    </row>
    <row r="678" spans="1:38" hidden="1" outlineLevel="2" x14ac:dyDescent="0.35">
      <c r="A678" s="45"/>
      <c r="B678" s="54"/>
      <c r="C678" s="47">
        <f t="shared" si="90"/>
        <v>3</v>
      </c>
      <c r="D678" s="73"/>
      <c r="E678" s="70"/>
      <c r="F678" s="70" t="s">
        <v>1319</v>
      </c>
      <c r="G678" s="73"/>
      <c r="H678" s="76" t="s">
        <v>1320</v>
      </c>
      <c r="I678" s="96" t="s">
        <v>514</v>
      </c>
      <c r="J678" s="96"/>
      <c r="K678" s="76"/>
      <c r="L678" s="76"/>
      <c r="M678" s="76"/>
      <c r="N678" s="76"/>
      <c r="O678" s="76"/>
      <c r="P678" s="76"/>
      <c r="Q678" s="76"/>
      <c r="R678" s="76"/>
      <c r="S678" s="76"/>
      <c r="T678" s="76"/>
      <c r="U678" s="97">
        <v>0</v>
      </c>
      <c r="V678" s="97">
        <v>0</v>
      </c>
      <c r="W678" s="97">
        <v>0</v>
      </c>
      <c r="X678" s="262">
        <f t="shared" ref="X678:AB680" si="101">W678</f>
        <v>0</v>
      </c>
      <c r="Y678" s="262">
        <f t="shared" si="101"/>
        <v>0</v>
      </c>
      <c r="Z678" s="262">
        <f t="shared" si="101"/>
        <v>0</v>
      </c>
      <c r="AA678" s="262">
        <f t="shared" si="101"/>
        <v>0</v>
      </c>
      <c r="AB678" s="262">
        <f t="shared" si="101"/>
        <v>0</v>
      </c>
      <c r="AC678" s="76"/>
      <c r="AD678" s="76"/>
      <c r="AE678" s="76"/>
      <c r="AF678" s="97">
        <v>1</v>
      </c>
      <c r="AG678" s="97">
        <v>1</v>
      </c>
      <c r="AH678" s="73"/>
      <c r="AI678" s="57"/>
      <c r="AJ678" s="45"/>
      <c r="AK678" s="45"/>
      <c r="AL678" s="45"/>
    </row>
    <row r="679" spans="1:38" hidden="1" outlineLevel="2" x14ac:dyDescent="0.35">
      <c r="A679" s="45"/>
      <c r="B679" s="54"/>
      <c r="C679" s="47">
        <f t="shared" si="90"/>
        <v>3</v>
      </c>
      <c r="D679" s="73"/>
      <c r="E679" s="70"/>
      <c r="F679" s="70" t="s">
        <v>1321</v>
      </c>
      <c r="G679" s="73"/>
      <c r="H679" s="76" t="s">
        <v>1322</v>
      </c>
      <c r="I679" s="96" t="s">
        <v>514</v>
      </c>
      <c r="J679" s="96"/>
      <c r="K679" s="76"/>
      <c r="L679" s="76"/>
      <c r="M679" s="76"/>
      <c r="N679" s="76"/>
      <c r="O679" s="76"/>
      <c r="P679" s="76"/>
      <c r="Q679" s="76"/>
      <c r="R679" s="76"/>
      <c r="S679" s="76"/>
      <c r="T679" s="76"/>
      <c r="U679" s="97">
        <v>0</v>
      </c>
      <c r="V679" s="97">
        <v>0</v>
      </c>
      <c r="W679" s="97">
        <v>0</v>
      </c>
      <c r="X679" s="262">
        <f t="shared" si="101"/>
        <v>0</v>
      </c>
      <c r="Y679" s="262">
        <f t="shared" si="101"/>
        <v>0</v>
      </c>
      <c r="Z679" s="262">
        <f t="shared" si="101"/>
        <v>0</v>
      </c>
      <c r="AA679" s="262">
        <f t="shared" si="101"/>
        <v>0</v>
      </c>
      <c r="AB679" s="262">
        <f t="shared" si="101"/>
        <v>0</v>
      </c>
      <c r="AC679" s="76"/>
      <c r="AD679" s="76"/>
      <c r="AE679" s="76"/>
      <c r="AF679" s="97">
        <v>1</v>
      </c>
      <c r="AG679" s="97">
        <v>1</v>
      </c>
      <c r="AH679" s="73"/>
      <c r="AI679" s="57"/>
      <c r="AJ679" s="45"/>
      <c r="AK679" s="45"/>
      <c r="AL679" s="45"/>
    </row>
    <row r="680" spans="1:38" hidden="1" outlineLevel="2" x14ac:dyDescent="0.35">
      <c r="A680" s="45"/>
      <c r="B680" s="54"/>
      <c r="C680" s="47">
        <f t="shared" si="90"/>
        <v>3</v>
      </c>
      <c r="D680" s="73"/>
      <c r="E680" s="70"/>
      <c r="F680" s="70" t="s">
        <v>1323</v>
      </c>
      <c r="G680" s="73"/>
      <c r="H680" s="76" t="s">
        <v>1324</v>
      </c>
      <c r="I680" s="96" t="s">
        <v>514</v>
      </c>
      <c r="J680" s="96"/>
      <c r="K680" s="76"/>
      <c r="L680" s="76"/>
      <c r="M680" s="76"/>
      <c r="N680" s="76"/>
      <c r="O680" s="76"/>
      <c r="P680" s="76"/>
      <c r="Q680" s="76"/>
      <c r="R680" s="76"/>
      <c r="S680" s="76"/>
      <c r="T680" s="76"/>
      <c r="U680" s="97">
        <v>0</v>
      </c>
      <c r="V680" s="97">
        <v>0</v>
      </c>
      <c r="W680" s="97">
        <v>0</v>
      </c>
      <c r="X680" s="262">
        <f t="shared" si="101"/>
        <v>0</v>
      </c>
      <c r="Y680" s="262">
        <f t="shared" si="101"/>
        <v>0</v>
      </c>
      <c r="Z680" s="262">
        <f t="shared" si="101"/>
        <v>0</v>
      </c>
      <c r="AA680" s="262">
        <f t="shared" si="101"/>
        <v>0</v>
      </c>
      <c r="AB680" s="262">
        <f t="shared" si="101"/>
        <v>0</v>
      </c>
      <c r="AC680" s="76"/>
      <c r="AD680" s="76"/>
      <c r="AE680" s="76"/>
      <c r="AF680" s="97">
        <v>1</v>
      </c>
      <c r="AG680" s="97">
        <v>1</v>
      </c>
      <c r="AH680" s="73"/>
      <c r="AI680" s="57"/>
      <c r="AJ680" s="45"/>
      <c r="AK680" s="45"/>
      <c r="AL680" s="45"/>
    </row>
    <row r="681" spans="1:38" hidden="1" outlineLevel="2" x14ac:dyDescent="0.35">
      <c r="A681" s="45"/>
      <c r="B681" s="54"/>
      <c r="C681" s="47">
        <f t="shared" si="90"/>
        <v>3</v>
      </c>
      <c r="D681" s="73"/>
      <c r="E681" s="70"/>
      <c r="F681" s="70" t="s">
        <v>1325</v>
      </c>
      <c r="G681" s="73"/>
      <c r="H681" s="76" t="s">
        <v>2989</v>
      </c>
      <c r="I681" s="96" t="s">
        <v>514</v>
      </c>
      <c r="J681" s="96"/>
      <c r="K681" s="76"/>
      <c r="L681" s="76"/>
      <c r="M681" s="76"/>
      <c r="N681" s="76"/>
      <c r="O681" s="76"/>
      <c r="P681" s="76"/>
      <c r="Q681" s="76"/>
      <c r="R681" s="76"/>
      <c r="S681" s="76"/>
      <c r="T681" s="76"/>
      <c r="U681" s="97">
        <v>4.7E-2</v>
      </c>
      <c r="V681" s="97">
        <v>4.7E-2</v>
      </c>
      <c r="W681" s="97">
        <v>4.7E-2</v>
      </c>
      <c r="X681" s="97">
        <v>4.7E-2</v>
      </c>
      <c r="Y681" s="97">
        <v>4.7E-2</v>
      </c>
      <c r="Z681" s="97">
        <v>4.7E-2</v>
      </c>
      <c r="AA681" s="97">
        <v>4.7E-2</v>
      </c>
      <c r="AB681" s="97">
        <v>4.7E-2</v>
      </c>
      <c r="AC681" s="76"/>
      <c r="AD681" s="97" t="s">
        <v>2990</v>
      </c>
      <c r="AE681" s="76"/>
      <c r="AF681" s="97">
        <v>1</v>
      </c>
      <c r="AG681" s="97">
        <v>1</v>
      </c>
      <c r="AH681" s="73"/>
      <c r="AI681" s="57"/>
      <c r="AJ681" s="45"/>
      <c r="AK681" s="45"/>
      <c r="AL681" s="45"/>
    </row>
    <row r="682" spans="1:38" hidden="1" outlineLevel="2" x14ac:dyDescent="0.35">
      <c r="A682" s="45"/>
      <c r="B682" s="54"/>
      <c r="C682" s="47">
        <f t="shared" si="90"/>
        <v>3</v>
      </c>
      <c r="D682" s="73"/>
      <c r="E682" s="70"/>
      <c r="F682" s="70" t="s">
        <v>1326</v>
      </c>
      <c r="G682" s="73"/>
      <c r="H682" s="76" t="s">
        <v>2991</v>
      </c>
      <c r="I682" s="96" t="s">
        <v>514</v>
      </c>
      <c r="J682" s="96"/>
      <c r="K682" s="76"/>
      <c r="L682" s="76"/>
      <c r="M682" s="76"/>
      <c r="N682" s="76"/>
      <c r="O682" s="76"/>
      <c r="P682" s="76"/>
      <c r="Q682" s="76"/>
      <c r="R682" s="76"/>
      <c r="S682" s="76"/>
      <c r="T682" s="76"/>
      <c r="U682" s="97">
        <v>5.0999999999999997E-2</v>
      </c>
      <c r="V682" s="97">
        <v>5.0999999999999997E-2</v>
      </c>
      <c r="W682" s="97">
        <v>5.0999999999999997E-2</v>
      </c>
      <c r="X682" s="97">
        <v>5.0999999999999997E-2</v>
      </c>
      <c r="Y682" s="97">
        <v>5.0999999999999997E-2</v>
      </c>
      <c r="Z682" s="97">
        <v>5.0999999999999997E-2</v>
      </c>
      <c r="AA682" s="97">
        <v>5.0999999999999997E-2</v>
      </c>
      <c r="AB682" s="97">
        <v>5.0999999999999997E-2</v>
      </c>
      <c r="AC682" s="76"/>
      <c r="AD682" s="76"/>
      <c r="AE682" s="76"/>
      <c r="AF682" s="97">
        <v>1</v>
      </c>
      <c r="AG682" s="97">
        <v>1</v>
      </c>
      <c r="AH682" s="73"/>
      <c r="AI682" s="57"/>
      <c r="AJ682" s="45"/>
      <c r="AK682" s="45"/>
      <c r="AL682" s="45"/>
    </row>
    <row r="683" spans="1:38" hidden="1" outlineLevel="2" x14ac:dyDescent="0.35">
      <c r="A683" s="45"/>
      <c r="B683" s="54"/>
      <c r="C683" s="47">
        <f t="shared" si="90"/>
        <v>3</v>
      </c>
      <c r="D683" s="73"/>
      <c r="E683" s="70"/>
      <c r="F683" s="70" t="s">
        <v>1327</v>
      </c>
      <c r="G683" s="73"/>
      <c r="H683" s="76" t="s">
        <v>2992</v>
      </c>
      <c r="I683" s="96" t="s">
        <v>514</v>
      </c>
      <c r="J683" s="96"/>
      <c r="K683" s="76"/>
      <c r="L683" s="76"/>
      <c r="M683" s="76"/>
      <c r="N683" s="76"/>
      <c r="O683" s="76"/>
      <c r="P683" s="76"/>
      <c r="Q683" s="76"/>
      <c r="R683" s="76"/>
      <c r="S683" s="76"/>
      <c r="T683" s="76"/>
      <c r="U683" s="97">
        <v>5.0999999999999997E-2</v>
      </c>
      <c r="V683" s="97">
        <v>5.0999999999999997E-2</v>
      </c>
      <c r="W683" s="97">
        <v>5.0999999999999997E-2</v>
      </c>
      <c r="X683" s="97">
        <v>5.0999999999999997E-2</v>
      </c>
      <c r="Y683" s="97">
        <v>5.0999999999999997E-2</v>
      </c>
      <c r="Z683" s="97">
        <v>5.0999999999999997E-2</v>
      </c>
      <c r="AA683" s="97">
        <v>5.0999999999999997E-2</v>
      </c>
      <c r="AB683" s="97">
        <v>5.0999999999999997E-2</v>
      </c>
      <c r="AC683" s="76"/>
      <c r="AD683" s="76"/>
      <c r="AE683" s="76"/>
      <c r="AF683" s="97">
        <v>1</v>
      </c>
      <c r="AG683" s="97">
        <v>1</v>
      </c>
      <c r="AH683" s="73"/>
      <c r="AI683" s="57"/>
      <c r="AJ683" s="45"/>
      <c r="AK683" s="45"/>
      <c r="AL683" s="45"/>
    </row>
    <row r="684" spans="1:38" hidden="1" outlineLevel="3" x14ac:dyDescent="0.35">
      <c r="A684" s="45"/>
      <c r="B684" s="54"/>
      <c r="C684" s="47">
        <f t="shared" si="90"/>
        <v>3</v>
      </c>
      <c r="D684" s="73"/>
      <c r="E684" s="70"/>
      <c r="F684" s="70" t="s">
        <v>1328</v>
      </c>
      <c r="G684" s="73"/>
      <c r="H684" s="76" t="s">
        <v>616</v>
      </c>
      <c r="I684" s="96" t="s">
        <v>514</v>
      </c>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90"/>
        <v>3</v>
      </c>
      <c r="D685" s="73"/>
      <c r="E685" s="70"/>
      <c r="F685" s="70" t="s">
        <v>1330</v>
      </c>
      <c r="G685" s="73"/>
      <c r="H685" s="76"/>
      <c r="I685" s="96" t="s">
        <v>514</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90"/>
        <v>3</v>
      </c>
      <c r="D686" s="73"/>
      <c r="E686" s="70"/>
      <c r="F686" s="70" t="s">
        <v>1333</v>
      </c>
      <c r="G686" s="73"/>
      <c r="H686" s="76"/>
      <c r="I686" s="96" t="s">
        <v>514</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outlineLevel="1" collapsed="1" x14ac:dyDescent="0.35">
      <c r="A687" s="45"/>
      <c r="B687" s="54"/>
      <c r="C687" s="47">
        <f>INT($C$29)+1</f>
        <v>2</v>
      </c>
      <c r="D687" s="73"/>
      <c r="E687" s="70"/>
      <c r="F687" s="263" t="s">
        <v>1335</v>
      </c>
      <c r="G687" s="73"/>
      <c r="H687" s="253" t="s">
        <v>1336</v>
      </c>
      <c r="I687" s="136"/>
      <c r="J687" s="136" t="s">
        <v>1060</v>
      </c>
      <c r="K687" s="76"/>
      <c r="L687" s="76"/>
      <c r="M687" s="76"/>
      <c r="N687" s="76"/>
      <c r="O687" s="76"/>
      <c r="P687" s="76"/>
      <c r="Q687" s="76"/>
      <c r="R687" s="76"/>
      <c r="S687" s="76"/>
      <c r="T687" s="76"/>
      <c r="U687" s="79">
        <v>19</v>
      </c>
      <c r="V687" s="79">
        <v>6</v>
      </c>
      <c r="W687" s="79">
        <v>-4</v>
      </c>
      <c r="X687" s="76"/>
      <c r="Y687" s="76"/>
      <c r="Z687" s="76"/>
      <c r="AA687" s="76"/>
      <c r="AB687" s="76"/>
      <c r="AC687" s="76"/>
      <c r="AD687" s="76"/>
      <c r="AE687" s="76"/>
      <c r="AF687" s="76"/>
      <c r="AG687" s="76"/>
      <c r="AH687" s="73"/>
      <c r="AI687" s="57"/>
      <c r="AJ687" s="45"/>
      <c r="AK687" s="45"/>
      <c r="AL687" s="45"/>
    </row>
    <row r="688" spans="1:38" hidden="1" outlineLevel="3" x14ac:dyDescent="0.35">
      <c r="A688" s="45"/>
      <c r="B688" s="54"/>
      <c r="C688" s="47">
        <f t="shared" ref="C688:C751" si="102">INT($C$29)+3</f>
        <v>4</v>
      </c>
      <c r="D688" s="73"/>
      <c r="E688" s="70"/>
      <c r="F688" s="70" t="s">
        <v>1337</v>
      </c>
      <c r="G688" s="73"/>
      <c r="H688" s="76" t="s">
        <v>616</v>
      </c>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102"/>
        <v>4</v>
      </c>
      <c r="D689" s="73"/>
      <c r="E689" s="70"/>
      <c r="F689" s="70" t="s">
        <v>1338</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02"/>
        <v>4</v>
      </c>
      <c r="D690" s="73"/>
      <c r="E690" s="70"/>
      <c r="F690" s="70" t="s">
        <v>1339</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102"/>
        <v>4</v>
      </c>
      <c r="D691" s="73"/>
      <c r="E691" s="70"/>
      <c r="F691" s="70" t="s">
        <v>1340</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102"/>
        <v>4</v>
      </c>
      <c r="D692" s="73"/>
      <c r="E692" s="70"/>
      <c r="F692" s="70" t="s">
        <v>1341</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02"/>
        <v>4</v>
      </c>
      <c r="D693" s="73"/>
      <c r="E693" s="70"/>
      <c r="F693" s="70" t="s">
        <v>1342</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02"/>
        <v>4</v>
      </c>
      <c r="D694" s="73"/>
      <c r="E694" s="70"/>
      <c r="F694" s="70" t="s">
        <v>1343</v>
      </c>
      <c r="G694" s="73"/>
      <c r="H694" s="76" t="s">
        <v>616</v>
      </c>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02"/>
        <v>4</v>
      </c>
      <c r="D695" s="73"/>
      <c r="E695" s="70"/>
      <c r="F695" s="70" t="s">
        <v>1344</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02"/>
        <v>4</v>
      </c>
      <c r="D696" s="73"/>
      <c r="E696" s="70"/>
      <c r="F696" s="70" t="s">
        <v>1345</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102"/>
        <v>4</v>
      </c>
      <c r="D697" s="73"/>
      <c r="E697" s="70"/>
      <c r="F697" s="70" t="s">
        <v>1346</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102"/>
        <v>4</v>
      </c>
      <c r="D698" s="73"/>
      <c r="E698" s="70"/>
      <c r="F698" s="70" t="s">
        <v>1347</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02"/>
        <v>4</v>
      </c>
      <c r="D699" s="73"/>
      <c r="E699" s="70"/>
      <c r="F699" s="70" t="s">
        <v>1348</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c r="B700" s="54"/>
      <c r="C700" s="47">
        <f t="shared" si="102"/>
        <v>4</v>
      </c>
      <c r="D700" s="73"/>
      <c r="E700" s="70"/>
      <c r="F700" s="70" t="s">
        <v>1349</v>
      </c>
      <c r="G700" s="73"/>
      <c r="H700" s="76" t="s">
        <v>616</v>
      </c>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c r="B701" s="54"/>
      <c r="C701" s="47">
        <f t="shared" si="102"/>
        <v>4</v>
      </c>
      <c r="D701" s="73"/>
      <c r="E701" s="70"/>
      <c r="F701" s="70" t="s">
        <v>1350</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02"/>
        <v>4</v>
      </c>
      <c r="D702" s="73"/>
      <c r="E702" s="70"/>
      <c r="F702" s="70" t="s">
        <v>1351</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102"/>
        <v>4</v>
      </c>
      <c r="D703" s="73"/>
      <c r="E703" s="70"/>
      <c r="F703" s="70" t="s">
        <v>1352</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v>4</v>
      </c>
      <c r="B704" s="54"/>
      <c r="C704" s="47">
        <f t="shared" si="102"/>
        <v>4</v>
      </c>
      <c r="D704" s="73"/>
      <c r="E704" s="70"/>
      <c r="F704" s="70" t="s">
        <v>1353</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f>A704</f>
        <v>4</v>
      </c>
      <c r="B705" s="54"/>
      <c r="C705" s="47">
        <f t="shared" si="102"/>
        <v>4</v>
      </c>
      <c r="D705" s="73"/>
      <c r="E705" s="70"/>
      <c r="F705" s="70" t="s">
        <v>1354</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c r="B706" s="54"/>
      <c r="C706" s="47">
        <f t="shared" si="102"/>
        <v>4</v>
      </c>
      <c r="D706" s="73"/>
      <c r="E706" s="70"/>
      <c r="F706" s="70" t="s">
        <v>1355</v>
      </c>
      <c r="G706" s="73"/>
      <c r="H706" s="76" t="s">
        <v>616</v>
      </c>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c r="B707" s="54"/>
      <c r="C707" s="47">
        <f t="shared" si="102"/>
        <v>4</v>
      </c>
      <c r="D707" s="73"/>
      <c r="E707" s="70"/>
      <c r="F707" s="70" t="s">
        <v>1356</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02"/>
        <v>4</v>
      </c>
      <c r="D708" s="73"/>
      <c r="E708" s="70"/>
      <c r="F708" s="70" t="s">
        <v>1357</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102"/>
        <v>4</v>
      </c>
      <c r="D709" s="73"/>
      <c r="E709" s="70"/>
      <c r="F709" s="70" t="s">
        <v>1358</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v>4</v>
      </c>
      <c r="B710" s="54"/>
      <c r="C710" s="47">
        <f t="shared" si="102"/>
        <v>4</v>
      </c>
      <c r="D710" s="73"/>
      <c r="E710" s="70"/>
      <c r="F710" s="70" t="s">
        <v>1359</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f>A710</f>
        <v>4</v>
      </c>
      <c r="B711" s="54"/>
      <c r="C711" s="47">
        <f t="shared" si="102"/>
        <v>4</v>
      </c>
      <c r="D711" s="73"/>
      <c r="E711" s="70"/>
      <c r="F711" s="70" t="s">
        <v>1360</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c r="B712" s="54"/>
      <c r="C712" s="47">
        <f t="shared" si="102"/>
        <v>4</v>
      </c>
      <c r="D712" s="73"/>
      <c r="E712" s="70"/>
      <c r="F712" s="70" t="s">
        <v>1361</v>
      </c>
      <c r="G712" s="73"/>
      <c r="H712" s="76" t="s">
        <v>616</v>
      </c>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c r="B713" s="54"/>
      <c r="C713" s="47">
        <f t="shared" si="102"/>
        <v>4</v>
      </c>
      <c r="D713" s="73"/>
      <c r="E713" s="70"/>
      <c r="F713" s="70" t="s">
        <v>1362</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02"/>
        <v>4</v>
      </c>
      <c r="D714" s="73"/>
      <c r="E714" s="70"/>
      <c r="F714" s="70" t="s">
        <v>1363</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102"/>
        <v>4</v>
      </c>
      <c r="D715" s="73"/>
      <c r="E715" s="70"/>
      <c r="F715" s="70" t="s">
        <v>1364</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v>4</v>
      </c>
      <c r="B716" s="54"/>
      <c r="C716" s="47">
        <f t="shared" si="102"/>
        <v>4</v>
      </c>
      <c r="D716" s="73"/>
      <c r="E716" s="70"/>
      <c r="F716" s="70" t="s">
        <v>1365</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f>A716</f>
        <v>4</v>
      </c>
      <c r="B717" s="54"/>
      <c r="C717" s="47">
        <f t="shared" si="102"/>
        <v>4</v>
      </c>
      <c r="D717" s="73"/>
      <c r="E717" s="70"/>
      <c r="F717" s="70" t="s">
        <v>1366</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c r="B718" s="54"/>
      <c r="C718" s="47">
        <f t="shared" si="102"/>
        <v>4</v>
      </c>
      <c r="D718" s="73"/>
      <c r="E718" s="70"/>
      <c r="F718" s="70" t="s">
        <v>1367</v>
      </c>
      <c r="G718" s="73"/>
      <c r="H718" s="76" t="s">
        <v>616</v>
      </c>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c r="B719" s="54"/>
      <c r="C719" s="47">
        <f t="shared" si="102"/>
        <v>4</v>
      </c>
      <c r="D719" s="73"/>
      <c r="E719" s="70"/>
      <c r="F719" s="70" t="s">
        <v>1368</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102"/>
        <v>4</v>
      </c>
      <c r="D720" s="73"/>
      <c r="E720" s="70"/>
      <c r="F720" s="70" t="s">
        <v>1369</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102"/>
        <v>4</v>
      </c>
      <c r="D721" s="73"/>
      <c r="E721" s="70"/>
      <c r="F721" s="70" t="s">
        <v>1370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v>4</v>
      </c>
      <c r="B722" s="54"/>
      <c r="C722" s="47">
        <f t="shared" si="102"/>
        <v>4</v>
      </c>
      <c r="D722" s="73"/>
      <c r="E722" s="70"/>
      <c r="F722" s="70" t="s">
        <v>1371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f>A722</f>
        <v>4</v>
      </c>
      <c r="B723" s="54"/>
      <c r="C723" s="47">
        <f t="shared" si="102"/>
        <v>4</v>
      </c>
      <c r="D723" s="73"/>
      <c r="E723" s="70"/>
      <c r="F723" s="70" t="s">
        <v>1372</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c r="B724" s="54"/>
      <c r="C724" s="47">
        <f t="shared" si="102"/>
        <v>4</v>
      </c>
      <c r="D724" s="73"/>
      <c r="E724" s="70"/>
      <c r="F724" s="70" t="s">
        <v>1373</v>
      </c>
      <c r="G724" s="73"/>
      <c r="H724" s="76" t="s">
        <v>616</v>
      </c>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c r="B725" s="54"/>
      <c r="C725" s="47">
        <f t="shared" si="102"/>
        <v>4</v>
      </c>
      <c r="D725" s="73"/>
      <c r="E725" s="70"/>
      <c r="F725" s="70" t="s">
        <v>1374</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02"/>
        <v>4</v>
      </c>
      <c r="D726" s="73"/>
      <c r="E726" s="70"/>
      <c r="F726" s="70" t="s">
        <v>1375</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102"/>
        <v>4</v>
      </c>
      <c r="D727" s="73"/>
      <c r="E727" s="70"/>
      <c r="F727" s="70" t="s">
        <v>1376</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v>4</v>
      </c>
      <c r="B728" s="54"/>
      <c r="C728" s="47">
        <f t="shared" si="102"/>
        <v>4</v>
      </c>
      <c r="D728" s="73"/>
      <c r="E728" s="70"/>
      <c r="F728" s="70" t="s">
        <v>1377</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f>A728</f>
        <v>4</v>
      </c>
      <c r="B729" s="54"/>
      <c r="C729" s="47">
        <f t="shared" si="102"/>
        <v>4</v>
      </c>
      <c r="D729" s="73"/>
      <c r="E729" s="70"/>
      <c r="F729" s="70" t="s">
        <v>1378</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c r="B730" s="54"/>
      <c r="C730" s="47">
        <f t="shared" si="102"/>
        <v>4</v>
      </c>
      <c r="D730" s="73"/>
      <c r="E730" s="70"/>
      <c r="F730" s="70" t="s">
        <v>1379</v>
      </c>
      <c r="G730" s="73"/>
      <c r="H730" s="76" t="s">
        <v>616</v>
      </c>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c r="B731" s="54"/>
      <c r="C731" s="47">
        <f t="shared" si="102"/>
        <v>4</v>
      </c>
      <c r="D731" s="73"/>
      <c r="E731" s="70"/>
      <c r="F731" s="70" t="s">
        <v>1380</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35">
      <c r="A732" s="45"/>
      <c r="B732" s="54"/>
      <c r="C732" s="47">
        <f t="shared" si="102"/>
        <v>4</v>
      </c>
      <c r="D732" s="73"/>
      <c r="E732" s="70"/>
      <c r="F732" s="70" t="s">
        <v>1381</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35">
      <c r="A733" s="45"/>
      <c r="B733" s="54"/>
      <c r="C733" s="47">
        <f t="shared" si="102"/>
        <v>4</v>
      </c>
      <c r="D733" s="73"/>
      <c r="E733" s="70"/>
      <c r="F733" s="70" t="s">
        <v>1382</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35">
      <c r="A734" s="45">
        <v>4</v>
      </c>
      <c r="B734" s="54"/>
      <c r="C734" s="47">
        <f t="shared" si="102"/>
        <v>4</v>
      </c>
      <c r="D734" s="73"/>
      <c r="E734" s="70"/>
      <c r="F734" s="70" t="s">
        <v>1383</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35">
      <c r="A735" s="45">
        <f>A734</f>
        <v>4</v>
      </c>
      <c r="B735" s="54"/>
      <c r="C735" s="47">
        <f t="shared" si="102"/>
        <v>4</v>
      </c>
      <c r="D735" s="73"/>
      <c r="E735" s="70"/>
      <c r="F735" s="70" t="s">
        <v>1384</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2" x14ac:dyDescent="0.35">
      <c r="A736" s="45"/>
      <c r="B736" s="54"/>
      <c r="C736" s="47">
        <f t="shared" ref="C736:C741" si="103">INT($C$29)+2</f>
        <v>3</v>
      </c>
      <c r="D736" s="73"/>
      <c r="E736" s="70"/>
      <c r="F736" s="70" t="s">
        <v>1385</v>
      </c>
      <c r="G736" s="73"/>
      <c r="H736" s="76" t="s">
        <v>1386</v>
      </c>
      <c r="I736" s="96"/>
      <c r="J736" s="96"/>
      <c r="K736" s="76"/>
      <c r="L736" s="76"/>
      <c r="M736" s="76"/>
      <c r="N736" s="76"/>
      <c r="O736" s="76"/>
      <c r="P736" s="76"/>
      <c r="Q736" s="76"/>
      <c r="R736" s="76"/>
      <c r="S736" s="76"/>
      <c r="T736" s="76"/>
      <c r="U736" s="268">
        <f t="shared" ref="U736:AB736" si="104">U$836</f>
        <v>0</v>
      </c>
      <c r="V736" s="268">
        <f t="shared" si="104"/>
        <v>0</v>
      </c>
      <c r="W736" s="268">
        <f t="shared" si="104"/>
        <v>0</v>
      </c>
      <c r="X736" s="268">
        <f t="shared" si="104"/>
        <v>0</v>
      </c>
      <c r="Y736" s="268">
        <f t="shared" si="104"/>
        <v>0</v>
      </c>
      <c r="Z736" s="268">
        <f t="shared" si="104"/>
        <v>0</v>
      </c>
      <c r="AA736" s="268">
        <f t="shared" si="104"/>
        <v>0</v>
      </c>
      <c r="AB736" s="268">
        <f t="shared" si="104"/>
        <v>0</v>
      </c>
      <c r="AC736" s="76"/>
      <c r="AD736" s="97" t="s">
        <v>1387</v>
      </c>
      <c r="AE736" s="76"/>
      <c r="AF736" s="268">
        <f>AF$836</f>
        <v>1</v>
      </c>
      <c r="AG736" s="268">
        <f>AG$836</f>
        <v>1</v>
      </c>
      <c r="AH736" s="73"/>
      <c r="AI736" s="57"/>
      <c r="AJ736" s="45"/>
      <c r="AK736" s="45"/>
      <c r="AL736" s="45"/>
    </row>
    <row r="737" spans="1:38" hidden="1" outlineLevel="2" x14ac:dyDescent="0.35">
      <c r="A737" s="45"/>
      <c r="B737" s="54"/>
      <c r="C737" s="47">
        <f t="shared" si="103"/>
        <v>3</v>
      </c>
      <c r="D737" s="73"/>
      <c r="E737" s="70"/>
      <c r="F737" s="70" t="s">
        <v>1388</v>
      </c>
      <c r="G737" s="73"/>
      <c r="H737" s="76" t="s">
        <v>1389</v>
      </c>
      <c r="I737" s="96"/>
      <c r="J737" s="96"/>
      <c r="K737" s="76"/>
      <c r="L737" s="76"/>
      <c r="M737" s="76"/>
      <c r="N737" s="76"/>
      <c r="O737" s="76"/>
      <c r="P737" s="76"/>
      <c r="Q737" s="76"/>
      <c r="R737" s="76"/>
      <c r="S737" s="76"/>
      <c r="T737" s="76"/>
      <c r="U737" s="268">
        <f t="shared" ref="U737:AB737" si="105">U$837</f>
        <v>-0.71226</v>
      </c>
      <c r="V737" s="268">
        <f t="shared" si="105"/>
        <v>-0.71226</v>
      </c>
      <c r="W737" s="268">
        <f t="shared" si="105"/>
        <v>-0.71226</v>
      </c>
      <c r="X737" s="268">
        <f t="shared" si="105"/>
        <v>-0.21895000000000001</v>
      </c>
      <c r="Y737" s="268">
        <f t="shared" si="105"/>
        <v>-0.21895000000000001</v>
      </c>
      <c r="Z737" s="268">
        <f t="shared" si="105"/>
        <v>-0.21895000000000001</v>
      </c>
      <c r="AA737" s="268">
        <f t="shared" si="105"/>
        <v>-0.21895000000000001</v>
      </c>
      <c r="AB737" s="268">
        <f t="shared" si="105"/>
        <v>-0.21895000000000001</v>
      </c>
      <c r="AC737" s="76"/>
      <c r="AD737" s="76"/>
      <c r="AE737" s="76"/>
      <c r="AF737" s="268">
        <f>AF$837</f>
        <v>1</v>
      </c>
      <c r="AG737" s="268">
        <f>AG$837</f>
        <v>1</v>
      </c>
      <c r="AH737" s="73"/>
      <c r="AI737" s="57"/>
      <c r="AJ737" s="45"/>
      <c r="AK737" s="45"/>
      <c r="AL737" s="45"/>
    </row>
    <row r="738" spans="1:38" hidden="1" outlineLevel="2" x14ac:dyDescent="0.35">
      <c r="A738" s="45"/>
      <c r="B738" s="54"/>
      <c r="C738" s="47">
        <f t="shared" si="103"/>
        <v>3</v>
      </c>
      <c r="D738" s="73"/>
      <c r="E738" s="70"/>
      <c r="F738" s="70" t="s">
        <v>1390</v>
      </c>
      <c r="G738" s="73"/>
      <c r="H738" s="76" t="s">
        <v>1391</v>
      </c>
      <c r="I738" s="96"/>
      <c r="J738" s="96"/>
      <c r="K738" s="76"/>
      <c r="L738" s="76"/>
      <c r="M738" s="76"/>
      <c r="N738" s="76"/>
      <c r="O738" s="76"/>
      <c r="P738" s="76"/>
      <c r="Q738" s="76"/>
      <c r="R738" s="76"/>
      <c r="S738" s="76"/>
      <c r="T738" s="76"/>
      <c r="U738" s="268">
        <f t="shared" ref="U738:AB738" si="106">U$838</f>
        <v>-0.90173999999999999</v>
      </c>
      <c r="V738" s="268">
        <f t="shared" si="106"/>
        <v>-0.90173999999999999</v>
      </c>
      <c r="W738" s="268">
        <f t="shared" si="106"/>
        <v>-0.90173999999999999</v>
      </c>
      <c r="X738" s="268">
        <f t="shared" si="106"/>
        <v>-0.37940000000000002</v>
      </c>
      <c r="Y738" s="268">
        <f t="shared" si="106"/>
        <v>-0.37940000000000002</v>
      </c>
      <c r="Z738" s="268">
        <f t="shared" si="106"/>
        <v>-0.37940000000000002</v>
      </c>
      <c r="AA738" s="268">
        <f t="shared" si="106"/>
        <v>-0.37940000000000002</v>
      </c>
      <c r="AB738" s="268">
        <f t="shared" si="106"/>
        <v>-0.37940000000000002</v>
      </c>
      <c r="AC738" s="76"/>
      <c r="AD738" s="76"/>
      <c r="AE738" s="76"/>
      <c r="AF738" s="268">
        <f>AF$838</f>
        <v>1</v>
      </c>
      <c r="AG738" s="268">
        <f>AG$838</f>
        <v>1</v>
      </c>
      <c r="AH738" s="73"/>
      <c r="AI738" s="57"/>
      <c r="AJ738" s="45"/>
      <c r="AK738" s="45"/>
      <c r="AL738" s="45"/>
    </row>
    <row r="739" spans="1:38" hidden="1" outlineLevel="2" x14ac:dyDescent="0.35">
      <c r="A739" s="45"/>
      <c r="B739" s="54"/>
      <c r="C739" s="47">
        <f t="shared" si="103"/>
        <v>3</v>
      </c>
      <c r="D739" s="73"/>
      <c r="E739" s="70"/>
      <c r="F739" s="70" t="s">
        <v>1392</v>
      </c>
      <c r="G739" s="73"/>
      <c r="H739" s="76" t="s">
        <v>1393</v>
      </c>
      <c r="I739" s="96"/>
      <c r="J739" s="96"/>
      <c r="K739" s="76"/>
      <c r="L739" s="76"/>
      <c r="M739" s="76"/>
      <c r="N739" s="76"/>
      <c r="O739" s="76"/>
      <c r="P739" s="76"/>
      <c r="Q739" s="76"/>
      <c r="R739" s="76"/>
      <c r="S739" s="76"/>
      <c r="T739" s="76"/>
      <c r="U739" s="268">
        <f>$837:$837</f>
        <v>-0.71226</v>
      </c>
      <c r="V739" s="268">
        <f t="shared" ref="V739:AB739" si="107">$837:$837</f>
        <v>-0.71226</v>
      </c>
      <c r="W739" s="268">
        <f t="shared" si="107"/>
        <v>-0.71226</v>
      </c>
      <c r="X739" s="268">
        <f t="shared" si="107"/>
        <v>-0.21895000000000001</v>
      </c>
      <c r="Y739" s="268">
        <f t="shared" si="107"/>
        <v>-0.21895000000000001</v>
      </c>
      <c r="Z739" s="268">
        <f t="shared" si="107"/>
        <v>-0.21895000000000001</v>
      </c>
      <c r="AA739" s="268">
        <f t="shared" si="107"/>
        <v>-0.21895000000000001</v>
      </c>
      <c r="AB739" s="268">
        <f t="shared" si="107"/>
        <v>-0.21895000000000001</v>
      </c>
      <c r="AC739" s="76"/>
      <c r="AD739" s="76"/>
      <c r="AE739" s="76"/>
      <c r="AF739" s="268">
        <f>$837:$837</f>
        <v>1</v>
      </c>
      <c r="AG739" s="268">
        <f>$837:$837</f>
        <v>1</v>
      </c>
      <c r="AH739" s="73"/>
      <c r="AI739" s="57"/>
      <c r="AJ739" s="45"/>
      <c r="AK739" s="45"/>
      <c r="AL739" s="45"/>
    </row>
    <row r="740" spans="1:38" hidden="1" outlineLevel="2" x14ac:dyDescent="0.35">
      <c r="A740" s="45">
        <v>4</v>
      </c>
      <c r="B740" s="54"/>
      <c r="C740" s="47">
        <f t="shared" si="103"/>
        <v>3</v>
      </c>
      <c r="D740" s="73"/>
      <c r="E740" s="70"/>
      <c r="F740" s="70" t="s">
        <v>1394</v>
      </c>
      <c r="G740" s="73"/>
      <c r="H740" s="76" t="s">
        <v>1395</v>
      </c>
      <c r="I740" s="96"/>
      <c r="J740" s="96"/>
      <c r="K740" s="76"/>
      <c r="L740" s="76"/>
      <c r="M740" s="76"/>
      <c r="N740" s="76"/>
      <c r="O740" s="76"/>
      <c r="P740" s="76"/>
      <c r="Q740" s="76"/>
      <c r="R740" s="76"/>
      <c r="S740" s="76"/>
      <c r="T740" s="76"/>
      <c r="U740" s="268">
        <f>$838:$838</f>
        <v>-0.90173999999999999</v>
      </c>
      <c r="V740" s="268">
        <f t="shared" ref="V740:AB741" si="108">$838:$838</f>
        <v>-0.90173999999999999</v>
      </c>
      <c r="W740" s="268">
        <f t="shared" si="108"/>
        <v>-0.90173999999999999</v>
      </c>
      <c r="X740" s="268">
        <f t="shared" si="108"/>
        <v>-0.37940000000000002</v>
      </c>
      <c r="Y740" s="268">
        <f t="shared" si="108"/>
        <v>-0.37940000000000002</v>
      </c>
      <c r="Z740" s="268">
        <f t="shared" si="108"/>
        <v>-0.37940000000000002</v>
      </c>
      <c r="AA740" s="268">
        <f t="shared" si="108"/>
        <v>-0.37940000000000002</v>
      </c>
      <c r="AB740" s="268">
        <f t="shared" si="108"/>
        <v>-0.37940000000000002</v>
      </c>
      <c r="AC740" s="76"/>
      <c r="AD740" s="76"/>
      <c r="AE740" s="76"/>
      <c r="AF740" s="268">
        <f>$838:$838</f>
        <v>1</v>
      </c>
      <c r="AG740" s="268">
        <f>$838:$838</f>
        <v>1</v>
      </c>
      <c r="AH740" s="73"/>
      <c r="AI740" s="57"/>
      <c r="AJ740" s="45"/>
      <c r="AK740" s="45"/>
      <c r="AL740" s="45"/>
    </row>
    <row r="741" spans="1:38" hidden="1" outlineLevel="2" collapsed="1" x14ac:dyDescent="0.35">
      <c r="A741" s="45">
        <f>A740</f>
        <v>4</v>
      </c>
      <c r="B741" s="54"/>
      <c r="C741" s="47">
        <f t="shared" si="103"/>
        <v>3</v>
      </c>
      <c r="D741" s="73"/>
      <c r="E741" s="70"/>
      <c r="F741" s="70" t="s">
        <v>1396</v>
      </c>
      <c r="G741" s="73"/>
      <c r="H741" s="76" t="s">
        <v>1397</v>
      </c>
      <c r="I741" s="96"/>
      <c r="J741" s="96"/>
      <c r="K741" s="76"/>
      <c r="L741" s="76"/>
      <c r="M741" s="76"/>
      <c r="N741" s="76"/>
      <c r="O741" s="76"/>
      <c r="P741" s="76"/>
      <c r="Q741" s="76"/>
      <c r="R741" s="76"/>
      <c r="S741" s="76"/>
      <c r="T741" s="76"/>
      <c r="U741" s="268">
        <f>$838:$838</f>
        <v>-0.90173999999999999</v>
      </c>
      <c r="V741" s="268">
        <f t="shared" si="108"/>
        <v>-0.90173999999999999</v>
      </c>
      <c r="W741" s="268">
        <f t="shared" si="108"/>
        <v>-0.90173999999999999</v>
      </c>
      <c r="X741" s="268">
        <f t="shared" si="108"/>
        <v>-0.37940000000000002</v>
      </c>
      <c r="Y741" s="268">
        <f t="shared" si="108"/>
        <v>-0.37940000000000002</v>
      </c>
      <c r="Z741" s="268">
        <f t="shared" si="108"/>
        <v>-0.37940000000000002</v>
      </c>
      <c r="AA741" s="268">
        <f t="shared" si="108"/>
        <v>-0.37940000000000002</v>
      </c>
      <c r="AB741" s="268">
        <f t="shared" si="108"/>
        <v>-0.37940000000000002</v>
      </c>
      <c r="AC741" s="76"/>
      <c r="AD741" s="76"/>
      <c r="AE741" s="76"/>
      <c r="AF741" s="268">
        <f>$838:$838</f>
        <v>1</v>
      </c>
      <c r="AG741" s="268">
        <f>$838:$838</f>
        <v>1</v>
      </c>
      <c r="AH741" s="73"/>
      <c r="AI741" s="57"/>
      <c r="AJ741" s="45"/>
      <c r="AK741" s="45"/>
      <c r="AL741" s="45"/>
    </row>
    <row r="742" spans="1:38" hidden="1" outlineLevel="3" x14ac:dyDescent="0.35">
      <c r="A742" s="45"/>
      <c r="B742" s="54"/>
      <c r="C742" s="47">
        <f t="shared" si="102"/>
        <v>4</v>
      </c>
      <c r="D742" s="73"/>
      <c r="E742" s="70"/>
      <c r="F742" s="70" t="s">
        <v>1398</v>
      </c>
      <c r="G742" s="73"/>
      <c r="H742" s="76" t="s">
        <v>616</v>
      </c>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c r="B743" s="54"/>
      <c r="C743" s="47">
        <f t="shared" si="102"/>
        <v>4</v>
      </c>
      <c r="D743" s="73"/>
      <c r="E743" s="70"/>
      <c r="F743" s="70" t="s">
        <v>1399</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102"/>
        <v>4</v>
      </c>
      <c r="D744" s="73"/>
      <c r="E744" s="70"/>
      <c r="F744" s="70" t="s">
        <v>1400</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102"/>
        <v>4</v>
      </c>
      <c r="D745" s="73"/>
      <c r="E745" s="70"/>
      <c r="F745" s="70" t="s">
        <v>1401</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v>4</v>
      </c>
      <c r="B746" s="54"/>
      <c r="C746" s="47">
        <f t="shared" si="102"/>
        <v>4</v>
      </c>
      <c r="D746" s="73"/>
      <c r="E746" s="70"/>
      <c r="F746" s="70" t="s">
        <v>1402</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f>A746</f>
        <v>4</v>
      </c>
      <c r="B747" s="54"/>
      <c r="C747" s="47">
        <f t="shared" si="102"/>
        <v>4</v>
      </c>
      <c r="D747" s="73"/>
      <c r="E747" s="70"/>
      <c r="F747" s="70" t="s">
        <v>1403</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c r="B748" s="54"/>
      <c r="C748" s="47">
        <f t="shared" si="102"/>
        <v>4</v>
      </c>
      <c r="D748" s="73"/>
      <c r="E748" s="70"/>
      <c r="F748" s="70" t="s">
        <v>1404</v>
      </c>
      <c r="G748" s="73"/>
      <c r="H748" s="76" t="s">
        <v>616</v>
      </c>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c r="B749" s="54"/>
      <c r="C749" s="47">
        <f t="shared" si="102"/>
        <v>4</v>
      </c>
      <c r="D749" s="73"/>
      <c r="E749" s="70"/>
      <c r="F749" s="70" t="s">
        <v>1405</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35">
      <c r="A750" s="45"/>
      <c r="B750" s="54"/>
      <c r="C750" s="47">
        <f t="shared" si="102"/>
        <v>4</v>
      </c>
      <c r="D750" s="73"/>
      <c r="E750" s="70"/>
      <c r="F750" s="70" t="s">
        <v>1406</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35">
      <c r="A751" s="45"/>
      <c r="B751" s="54"/>
      <c r="C751" s="47">
        <f t="shared" si="102"/>
        <v>4</v>
      </c>
      <c r="D751" s="73"/>
      <c r="E751" s="70"/>
      <c r="F751" s="70" t="s">
        <v>1407</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3" x14ac:dyDescent="0.35">
      <c r="A752" s="45">
        <v>4</v>
      </c>
      <c r="B752" s="54"/>
      <c r="C752" s="47">
        <f t="shared" ref="C752:C777" si="109">INT($C$29)+3</f>
        <v>4</v>
      </c>
      <c r="D752" s="73"/>
      <c r="E752" s="70"/>
      <c r="F752" s="70" t="s">
        <v>1408</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v>1</v>
      </c>
      <c r="AG752" s="76">
        <v>1</v>
      </c>
      <c r="AH752" s="73"/>
      <c r="AI752" s="57"/>
      <c r="AJ752" s="45"/>
      <c r="AK752" s="45"/>
      <c r="AL752" s="45"/>
    </row>
    <row r="753" spans="1:38" hidden="1" outlineLevel="3" x14ac:dyDescent="0.35">
      <c r="A753" s="45">
        <f>A752</f>
        <v>4</v>
      </c>
      <c r="B753" s="54"/>
      <c r="C753" s="47">
        <f t="shared" si="109"/>
        <v>4</v>
      </c>
      <c r="D753" s="73"/>
      <c r="E753" s="70"/>
      <c r="F753" s="70" t="s">
        <v>1409</v>
      </c>
      <c r="G753" s="73"/>
      <c r="H753" s="76"/>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2" x14ac:dyDescent="0.35">
      <c r="A754" s="45"/>
      <c r="B754" s="54"/>
      <c r="C754" s="47">
        <f t="shared" si="109"/>
        <v>4</v>
      </c>
      <c r="D754" s="73"/>
      <c r="E754" s="70"/>
      <c r="F754" s="70" t="s">
        <v>1410</v>
      </c>
      <c r="G754" s="73"/>
      <c r="H754" s="76" t="s">
        <v>2751</v>
      </c>
      <c r="I754" s="96"/>
      <c r="J754" s="96"/>
      <c r="K754" s="76"/>
      <c r="L754" s="76"/>
      <c r="M754" s="76"/>
      <c r="N754" s="76"/>
      <c r="O754" s="76"/>
      <c r="P754" s="76"/>
      <c r="Q754" s="76"/>
      <c r="R754" s="76"/>
      <c r="S754" s="76"/>
      <c r="T754" s="76"/>
      <c r="U754" s="288">
        <v>1</v>
      </c>
      <c r="V754" s="348">
        <f t="shared" ref="V754:AB754" si="110">U754</f>
        <v>1</v>
      </c>
      <c r="W754" s="348">
        <f t="shared" si="110"/>
        <v>1</v>
      </c>
      <c r="X754" s="348">
        <f t="shared" si="110"/>
        <v>1</v>
      </c>
      <c r="Y754" s="348">
        <f t="shared" si="110"/>
        <v>1</v>
      </c>
      <c r="Z754" s="348">
        <f t="shared" si="110"/>
        <v>1</v>
      </c>
      <c r="AA754" s="348">
        <f t="shared" si="110"/>
        <v>1</v>
      </c>
      <c r="AB754" s="348">
        <f t="shared" si="110"/>
        <v>1</v>
      </c>
      <c r="AC754" s="76"/>
      <c r="AD754" s="97" t="s">
        <v>2757</v>
      </c>
      <c r="AE754" s="76"/>
      <c r="AF754" s="97">
        <v>1</v>
      </c>
      <c r="AG754" s="97">
        <v>1</v>
      </c>
      <c r="AH754" s="73"/>
      <c r="AI754" s="57"/>
      <c r="AJ754" s="45"/>
      <c r="AK754" s="45"/>
      <c r="AL754" s="45"/>
    </row>
    <row r="755" spans="1:38" hidden="1" outlineLevel="2" x14ac:dyDescent="0.35">
      <c r="A755" s="45"/>
      <c r="B755" s="54"/>
      <c r="C755" s="47">
        <f t="shared" si="109"/>
        <v>4</v>
      </c>
      <c r="D755" s="73"/>
      <c r="E755" s="70"/>
      <c r="F755" s="70" t="s">
        <v>1411</v>
      </c>
      <c r="G755" s="73"/>
      <c r="H755" s="76" t="s">
        <v>2752</v>
      </c>
      <c r="I755" s="96"/>
      <c r="J755" s="96"/>
      <c r="K755" s="76"/>
      <c r="L755" s="76"/>
      <c r="M755" s="76"/>
      <c r="N755" s="76"/>
      <c r="O755" s="76"/>
      <c r="P755" s="76"/>
      <c r="Q755" s="76"/>
      <c r="R755" s="76"/>
      <c r="S755" s="76"/>
      <c r="T755" s="76"/>
      <c r="U755" s="288">
        <v>0.95399999999999996</v>
      </c>
      <c r="V755" s="348">
        <f t="shared" ref="V755:W759" si="111">U755</f>
        <v>0.95399999999999996</v>
      </c>
      <c r="W755" s="348">
        <f t="shared" si="111"/>
        <v>0.95399999999999996</v>
      </c>
      <c r="X755" s="348">
        <f t="shared" ref="X755:AB759" si="112">W755</f>
        <v>0.95399999999999996</v>
      </c>
      <c r="Y755" s="348">
        <f t="shared" si="112"/>
        <v>0.95399999999999996</v>
      </c>
      <c r="Z755" s="348">
        <f t="shared" si="112"/>
        <v>0.95399999999999996</v>
      </c>
      <c r="AA755" s="348">
        <f t="shared" si="112"/>
        <v>0.95399999999999996</v>
      </c>
      <c r="AB755" s="348">
        <f t="shared" si="112"/>
        <v>0.95399999999999996</v>
      </c>
      <c r="AC755" s="76"/>
      <c r="AD755" s="76"/>
      <c r="AE755" s="76"/>
      <c r="AF755" s="97">
        <v>1</v>
      </c>
      <c r="AG755" s="97">
        <v>1</v>
      </c>
      <c r="AH755" s="73"/>
      <c r="AI755" s="57"/>
      <c r="AJ755" s="45"/>
      <c r="AK755" s="45"/>
      <c r="AL755" s="45"/>
    </row>
    <row r="756" spans="1:38" hidden="1" outlineLevel="2" x14ac:dyDescent="0.35">
      <c r="A756" s="45"/>
      <c r="B756" s="54"/>
      <c r="C756" s="47">
        <f t="shared" si="109"/>
        <v>4</v>
      </c>
      <c r="D756" s="73"/>
      <c r="E756" s="70"/>
      <c r="F756" s="70" t="s">
        <v>1412</v>
      </c>
      <c r="G756" s="73"/>
      <c r="H756" s="76" t="s">
        <v>2753</v>
      </c>
      <c r="I756" s="96"/>
      <c r="J756" s="96"/>
      <c r="K756" s="76"/>
      <c r="L756" s="76"/>
      <c r="M756" s="76"/>
      <c r="N756" s="76"/>
      <c r="O756" s="76"/>
      <c r="P756" s="76"/>
      <c r="Q756" s="76"/>
      <c r="R756" s="76"/>
      <c r="S756" s="76"/>
      <c r="T756" s="76"/>
      <c r="U756" s="288">
        <v>0.90800000000000003</v>
      </c>
      <c r="V756" s="348">
        <f t="shared" si="111"/>
        <v>0.90800000000000003</v>
      </c>
      <c r="W756" s="348">
        <f t="shared" si="111"/>
        <v>0.90800000000000003</v>
      </c>
      <c r="X756" s="348">
        <f t="shared" si="112"/>
        <v>0.90800000000000003</v>
      </c>
      <c r="Y756" s="348">
        <f t="shared" si="112"/>
        <v>0.90800000000000003</v>
      </c>
      <c r="Z756" s="348">
        <f t="shared" si="112"/>
        <v>0.90800000000000003</v>
      </c>
      <c r="AA756" s="348">
        <f t="shared" si="112"/>
        <v>0.90800000000000003</v>
      </c>
      <c r="AB756" s="348">
        <f t="shared" si="112"/>
        <v>0.90800000000000003</v>
      </c>
      <c r="AC756" s="76"/>
      <c r="AD756" s="76"/>
      <c r="AE756" s="76"/>
      <c r="AF756" s="97">
        <v>1</v>
      </c>
      <c r="AG756" s="97">
        <v>1</v>
      </c>
      <c r="AH756" s="73"/>
      <c r="AI756" s="57"/>
      <c r="AJ756" s="45"/>
      <c r="AK756" s="45"/>
      <c r="AL756" s="45"/>
    </row>
    <row r="757" spans="1:38" hidden="1" outlineLevel="2" x14ac:dyDescent="0.35">
      <c r="A757" s="45"/>
      <c r="B757" s="54"/>
      <c r="C757" s="47">
        <f t="shared" si="109"/>
        <v>4</v>
      </c>
      <c r="D757" s="73"/>
      <c r="E757" s="70"/>
      <c r="F757" s="70" t="s">
        <v>1413</v>
      </c>
      <c r="G757" s="73"/>
      <c r="H757" s="76" t="s">
        <v>2754</v>
      </c>
      <c r="I757" s="96"/>
      <c r="J757" s="96"/>
      <c r="K757" s="76"/>
      <c r="L757" s="76"/>
      <c r="M757" s="76"/>
      <c r="N757" s="76"/>
      <c r="O757" s="76"/>
      <c r="P757" s="76"/>
      <c r="Q757" s="76"/>
      <c r="R757" s="76"/>
      <c r="S757" s="76"/>
      <c r="T757" s="76"/>
      <c r="U757" s="288">
        <v>0.97</v>
      </c>
      <c r="V757" s="348">
        <f t="shared" si="111"/>
        <v>0.97</v>
      </c>
      <c r="W757" s="348">
        <f t="shared" si="111"/>
        <v>0.97</v>
      </c>
      <c r="X757" s="348">
        <f t="shared" si="112"/>
        <v>0.97</v>
      </c>
      <c r="Y757" s="348">
        <f t="shared" si="112"/>
        <v>0.97</v>
      </c>
      <c r="Z757" s="348">
        <f t="shared" si="112"/>
        <v>0.97</v>
      </c>
      <c r="AA757" s="348">
        <f t="shared" si="112"/>
        <v>0.97</v>
      </c>
      <c r="AB757" s="348">
        <f t="shared" si="112"/>
        <v>0.97</v>
      </c>
      <c r="AC757" s="76"/>
      <c r="AD757" s="76"/>
      <c r="AE757" s="76"/>
      <c r="AF757" s="97">
        <v>1</v>
      </c>
      <c r="AG757" s="97">
        <v>1</v>
      </c>
      <c r="AH757" s="73"/>
      <c r="AI757" s="57"/>
      <c r="AJ757" s="45"/>
      <c r="AK757" s="45"/>
      <c r="AL757" s="45"/>
    </row>
    <row r="758" spans="1:38" hidden="1" outlineLevel="2" x14ac:dyDescent="0.35">
      <c r="A758" s="45">
        <v>4</v>
      </c>
      <c r="B758" s="54"/>
      <c r="C758" s="47">
        <f t="shared" si="109"/>
        <v>4</v>
      </c>
      <c r="D758" s="73"/>
      <c r="E758" s="70"/>
      <c r="F758" s="70" t="s">
        <v>1414</v>
      </c>
      <c r="G758" s="73"/>
      <c r="H758" s="76" t="s">
        <v>2755</v>
      </c>
      <c r="I758" s="96"/>
      <c r="J758" s="96"/>
      <c r="K758" s="76"/>
      <c r="L758" s="76"/>
      <c r="M758" s="76"/>
      <c r="N758" s="76"/>
      <c r="O758" s="76"/>
      <c r="P758" s="76"/>
      <c r="Q758" s="76"/>
      <c r="R758" s="76"/>
      <c r="S758" s="76"/>
      <c r="T758" s="76"/>
      <c r="U758" s="288">
        <v>0.92400000000000004</v>
      </c>
      <c r="V758" s="348">
        <f t="shared" si="111"/>
        <v>0.92400000000000004</v>
      </c>
      <c r="W758" s="348">
        <f t="shared" si="111"/>
        <v>0.92400000000000004</v>
      </c>
      <c r="X758" s="348">
        <f t="shared" si="112"/>
        <v>0.92400000000000004</v>
      </c>
      <c r="Y758" s="348">
        <f t="shared" si="112"/>
        <v>0.92400000000000004</v>
      </c>
      <c r="Z758" s="348">
        <f t="shared" si="112"/>
        <v>0.92400000000000004</v>
      </c>
      <c r="AA758" s="348">
        <f t="shared" si="112"/>
        <v>0.92400000000000004</v>
      </c>
      <c r="AB758" s="348">
        <f t="shared" si="112"/>
        <v>0.92400000000000004</v>
      </c>
      <c r="AC758" s="76"/>
      <c r="AD758" s="76"/>
      <c r="AE758" s="76"/>
      <c r="AF758" s="97">
        <v>1</v>
      </c>
      <c r="AG758" s="97">
        <v>1</v>
      </c>
      <c r="AH758" s="73"/>
      <c r="AI758" s="57"/>
      <c r="AJ758" s="45"/>
      <c r="AK758" s="45"/>
      <c r="AL758" s="45"/>
    </row>
    <row r="759" spans="1:38" hidden="1" outlineLevel="2" x14ac:dyDescent="0.35">
      <c r="A759" s="45">
        <f>A758</f>
        <v>4</v>
      </c>
      <c r="B759" s="54"/>
      <c r="C759" s="47">
        <f t="shared" si="109"/>
        <v>4</v>
      </c>
      <c r="D759" s="73"/>
      <c r="E759" s="70"/>
      <c r="F759" s="70" t="s">
        <v>1415</v>
      </c>
      <c r="G759" s="73"/>
      <c r="H759" s="76" t="s">
        <v>2756</v>
      </c>
      <c r="I759" s="96"/>
      <c r="J759" s="96"/>
      <c r="K759" s="76"/>
      <c r="L759" s="76"/>
      <c r="M759" s="76"/>
      <c r="N759" s="76"/>
      <c r="O759" s="76"/>
      <c r="P759" s="76"/>
      <c r="Q759" s="76"/>
      <c r="R759" s="76"/>
      <c r="S759" s="76"/>
      <c r="T759" s="76"/>
      <c r="U759" s="288">
        <v>0.94</v>
      </c>
      <c r="V759" s="348">
        <f t="shared" si="111"/>
        <v>0.94</v>
      </c>
      <c r="W759" s="348">
        <f t="shared" si="111"/>
        <v>0.94</v>
      </c>
      <c r="X759" s="348">
        <f t="shared" si="112"/>
        <v>0.94</v>
      </c>
      <c r="Y759" s="348">
        <f t="shared" si="112"/>
        <v>0.94</v>
      </c>
      <c r="Z759" s="348">
        <f t="shared" si="112"/>
        <v>0.94</v>
      </c>
      <c r="AA759" s="348">
        <f t="shared" si="112"/>
        <v>0.94</v>
      </c>
      <c r="AB759" s="348">
        <f t="shared" si="112"/>
        <v>0.94</v>
      </c>
      <c r="AC759" s="76"/>
      <c r="AD759" s="76"/>
      <c r="AE759" s="76"/>
      <c r="AF759" s="97">
        <v>1</v>
      </c>
      <c r="AG759" s="97">
        <v>1</v>
      </c>
      <c r="AH759" s="73"/>
      <c r="AI759" s="57"/>
      <c r="AJ759" s="45"/>
      <c r="AK759" s="45"/>
      <c r="AL759" s="45"/>
    </row>
    <row r="760" spans="1:38" hidden="1" outlineLevel="2" x14ac:dyDescent="0.35">
      <c r="A760" s="45"/>
      <c r="B760" s="54"/>
      <c r="C760" s="47">
        <f t="shared" ref="C760:C771" si="113">INT($C$29)+2</f>
        <v>3</v>
      </c>
      <c r="D760" s="73"/>
      <c r="E760" s="70"/>
      <c r="F760" s="70" t="s">
        <v>1416</v>
      </c>
      <c r="G760" s="73"/>
      <c r="H760" s="76" t="s">
        <v>1417</v>
      </c>
      <c r="I760" s="96" t="s">
        <v>705</v>
      </c>
      <c r="J760" s="96" t="s">
        <v>1160</v>
      </c>
      <c r="K760" s="76"/>
      <c r="L760" s="76"/>
      <c r="M760" s="76"/>
      <c r="N760" s="76"/>
      <c r="O760" s="76"/>
      <c r="P760" s="76"/>
      <c r="Q760" s="76"/>
      <c r="R760" s="76"/>
      <c r="S760" s="76"/>
      <c r="T760" s="76"/>
      <c r="U760" s="97">
        <v>0</v>
      </c>
      <c r="V760" s="97">
        <v>0</v>
      </c>
      <c r="W760" s="97">
        <v>0</v>
      </c>
      <c r="X760" s="262">
        <f t="shared" ref="X760:AB771" si="114">W760</f>
        <v>0</v>
      </c>
      <c r="Y760" s="262">
        <f t="shared" si="114"/>
        <v>0</v>
      </c>
      <c r="Z760" s="262">
        <f t="shared" si="114"/>
        <v>0</v>
      </c>
      <c r="AA760" s="262">
        <f t="shared" si="114"/>
        <v>0</v>
      </c>
      <c r="AB760" s="262">
        <f t="shared" si="114"/>
        <v>0</v>
      </c>
      <c r="AC760" s="76"/>
      <c r="AD760" s="97" t="s">
        <v>1418</v>
      </c>
      <c r="AE760" s="76"/>
      <c r="AF760" s="97">
        <v>1</v>
      </c>
      <c r="AG760" s="97">
        <v>1</v>
      </c>
      <c r="AH760" s="73"/>
      <c r="AI760" s="57"/>
      <c r="AJ760" s="45"/>
      <c r="AK760" s="45"/>
      <c r="AL760" s="45"/>
    </row>
    <row r="761" spans="1:38" hidden="1" outlineLevel="2" x14ac:dyDescent="0.35">
      <c r="A761" s="45"/>
      <c r="B761" s="54"/>
      <c r="C761" s="47">
        <f t="shared" si="113"/>
        <v>3</v>
      </c>
      <c r="D761" s="73"/>
      <c r="E761" s="70"/>
      <c r="F761" s="70" t="s">
        <v>1419</v>
      </c>
      <c r="G761" s="73"/>
      <c r="H761" s="76" t="s">
        <v>1420</v>
      </c>
      <c r="I761" s="96" t="s">
        <v>705</v>
      </c>
      <c r="J761" s="96" t="s">
        <v>1160</v>
      </c>
      <c r="K761" s="76"/>
      <c r="L761" s="76"/>
      <c r="M761" s="76"/>
      <c r="N761" s="76"/>
      <c r="O761" s="76"/>
      <c r="P761" s="76"/>
      <c r="Q761" s="76"/>
      <c r="R761" s="76"/>
      <c r="S761" s="76"/>
      <c r="T761" s="76"/>
      <c r="U761" s="97">
        <v>-0.26400000000000001</v>
      </c>
      <c r="V761" s="97">
        <v>-0.26400000000000001</v>
      </c>
      <c r="W761" s="97">
        <v>-0.26400000000000001</v>
      </c>
      <c r="X761" s="262">
        <f t="shared" si="114"/>
        <v>-0.26400000000000001</v>
      </c>
      <c r="Y761" s="262">
        <f t="shared" si="114"/>
        <v>-0.26400000000000001</v>
      </c>
      <c r="Z761" s="262">
        <f t="shared" si="114"/>
        <v>-0.26400000000000001</v>
      </c>
      <c r="AA761" s="262">
        <f t="shared" si="114"/>
        <v>-0.26400000000000001</v>
      </c>
      <c r="AB761" s="262">
        <f t="shared" si="114"/>
        <v>-0.26400000000000001</v>
      </c>
      <c r="AC761" s="76"/>
      <c r="AD761" s="97" t="s">
        <v>1421</v>
      </c>
      <c r="AE761" s="76"/>
      <c r="AF761" s="97">
        <v>1</v>
      </c>
      <c r="AG761" s="97">
        <v>1</v>
      </c>
      <c r="AH761" s="73"/>
      <c r="AI761" s="57"/>
      <c r="AJ761" s="45"/>
      <c r="AK761" s="45"/>
      <c r="AL761" s="45"/>
    </row>
    <row r="762" spans="1:38" hidden="1" outlineLevel="2" x14ac:dyDescent="0.35">
      <c r="A762" s="45"/>
      <c r="B762" s="54"/>
      <c r="C762" s="47">
        <f t="shared" si="113"/>
        <v>3</v>
      </c>
      <c r="D762" s="73"/>
      <c r="E762" s="70"/>
      <c r="F762" s="70" t="s">
        <v>1422</v>
      </c>
      <c r="G762" s="73"/>
      <c r="H762" s="76" t="s">
        <v>1423</v>
      </c>
      <c r="I762" s="96" t="s">
        <v>705</v>
      </c>
      <c r="J762" s="96" t="s">
        <v>1160</v>
      </c>
      <c r="K762" s="76"/>
      <c r="L762" s="76"/>
      <c r="M762" s="76"/>
      <c r="N762" s="76"/>
      <c r="O762" s="76"/>
      <c r="P762" s="76"/>
      <c r="Q762" s="76"/>
      <c r="R762" s="76"/>
      <c r="S762" s="76"/>
      <c r="T762" s="76"/>
      <c r="U762" s="97">
        <v>-0.4</v>
      </c>
      <c r="V762" s="97">
        <v>-0.4</v>
      </c>
      <c r="W762" s="97">
        <v>-0.4</v>
      </c>
      <c r="X762" s="262">
        <f t="shared" si="114"/>
        <v>-0.4</v>
      </c>
      <c r="Y762" s="262">
        <f t="shared" si="114"/>
        <v>-0.4</v>
      </c>
      <c r="Z762" s="262">
        <f t="shared" si="114"/>
        <v>-0.4</v>
      </c>
      <c r="AA762" s="262">
        <f t="shared" si="114"/>
        <v>-0.4</v>
      </c>
      <c r="AB762" s="262">
        <f t="shared" si="114"/>
        <v>-0.4</v>
      </c>
      <c r="AC762" s="76"/>
      <c r="AD762" s="270" t="s">
        <v>1424</v>
      </c>
      <c r="AE762" s="76"/>
      <c r="AF762" s="97">
        <v>1</v>
      </c>
      <c r="AG762" s="97">
        <v>1</v>
      </c>
      <c r="AH762" s="73"/>
      <c r="AI762" s="57"/>
      <c r="AJ762" s="45"/>
      <c r="AK762" s="45"/>
      <c r="AL762" s="45"/>
    </row>
    <row r="763" spans="1:38" hidden="1" outlineLevel="2" x14ac:dyDescent="0.35">
      <c r="A763" s="45"/>
      <c r="B763" s="54"/>
      <c r="C763" s="47">
        <f t="shared" si="113"/>
        <v>3</v>
      </c>
      <c r="D763" s="73"/>
      <c r="E763" s="70"/>
      <c r="F763" s="70" t="s">
        <v>1425</v>
      </c>
      <c r="G763" s="73"/>
      <c r="H763" s="76" t="s">
        <v>1426</v>
      </c>
      <c r="I763" s="96" t="s">
        <v>705</v>
      </c>
      <c r="J763" s="96" t="s">
        <v>1160</v>
      </c>
      <c r="K763" s="76"/>
      <c r="L763" s="76"/>
      <c r="M763" s="76"/>
      <c r="N763" s="76"/>
      <c r="O763" s="76"/>
      <c r="P763" s="76"/>
      <c r="Q763" s="76"/>
      <c r="R763" s="76"/>
      <c r="S763" s="76"/>
      <c r="T763" s="76"/>
      <c r="U763" s="97">
        <v>-0.17799999999999999</v>
      </c>
      <c r="V763" s="97">
        <v>-0.17799999999999999</v>
      </c>
      <c r="W763" s="97">
        <v>-0.17799999999999999</v>
      </c>
      <c r="X763" s="262">
        <f t="shared" si="114"/>
        <v>-0.17799999999999999</v>
      </c>
      <c r="Y763" s="262">
        <f t="shared" si="114"/>
        <v>-0.17799999999999999</v>
      </c>
      <c r="Z763" s="262">
        <f t="shared" si="114"/>
        <v>-0.17799999999999999</v>
      </c>
      <c r="AA763" s="262">
        <f t="shared" si="114"/>
        <v>-0.17799999999999999</v>
      </c>
      <c r="AB763" s="262">
        <f t="shared" si="114"/>
        <v>-0.17799999999999999</v>
      </c>
      <c r="AC763" s="76"/>
      <c r="AD763" s="97" t="s">
        <v>1427</v>
      </c>
      <c r="AE763" s="76"/>
      <c r="AF763" s="97">
        <v>1</v>
      </c>
      <c r="AG763" s="97">
        <v>1</v>
      </c>
      <c r="AH763" s="73"/>
      <c r="AI763" s="57"/>
      <c r="AJ763" s="45"/>
      <c r="AK763" s="45"/>
      <c r="AL763" s="45"/>
    </row>
    <row r="764" spans="1:38" hidden="1" outlineLevel="2" x14ac:dyDescent="0.35">
      <c r="A764" s="45">
        <v>4</v>
      </c>
      <c r="B764" s="54"/>
      <c r="C764" s="47">
        <f t="shared" si="113"/>
        <v>3</v>
      </c>
      <c r="D764" s="73"/>
      <c r="E764" s="70"/>
      <c r="F764" s="70" t="s">
        <v>1428</v>
      </c>
      <c r="G764" s="73"/>
      <c r="H764" s="76" t="s">
        <v>1429</v>
      </c>
      <c r="I764" s="96" t="s">
        <v>705</v>
      </c>
      <c r="J764" s="96" t="s">
        <v>1160</v>
      </c>
      <c r="K764" s="76"/>
      <c r="L764" s="76"/>
      <c r="M764" s="76"/>
      <c r="N764" s="76"/>
      <c r="O764" s="76"/>
      <c r="P764" s="76"/>
      <c r="Q764" s="76"/>
      <c r="R764" s="76"/>
      <c r="S764" s="76"/>
      <c r="T764" s="76"/>
      <c r="U764" s="97">
        <v>-0.26400000000000001</v>
      </c>
      <c r="V764" s="97">
        <v>-0.26400000000000001</v>
      </c>
      <c r="W764" s="97">
        <v>-0.26400000000000001</v>
      </c>
      <c r="X764" s="262">
        <f t="shared" si="114"/>
        <v>-0.26400000000000001</v>
      </c>
      <c r="Y764" s="262">
        <f t="shared" si="114"/>
        <v>-0.26400000000000001</v>
      </c>
      <c r="Z764" s="262">
        <f t="shared" si="114"/>
        <v>-0.26400000000000001</v>
      </c>
      <c r="AA764" s="262">
        <f t="shared" si="114"/>
        <v>-0.26400000000000001</v>
      </c>
      <c r="AB764" s="262">
        <f t="shared" si="114"/>
        <v>-0.26400000000000001</v>
      </c>
      <c r="AC764" s="76"/>
      <c r="AD764" s="97"/>
      <c r="AE764" s="76"/>
      <c r="AF764" s="97">
        <v>1</v>
      </c>
      <c r="AG764" s="97">
        <v>1</v>
      </c>
      <c r="AH764" s="73"/>
      <c r="AI764" s="57"/>
      <c r="AJ764" s="45"/>
      <c r="AK764" s="45"/>
      <c r="AL764" s="45"/>
    </row>
    <row r="765" spans="1:38" hidden="1" outlineLevel="2" x14ac:dyDescent="0.35">
      <c r="A765" s="45">
        <f>A764</f>
        <v>4</v>
      </c>
      <c r="B765" s="54"/>
      <c r="C765" s="47">
        <f t="shared" si="113"/>
        <v>3</v>
      </c>
      <c r="D765" s="73"/>
      <c r="E765" s="70"/>
      <c r="F765" s="70" t="s">
        <v>1430</v>
      </c>
      <c r="G765" s="73"/>
      <c r="H765" s="76" t="s">
        <v>1431</v>
      </c>
      <c r="I765" s="96" t="s">
        <v>705</v>
      </c>
      <c r="J765" s="96" t="s">
        <v>1160</v>
      </c>
      <c r="K765" s="76"/>
      <c r="L765" s="76"/>
      <c r="M765" s="76"/>
      <c r="N765" s="76"/>
      <c r="O765" s="76"/>
      <c r="P765" s="76"/>
      <c r="Q765" s="76"/>
      <c r="R765" s="76"/>
      <c r="S765" s="76"/>
      <c r="T765" s="76"/>
      <c r="U765" s="97">
        <v>-0.17799999999999999</v>
      </c>
      <c r="V765" s="97">
        <v>-0.17799999999999999</v>
      </c>
      <c r="W765" s="97">
        <v>-0.17799999999999999</v>
      </c>
      <c r="X765" s="262">
        <f t="shared" si="114"/>
        <v>-0.17799999999999999</v>
      </c>
      <c r="Y765" s="262">
        <f t="shared" si="114"/>
        <v>-0.17799999999999999</v>
      </c>
      <c r="Z765" s="262">
        <f t="shared" si="114"/>
        <v>-0.17799999999999999</v>
      </c>
      <c r="AA765" s="262">
        <f t="shared" si="114"/>
        <v>-0.17799999999999999</v>
      </c>
      <c r="AB765" s="262">
        <f t="shared" si="114"/>
        <v>-0.17799999999999999</v>
      </c>
      <c r="AC765" s="76"/>
      <c r="AD765" s="97"/>
      <c r="AE765" s="76"/>
      <c r="AF765" s="97">
        <v>1</v>
      </c>
      <c r="AG765" s="97">
        <v>1</v>
      </c>
      <c r="AH765" s="73"/>
      <c r="AI765" s="57"/>
      <c r="AJ765" s="45"/>
      <c r="AK765" s="45"/>
      <c r="AL765" s="45"/>
    </row>
    <row r="766" spans="1:38" hidden="1" outlineLevel="2" x14ac:dyDescent="0.35">
      <c r="A766" s="45"/>
      <c r="B766" s="54"/>
      <c r="C766" s="47">
        <f t="shared" si="113"/>
        <v>3</v>
      </c>
      <c r="D766" s="73"/>
      <c r="E766" s="70"/>
      <c r="F766" s="70" t="s">
        <v>1432</v>
      </c>
      <c r="G766" s="73"/>
      <c r="H766" s="76" t="s">
        <v>1433</v>
      </c>
      <c r="I766" s="96" t="s">
        <v>1434</v>
      </c>
      <c r="J766" s="96" t="s">
        <v>1160</v>
      </c>
      <c r="K766" s="76"/>
      <c r="L766" s="76"/>
      <c r="M766" s="76"/>
      <c r="N766" s="76"/>
      <c r="O766" s="76"/>
      <c r="P766" s="76"/>
      <c r="Q766" s="76"/>
      <c r="R766" s="76"/>
      <c r="S766" s="76"/>
      <c r="T766" s="76"/>
      <c r="U766" s="97">
        <v>0</v>
      </c>
      <c r="V766" s="97">
        <v>0</v>
      </c>
      <c r="W766" s="97">
        <v>0</v>
      </c>
      <c r="X766" s="262">
        <f t="shared" si="114"/>
        <v>0</v>
      </c>
      <c r="Y766" s="262">
        <f t="shared" si="114"/>
        <v>0</v>
      </c>
      <c r="Z766" s="262">
        <f t="shared" si="114"/>
        <v>0</v>
      </c>
      <c r="AA766" s="262">
        <f t="shared" si="114"/>
        <v>0</v>
      </c>
      <c r="AB766" s="262">
        <f t="shared" si="114"/>
        <v>0</v>
      </c>
      <c r="AC766" s="76"/>
      <c r="AD766" s="97" t="s">
        <v>1418</v>
      </c>
      <c r="AE766" s="76"/>
      <c r="AF766" s="97">
        <v>1</v>
      </c>
      <c r="AG766" s="97">
        <v>1</v>
      </c>
      <c r="AH766" s="73"/>
      <c r="AI766" s="57"/>
      <c r="AJ766" s="45"/>
      <c r="AK766" s="45"/>
      <c r="AL766" s="45"/>
    </row>
    <row r="767" spans="1:38" hidden="1" outlineLevel="2" x14ac:dyDescent="0.35">
      <c r="A767" s="45"/>
      <c r="B767" s="54"/>
      <c r="C767" s="47">
        <f t="shared" si="113"/>
        <v>3</v>
      </c>
      <c r="D767" s="73"/>
      <c r="E767" s="70"/>
      <c r="F767" s="70" t="s">
        <v>1435</v>
      </c>
      <c r="G767" s="73"/>
      <c r="H767" s="76" t="s">
        <v>1436</v>
      </c>
      <c r="I767" s="96" t="s">
        <v>1434</v>
      </c>
      <c r="J767" s="96" t="s">
        <v>1160</v>
      </c>
      <c r="K767" s="76"/>
      <c r="L767" s="76"/>
      <c r="M767" s="76"/>
      <c r="N767" s="76"/>
      <c r="O767" s="76"/>
      <c r="P767" s="76"/>
      <c r="Q767" s="76"/>
      <c r="R767" s="76"/>
      <c r="S767" s="76"/>
      <c r="T767" s="76"/>
      <c r="U767" s="97">
        <v>0.43</v>
      </c>
      <c r="V767" s="97">
        <v>0.43</v>
      </c>
      <c r="W767" s="97">
        <v>0.43</v>
      </c>
      <c r="X767" s="262">
        <f t="shared" si="114"/>
        <v>0.43</v>
      </c>
      <c r="Y767" s="262">
        <f t="shared" si="114"/>
        <v>0.43</v>
      </c>
      <c r="Z767" s="262">
        <f t="shared" si="114"/>
        <v>0.43</v>
      </c>
      <c r="AA767" s="262">
        <f t="shared" si="114"/>
        <v>0.43</v>
      </c>
      <c r="AB767" s="262">
        <f t="shared" si="114"/>
        <v>0.43</v>
      </c>
      <c r="AC767" s="76"/>
      <c r="AD767" s="97" t="s">
        <v>1421</v>
      </c>
      <c r="AE767" s="76"/>
      <c r="AF767" s="97">
        <v>1</v>
      </c>
      <c r="AG767" s="97">
        <v>1</v>
      </c>
      <c r="AH767" s="73"/>
      <c r="AI767" s="57"/>
      <c r="AJ767" s="45"/>
      <c r="AK767" s="45"/>
      <c r="AL767" s="45"/>
    </row>
    <row r="768" spans="1:38" hidden="1" outlineLevel="2" x14ac:dyDescent="0.35">
      <c r="A768" s="45"/>
      <c r="B768" s="54"/>
      <c r="C768" s="47">
        <f t="shared" si="113"/>
        <v>3</v>
      </c>
      <c r="D768" s="73"/>
      <c r="E768" s="70"/>
      <c r="F768" s="70" t="s">
        <v>1437</v>
      </c>
      <c r="G768" s="73"/>
      <c r="H768" s="76" t="s">
        <v>1438</v>
      </c>
      <c r="I768" s="96" t="s">
        <v>1434</v>
      </c>
      <c r="J768" s="96" t="s">
        <v>1160</v>
      </c>
      <c r="K768" s="76"/>
      <c r="L768" s="76"/>
      <c r="M768" s="76"/>
      <c r="N768" s="76"/>
      <c r="O768" s="76"/>
      <c r="P768" s="76"/>
      <c r="Q768" s="76"/>
      <c r="R768" s="76"/>
      <c r="S768" s="76"/>
      <c r="T768" s="76"/>
      <c r="U768" s="97">
        <v>0.8</v>
      </c>
      <c r="V768" s="97">
        <v>0.8</v>
      </c>
      <c r="W768" s="97">
        <v>0.8</v>
      </c>
      <c r="X768" s="262">
        <f t="shared" si="114"/>
        <v>0.8</v>
      </c>
      <c r="Y768" s="262">
        <f t="shared" si="114"/>
        <v>0.8</v>
      </c>
      <c r="Z768" s="262">
        <f t="shared" si="114"/>
        <v>0.8</v>
      </c>
      <c r="AA768" s="262">
        <f t="shared" si="114"/>
        <v>0.8</v>
      </c>
      <c r="AB768" s="262">
        <f t="shared" si="114"/>
        <v>0.8</v>
      </c>
      <c r="AC768" s="76"/>
      <c r="AD768" s="270" t="s">
        <v>1424</v>
      </c>
      <c r="AE768" s="76"/>
      <c r="AF768" s="97">
        <v>1</v>
      </c>
      <c r="AG768" s="97">
        <v>1</v>
      </c>
      <c r="AH768" s="73"/>
      <c r="AI768" s="57"/>
      <c r="AJ768" s="45"/>
      <c r="AK768" s="45"/>
      <c r="AL768" s="45"/>
    </row>
    <row r="769" spans="1:38" hidden="1" outlineLevel="2" x14ac:dyDescent="0.35">
      <c r="A769" s="45"/>
      <c r="B769" s="54"/>
      <c r="C769" s="47">
        <f t="shared" si="113"/>
        <v>3</v>
      </c>
      <c r="D769" s="73"/>
      <c r="E769" s="70"/>
      <c r="F769" s="70" t="s">
        <v>1439</v>
      </c>
      <c r="G769" s="73"/>
      <c r="H769" s="76" t="s">
        <v>1440</v>
      </c>
      <c r="I769" s="96" t="s">
        <v>1434</v>
      </c>
      <c r="J769" s="96" t="s">
        <v>1160</v>
      </c>
      <c r="K769" s="76"/>
      <c r="L769" s="76"/>
      <c r="M769" s="76"/>
      <c r="N769" s="76"/>
      <c r="O769" s="76"/>
      <c r="P769" s="76"/>
      <c r="Q769" s="76"/>
      <c r="R769" s="76"/>
      <c r="S769" s="76"/>
      <c r="T769" s="76"/>
      <c r="U769" s="97">
        <v>8.9999999999999993E-3</v>
      </c>
      <c r="V769" s="97">
        <v>8.9999999999999993E-3</v>
      </c>
      <c r="W769" s="97">
        <v>8.9999999999999993E-3</v>
      </c>
      <c r="X769" s="262">
        <f t="shared" si="114"/>
        <v>8.9999999999999993E-3</v>
      </c>
      <c r="Y769" s="262">
        <f t="shared" si="114"/>
        <v>8.9999999999999993E-3</v>
      </c>
      <c r="Z769" s="262">
        <f t="shared" si="114"/>
        <v>8.9999999999999993E-3</v>
      </c>
      <c r="AA769" s="262">
        <f t="shared" si="114"/>
        <v>8.9999999999999993E-3</v>
      </c>
      <c r="AB769" s="262">
        <f t="shared" si="114"/>
        <v>8.9999999999999993E-3</v>
      </c>
      <c r="AC769" s="76"/>
      <c r="AD769" s="97" t="s">
        <v>1441</v>
      </c>
      <c r="AE769" s="76"/>
      <c r="AF769" s="97">
        <v>1</v>
      </c>
      <c r="AG769" s="97">
        <v>1</v>
      </c>
      <c r="AH769" s="73"/>
      <c r="AI769" s="57"/>
      <c r="AJ769" s="45"/>
      <c r="AK769" s="45"/>
      <c r="AL769" s="45"/>
    </row>
    <row r="770" spans="1:38" hidden="1" outlineLevel="2" x14ac:dyDescent="0.35">
      <c r="A770" s="45">
        <v>4</v>
      </c>
      <c r="B770" s="54"/>
      <c r="C770" s="47">
        <f t="shared" si="113"/>
        <v>3</v>
      </c>
      <c r="D770" s="73"/>
      <c r="E770" s="70"/>
      <c r="F770" s="70" t="s">
        <v>1442</v>
      </c>
      <c r="G770" s="73"/>
      <c r="H770" s="76" t="s">
        <v>1443</v>
      </c>
      <c r="I770" s="96" t="s">
        <v>1434</v>
      </c>
      <c r="J770" s="96" t="s">
        <v>1160</v>
      </c>
      <c r="K770" s="76"/>
      <c r="L770" s="76"/>
      <c r="M770" s="76"/>
      <c r="N770" s="76"/>
      <c r="O770" s="76"/>
      <c r="P770" s="76"/>
      <c r="Q770" s="76"/>
      <c r="R770" s="76"/>
      <c r="S770" s="76"/>
      <c r="T770" s="76"/>
      <c r="U770" s="97">
        <v>0.48199999999999998</v>
      </c>
      <c r="V770" s="97">
        <v>0.48199999999999998</v>
      </c>
      <c r="W770" s="97">
        <v>0.48199999999999998</v>
      </c>
      <c r="X770" s="262">
        <f t="shared" si="114"/>
        <v>0.48199999999999998</v>
      </c>
      <c r="Y770" s="262">
        <f t="shared" si="114"/>
        <v>0.48199999999999998</v>
      </c>
      <c r="Z770" s="262">
        <f t="shared" si="114"/>
        <v>0.48199999999999998</v>
      </c>
      <c r="AA770" s="262">
        <f t="shared" si="114"/>
        <v>0.48199999999999998</v>
      </c>
      <c r="AB770" s="262">
        <f t="shared" si="114"/>
        <v>0.48199999999999998</v>
      </c>
      <c r="AC770" s="76"/>
      <c r="AD770" s="97"/>
      <c r="AE770" s="76"/>
      <c r="AF770" s="97">
        <v>1</v>
      </c>
      <c r="AG770" s="97">
        <v>1</v>
      </c>
      <c r="AH770" s="73"/>
      <c r="AI770" s="57"/>
      <c r="AJ770" s="45"/>
      <c r="AK770" s="45"/>
      <c r="AL770" s="45"/>
    </row>
    <row r="771" spans="1:38" hidden="1" outlineLevel="2" collapsed="1" x14ac:dyDescent="0.35">
      <c r="A771" s="45">
        <f>A770</f>
        <v>4</v>
      </c>
      <c r="B771" s="54"/>
      <c r="C771" s="47">
        <f t="shared" si="113"/>
        <v>3</v>
      </c>
      <c r="D771" s="73"/>
      <c r="E771" s="70"/>
      <c r="F771" s="70" t="s">
        <v>1444</v>
      </c>
      <c r="G771" s="73"/>
      <c r="H771" s="76" t="s">
        <v>1445</v>
      </c>
      <c r="I771" s="96" t="s">
        <v>1434</v>
      </c>
      <c r="J771" s="96" t="s">
        <v>1160</v>
      </c>
      <c r="K771" s="76"/>
      <c r="L771" s="76"/>
      <c r="M771" s="76"/>
      <c r="N771" s="76"/>
      <c r="O771" s="76"/>
      <c r="P771" s="76"/>
      <c r="Q771" s="76"/>
      <c r="R771" s="76"/>
      <c r="S771" s="76"/>
      <c r="T771" s="76"/>
      <c r="U771" s="97">
        <v>0.128</v>
      </c>
      <c r="V771" s="97">
        <v>0.128</v>
      </c>
      <c r="W771" s="97">
        <v>0.128</v>
      </c>
      <c r="X771" s="262">
        <f t="shared" si="114"/>
        <v>0.128</v>
      </c>
      <c r="Y771" s="262">
        <f t="shared" si="114"/>
        <v>0.128</v>
      </c>
      <c r="Z771" s="262">
        <f t="shared" si="114"/>
        <v>0.128</v>
      </c>
      <c r="AA771" s="262">
        <f t="shared" si="114"/>
        <v>0.128</v>
      </c>
      <c r="AB771" s="262">
        <f t="shared" si="114"/>
        <v>0.128</v>
      </c>
      <c r="AC771" s="76"/>
      <c r="AD771" s="97"/>
      <c r="AE771" s="76"/>
      <c r="AF771" s="97">
        <v>1</v>
      </c>
      <c r="AG771" s="97">
        <v>1</v>
      </c>
      <c r="AH771" s="73"/>
      <c r="AI771" s="57"/>
      <c r="AJ771" s="45"/>
      <c r="AK771" s="45"/>
      <c r="AL771" s="45"/>
    </row>
    <row r="772" spans="1:38" hidden="1" outlineLevel="3" x14ac:dyDescent="0.35">
      <c r="A772" s="45"/>
      <c r="B772" s="54"/>
      <c r="C772" s="47">
        <f t="shared" si="109"/>
        <v>4</v>
      </c>
      <c r="D772" s="73"/>
      <c r="E772" s="70"/>
      <c r="F772" s="70" t="s">
        <v>1446</v>
      </c>
      <c r="G772" s="73"/>
      <c r="H772" s="76" t="s">
        <v>616</v>
      </c>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35">
      <c r="A773" s="45"/>
      <c r="B773" s="54"/>
      <c r="C773" s="47">
        <f t="shared" si="109"/>
        <v>4</v>
      </c>
      <c r="D773" s="73"/>
      <c r="E773" s="70"/>
      <c r="F773" s="70" t="s">
        <v>1447</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3" x14ac:dyDescent="0.35">
      <c r="A774" s="45"/>
      <c r="B774" s="54"/>
      <c r="C774" s="47">
        <f t="shared" si="109"/>
        <v>4</v>
      </c>
      <c r="D774" s="73"/>
      <c r="E774" s="70"/>
      <c r="F774" s="70" t="s">
        <v>1448</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3" x14ac:dyDescent="0.35">
      <c r="A775" s="45"/>
      <c r="B775" s="54"/>
      <c r="C775" s="47">
        <f t="shared" si="109"/>
        <v>4</v>
      </c>
      <c r="D775" s="73"/>
      <c r="E775" s="70"/>
      <c r="F775" s="70" t="s">
        <v>1449</v>
      </c>
      <c r="G775" s="73"/>
      <c r="H775" s="76"/>
      <c r="I775" s="96"/>
      <c r="J775" s="96"/>
      <c r="K775" s="76"/>
      <c r="L775" s="76"/>
      <c r="M775" s="76"/>
      <c r="N775" s="76"/>
      <c r="O775" s="76"/>
      <c r="P775" s="76"/>
      <c r="Q775" s="76"/>
      <c r="R775" s="76"/>
      <c r="S775" s="76"/>
      <c r="T775" s="76"/>
      <c r="U775" s="76"/>
      <c r="V775" s="76"/>
      <c r="W775" s="76"/>
      <c r="X775" s="76"/>
      <c r="Y775" s="76"/>
      <c r="Z775" s="76"/>
      <c r="AA775" s="76"/>
      <c r="AB775" s="76"/>
      <c r="AC775" s="76"/>
      <c r="AD775" s="76"/>
      <c r="AE775" s="76"/>
      <c r="AF775" s="76">
        <v>1</v>
      </c>
      <c r="AG775" s="76">
        <v>1</v>
      </c>
      <c r="AH775" s="73"/>
      <c r="AI775" s="57"/>
      <c r="AJ775" s="45"/>
      <c r="AK775" s="45"/>
      <c r="AL775" s="45"/>
    </row>
    <row r="776" spans="1:38" hidden="1" outlineLevel="3" x14ac:dyDescent="0.35">
      <c r="A776" s="45">
        <v>4</v>
      </c>
      <c r="B776" s="54"/>
      <c r="C776" s="47">
        <f t="shared" si="109"/>
        <v>4</v>
      </c>
      <c r="D776" s="73"/>
      <c r="E776" s="70"/>
      <c r="F776" s="70" t="s">
        <v>1450</v>
      </c>
      <c r="G776" s="73"/>
      <c r="H776" s="76"/>
      <c r="I776" s="96"/>
      <c r="J776" s="96"/>
      <c r="K776" s="76"/>
      <c r="L776" s="76"/>
      <c r="M776" s="76"/>
      <c r="N776" s="76"/>
      <c r="O776" s="76"/>
      <c r="P776" s="76"/>
      <c r="Q776" s="76"/>
      <c r="R776" s="76"/>
      <c r="S776" s="76"/>
      <c r="T776" s="76"/>
      <c r="U776" s="76"/>
      <c r="V776" s="76"/>
      <c r="W776" s="76"/>
      <c r="X776" s="76"/>
      <c r="Y776" s="76"/>
      <c r="Z776" s="76"/>
      <c r="AA776" s="76"/>
      <c r="AB776" s="76"/>
      <c r="AC776" s="76"/>
      <c r="AD776" s="76"/>
      <c r="AE776" s="76"/>
      <c r="AF776" s="76">
        <v>1</v>
      </c>
      <c r="AG776" s="76">
        <v>1</v>
      </c>
      <c r="AH776" s="73"/>
      <c r="AI776" s="57"/>
      <c r="AJ776" s="45"/>
      <c r="AK776" s="45"/>
      <c r="AL776" s="45"/>
    </row>
    <row r="777" spans="1:38" hidden="1" outlineLevel="3" x14ac:dyDescent="0.35">
      <c r="A777" s="45">
        <f>A776</f>
        <v>4</v>
      </c>
      <c r="B777" s="54"/>
      <c r="C777" s="47">
        <f t="shared" si="109"/>
        <v>4</v>
      </c>
      <c r="D777" s="73"/>
      <c r="E777" s="70"/>
      <c r="F777" s="70" t="s">
        <v>1451</v>
      </c>
      <c r="G777" s="73"/>
      <c r="H777" s="76"/>
      <c r="I777" s="96"/>
      <c r="J777" s="96"/>
      <c r="K777" s="76"/>
      <c r="L777" s="76"/>
      <c r="M777" s="76"/>
      <c r="N777" s="76"/>
      <c r="O777" s="76"/>
      <c r="P777" s="76"/>
      <c r="Q777" s="76"/>
      <c r="R777" s="76"/>
      <c r="S777" s="76"/>
      <c r="T777" s="76"/>
      <c r="U777" s="76"/>
      <c r="V777" s="76"/>
      <c r="W777" s="76"/>
      <c r="X777" s="76"/>
      <c r="Y777" s="76"/>
      <c r="Z777" s="76"/>
      <c r="AA777" s="76"/>
      <c r="AB777" s="76"/>
      <c r="AC777" s="76"/>
      <c r="AD777" s="76"/>
      <c r="AE777" s="76"/>
      <c r="AF777" s="76">
        <v>1</v>
      </c>
      <c r="AG777" s="76">
        <v>1</v>
      </c>
      <c r="AH777" s="73"/>
      <c r="AI777" s="57"/>
      <c r="AJ777" s="45"/>
      <c r="AK777" s="45"/>
      <c r="AL777" s="45"/>
    </row>
    <row r="778" spans="1:38" hidden="1" outlineLevel="2" x14ac:dyDescent="0.35">
      <c r="A778" s="45"/>
      <c r="B778" s="54"/>
      <c r="C778" s="47">
        <f t="shared" ref="C778:C801" si="115">INT($C$29)+2</f>
        <v>3</v>
      </c>
      <c r="D778" s="73"/>
      <c r="E778" s="70"/>
      <c r="F778" s="70" t="s">
        <v>1452</v>
      </c>
      <c r="G778" s="73"/>
      <c r="H778" s="76" t="s">
        <v>1453</v>
      </c>
      <c r="I778" s="96"/>
      <c r="J778" s="96" t="s">
        <v>1188</v>
      </c>
      <c r="K778" s="76"/>
      <c r="L778" s="76"/>
      <c r="M778" s="76"/>
      <c r="N778" s="76"/>
      <c r="O778" s="76"/>
      <c r="P778" s="76"/>
      <c r="Q778" s="76"/>
      <c r="R778" s="76"/>
      <c r="S778" s="76"/>
      <c r="T778" s="76"/>
      <c r="U778" s="268">
        <f>U$864</f>
        <v>0.1</v>
      </c>
      <c r="V778" s="268">
        <f t="shared" ref="V778:AB778" si="116">V$864</f>
        <v>0.1</v>
      </c>
      <c r="W778" s="268">
        <f t="shared" si="116"/>
        <v>0.1</v>
      </c>
      <c r="X778" s="268">
        <f t="shared" si="116"/>
        <v>0.1</v>
      </c>
      <c r="Y778" s="268">
        <f t="shared" si="116"/>
        <v>0.1</v>
      </c>
      <c r="Z778" s="268">
        <f t="shared" si="116"/>
        <v>0.1</v>
      </c>
      <c r="AA778" s="268">
        <f t="shared" si="116"/>
        <v>0.1</v>
      </c>
      <c r="AB778" s="268">
        <f t="shared" si="116"/>
        <v>0.1</v>
      </c>
      <c r="AC778" s="76"/>
      <c r="AD778" s="76" t="s">
        <v>1387</v>
      </c>
      <c r="AE778" s="76"/>
      <c r="AF778" s="268">
        <f>AF$864</f>
        <v>1</v>
      </c>
      <c r="AG778" s="268">
        <f>AG$864</f>
        <v>1</v>
      </c>
      <c r="AH778" s="73"/>
      <c r="AI778" s="57"/>
      <c r="AJ778" s="45"/>
      <c r="AK778" s="45"/>
      <c r="AL778" s="45"/>
    </row>
    <row r="779" spans="1:38" hidden="1" outlineLevel="2" x14ac:dyDescent="0.35">
      <c r="A779" s="45"/>
      <c r="B779" s="54"/>
      <c r="C779" s="47">
        <f t="shared" si="115"/>
        <v>3</v>
      </c>
      <c r="D779" s="73"/>
      <c r="E779" s="70"/>
      <c r="F779" s="70" t="s">
        <v>1454</v>
      </c>
      <c r="G779" s="73"/>
      <c r="H779" s="76" t="s">
        <v>1455</v>
      </c>
      <c r="I779" s="96"/>
      <c r="J779" s="96" t="s">
        <v>1188</v>
      </c>
      <c r="K779" s="76"/>
      <c r="L779" s="76"/>
      <c r="M779" s="76"/>
      <c r="N779" s="76"/>
      <c r="O779" s="76"/>
      <c r="P779" s="76"/>
      <c r="Q779" s="76"/>
      <c r="R779" s="76"/>
      <c r="S779" s="76"/>
      <c r="T779" s="76"/>
      <c r="U779" s="268">
        <f>U$865</f>
        <v>8.5000000000000006E-2</v>
      </c>
      <c r="V779" s="268">
        <f t="shared" ref="V779:AB779" si="117">V$865</f>
        <v>8.5000000000000006E-2</v>
      </c>
      <c r="W779" s="268">
        <f t="shared" si="117"/>
        <v>8.5000000000000006E-2</v>
      </c>
      <c r="X779" s="268">
        <f t="shared" si="117"/>
        <v>8.5000000000000006E-2</v>
      </c>
      <c r="Y779" s="268">
        <f t="shared" si="117"/>
        <v>8.5000000000000006E-2</v>
      </c>
      <c r="Z779" s="268">
        <f t="shared" si="117"/>
        <v>8.5000000000000006E-2</v>
      </c>
      <c r="AA779" s="268">
        <f t="shared" si="117"/>
        <v>8.5000000000000006E-2</v>
      </c>
      <c r="AB779" s="268">
        <f t="shared" si="117"/>
        <v>8.5000000000000006E-2</v>
      </c>
      <c r="AC779" s="76"/>
      <c r="AD779" s="76"/>
      <c r="AE779" s="76"/>
      <c r="AF779" s="268">
        <f>AF$865</f>
        <v>1</v>
      </c>
      <c r="AG779" s="268">
        <f>AG$865</f>
        <v>1</v>
      </c>
      <c r="AH779" s="73"/>
      <c r="AI779" s="57"/>
      <c r="AJ779" s="45"/>
      <c r="AK779" s="45"/>
      <c r="AL779" s="45"/>
    </row>
    <row r="780" spans="1:38" hidden="1" outlineLevel="2" x14ac:dyDescent="0.35">
      <c r="A780" s="45"/>
      <c r="B780" s="54"/>
      <c r="C780" s="47">
        <f t="shared" si="115"/>
        <v>3</v>
      </c>
      <c r="D780" s="73"/>
      <c r="E780" s="70"/>
      <c r="F780" s="70" t="s">
        <v>1456</v>
      </c>
      <c r="G780" s="73"/>
      <c r="H780" s="76" t="s">
        <v>1457</v>
      </c>
      <c r="I780" s="96"/>
      <c r="J780" s="96" t="s">
        <v>1188</v>
      </c>
      <c r="K780" s="76"/>
      <c r="L780" s="76"/>
      <c r="M780" s="76"/>
      <c r="N780" s="76"/>
      <c r="O780" s="76"/>
      <c r="P780" s="76"/>
      <c r="Q780" s="76"/>
      <c r="R780" s="76"/>
      <c r="S780" s="76"/>
      <c r="T780" s="76"/>
      <c r="U780" s="268">
        <f>U$866</f>
        <v>7.0000000000000007E-2</v>
      </c>
      <c r="V780" s="268">
        <f t="shared" ref="V780:AB780" si="118">V$866</f>
        <v>7.0000000000000007E-2</v>
      </c>
      <c r="W780" s="268">
        <f t="shared" si="118"/>
        <v>7.0000000000000007E-2</v>
      </c>
      <c r="X780" s="268">
        <f t="shared" si="118"/>
        <v>7.0000000000000007E-2</v>
      </c>
      <c r="Y780" s="268">
        <f t="shared" si="118"/>
        <v>7.0000000000000007E-2</v>
      </c>
      <c r="Z780" s="268">
        <f t="shared" si="118"/>
        <v>7.0000000000000007E-2</v>
      </c>
      <c r="AA780" s="268">
        <f t="shared" si="118"/>
        <v>7.0000000000000007E-2</v>
      </c>
      <c r="AB780" s="268">
        <f t="shared" si="118"/>
        <v>7.0000000000000007E-2</v>
      </c>
      <c r="AC780" s="76"/>
      <c r="AD780" s="76"/>
      <c r="AE780" s="76"/>
      <c r="AF780" s="268">
        <f>AF$866</f>
        <v>1</v>
      </c>
      <c r="AG780" s="268">
        <f>AG$866</f>
        <v>1</v>
      </c>
      <c r="AH780" s="73"/>
      <c r="AI780" s="57"/>
      <c r="AJ780" s="45"/>
      <c r="AK780" s="45"/>
      <c r="AL780" s="45"/>
    </row>
    <row r="781" spans="1:38" hidden="1" outlineLevel="2" x14ac:dyDescent="0.35">
      <c r="A781" s="45"/>
      <c r="B781" s="54"/>
      <c r="C781" s="47">
        <f t="shared" si="115"/>
        <v>3</v>
      </c>
      <c r="D781" s="73"/>
      <c r="E781" s="70"/>
      <c r="F781" s="70" t="s">
        <v>1458</v>
      </c>
      <c r="G781" s="73"/>
      <c r="H781" s="76" t="s">
        <v>1459</v>
      </c>
      <c r="I781" s="96"/>
      <c r="J781" s="96" t="s">
        <v>1188</v>
      </c>
      <c r="K781" s="76"/>
      <c r="L781" s="76"/>
      <c r="M781" s="76"/>
      <c r="N781" s="76"/>
      <c r="O781" s="76"/>
      <c r="P781" s="76"/>
      <c r="Q781" s="76"/>
      <c r="R781" s="76"/>
      <c r="S781" s="76"/>
      <c r="T781" s="76"/>
      <c r="U781" s="268">
        <f>U$865</f>
        <v>8.5000000000000006E-2</v>
      </c>
      <c r="V781" s="268">
        <f t="shared" ref="V781:AB781" si="119">V$865</f>
        <v>8.5000000000000006E-2</v>
      </c>
      <c r="W781" s="268">
        <f t="shared" si="119"/>
        <v>8.5000000000000006E-2</v>
      </c>
      <c r="X781" s="268">
        <f t="shared" si="119"/>
        <v>8.5000000000000006E-2</v>
      </c>
      <c r="Y781" s="268">
        <f t="shared" si="119"/>
        <v>8.5000000000000006E-2</v>
      </c>
      <c r="Z781" s="268">
        <f t="shared" si="119"/>
        <v>8.5000000000000006E-2</v>
      </c>
      <c r="AA781" s="268">
        <f t="shared" si="119"/>
        <v>8.5000000000000006E-2</v>
      </c>
      <c r="AB781" s="268">
        <f t="shared" si="119"/>
        <v>8.5000000000000006E-2</v>
      </c>
      <c r="AC781" s="76"/>
      <c r="AD781" s="76"/>
      <c r="AE781" s="76"/>
      <c r="AF781" s="268">
        <f>AF$865</f>
        <v>1</v>
      </c>
      <c r="AG781" s="268">
        <f>AG$865</f>
        <v>1</v>
      </c>
      <c r="AH781" s="73"/>
      <c r="AI781" s="57"/>
      <c r="AJ781" s="45"/>
      <c r="AK781" s="45"/>
      <c r="AL781" s="45"/>
    </row>
    <row r="782" spans="1:38" hidden="1" outlineLevel="2" x14ac:dyDescent="0.35">
      <c r="A782" s="45">
        <v>4</v>
      </c>
      <c r="B782" s="54"/>
      <c r="C782" s="47">
        <f t="shared" si="115"/>
        <v>3</v>
      </c>
      <c r="D782" s="73"/>
      <c r="E782" s="70"/>
      <c r="F782" s="70" t="s">
        <v>1460</v>
      </c>
      <c r="G782" s="73"/>
      <c r="H782" s="76" t="s">
        <v>1461</v>
      </c>
      <c r="I782" s="96"/>
      <c r="J782" s="96" t="s">
        <v>1188</v>
      </c>
      <c r="K782" s="76"/>
      <c r="L782" s="76"/>
      <c r="M782" s="76"/>
      <c r="N782" s="76"/>
      <c r="O782" s="76"/>
      <c r="P782" s="76"/>
      <c r="Q782" s="76"/>
      <c r="R782" s="76"/>
      <c r="S782" s="76"/>
      <c r="T782" s="76"/>
      <c r="U782" s="268">
        <f>U$866</f>
        <v>7.0000000000000007E-2</v>
      </c>
      <c r="V782" s="268">
        <f t="shared" ref="V782:AB783" si="120">V$866</f>
        <v>7.0000000000000007E-2</v>
      </c>
      <c r="W782" s="268">
        <f t="shared" si="120"/>
        <v>7.0000000000000007E-2</v>
      </c>
      <c r="X782" s="268">
        <f t="shared" si="120"/>
        <v>7.0000000000000007E-2</v>
      </c>
      <c r="Y782" s="268">
        <f t="shared" si="120"/>
        <v>7.0000000000000007E-2</v>
      </c>
      <c r="Z782" s="268">
        <f t="shared" si="120"/>
        <v>7.0000000000000007E-2</v>
      </c>
      <c r="AA782" s="268">
        <f t="shared" si="120"/>
        <v>7.0000000000000007E-2</v>
      </c>
      <c r="AB782" s="268">
        <f t="shared" si="120"/>
        <v>7.0000000000000007E-2</v>
      </c>
      <c r="AC782" s="76"/>
      <c r="AD782" s="76"/>
      <c r="AE782" s="76"/>
      <c r="AF782" s="268">
        <f>AF$866</f>
        <v>1</v>
      </c>
      <c r="AG782" s="268">
        <f>AG$866</f>
        <v>1</v>
      </c>
      <c r="AH782" s="73"/>
      <c r="AI782" s="57"/>
      <c r="AJ782" s="45"/>
      <c r="AK782" s="45"/>
      <c r="AL782" s="45"/>
    </row>
    <row r="783" spans="1:38" hidden="1" outlineLevel="2" x14ac:dyDescent="0.35">
      <c r="A783" s="45">
        <f>A782</f>
        <v>4</v>
      </c>
      <c r="B783" s="54"/>
      <c r="C783" s="47">
        <f t="shared" si="115"/>
        <v>3</v>
      </c>
      <c r="D783" s="73"/>
      <c r="E783" s="70"/>
      <c r="F783" s="70" t="s">
        <v>1462</v>
      </c>
      <c r="G783" s="73"/>
      <c r="H783" s="76" t="s">
        <v>1463</v>
      </c>
      <c r="I783" s="96"/>
      <c r="J783" s="96" t="s">
        <v>1188</v>
      </c>
      <c r="K783" s="76"/>
      <c r="L783" s="76"/>
      <c r="M783" s="76"/>
      <c r="N783" s="76"/>
      <c r="O783" s="76"/>
      <c r="P783" s="76"/>
      <c r="Q783" s="76"/>
      <c r="R783" s="76"/>
      <c r="S783" s="76"/>
      <c r="T783" s="76"/>
      <c r="U783" s="268">
        <f>U$866</f>
        <v>7.0000000000000007E-2</v>
      </c>
      <c r="V783" s="268">
        <f t="shared" si="120"/>
        <v>7.0000000000000007E-2</v>
      </c>
      <c r="W783" s="268">
        <f t="shared" si="120"/>
        <v>7.0000000000000007E-2</v>
      </c>
      <c r="X783" s="268">
        <f t="shared" si="120"/>
        <v>7.0000000000000007E-2</v>
      </c>
      <c r="Y783" s="268">
        <f t="shared" si="120"/>
        <v>7.0000000000000007E-2</v>
      </c>
      <c r="Z783" s="268">
        <f t="shared" si="120"/>
        <v>7.0000000000000007E-2</v>
      </c>
      <c r="AA783" s="268">
        <f t="shared" si="120"/>
        <v>7.0000000000000007E-2</v>
      </c>
      <c r="AB783" s="268">
        <f t="shared" si="120"/>
        <v>7.0000000000000007E-2</v>
      </c>
      <c r="AC783" s="76"/>
      <c r="AD783" s="76"/>
      <c r="AE783" s="76"/>
      <c r="AF783" s="268">
        <f>AF$866</f>
        <v>1</v>
      </c>
      <c r="AG783" s="268">
        <f>AG$866</f>
        <v>1</v>
      </c>
      <c r="AH783" s="73"/>
      <c r="AI783" s="57"/>
      <c r="AJ783" s="45"/>
      <c r="AK783" s="45"/>
      <c r="AL783" s="45"/>
    </row>
    <row r="784" spans="1:38" hidden="1" outlineLevel="2" x14ac:dyDescent="0.35">
      <c r="A784" s="45"/>
      <c r="B784" s="54"/>
      <c r="C784" s="47">
        <f t="shared" si="115"/>
        <v>3</v>
      </c>
      <c r="D784" s="73"/>
      <c r="E784" s="70"/>
      <c r="F784" s="70" t="s">
        <v>1464</v>
      </c>
      <c r="G784" s="73"/>
      <c r="H784" s="76" t="s">
        <v>1465</v>
      </c>
      <c r="I784" s="96" t="s">
        <v>705</v>
      </c>
      <c r="J784" s="96" t="s">
        <v>1160</v>
      </c>
      <c r="K784" s="76"/>
      <c r="L784" s="76"/>
      <c r="M784" s="76"/>
      <c r="N784" s="76"/>
      <c r="O784" s="76"/>
      <c r="P784" s="76"/>
      <c r="Q784" s="76"/>
      <c r="R784" s="76"/>
      <c r="S784" s="76"/>
      <c r="T784" s="76"/>
      <c r="U784" s="268">
        <f>U$868</f>
        <v>0</v>
      </c>
      <c r="V784" s="268">
        <f t="shared" ref="V784:AB784" si="121">V$868</f>
        <v>0</v>
      </c>
      <c r="W784" s="268">
        <f t="shared" si="121"/>
        <v>0</v>
      </c>
      <c r="X784" s="268">
        <f t="shared" si="121"/>
        <v>0</v>
      </c>
      <c r="Y784" s="268">
        <f t="shared" si="121"/>
        <v>0</v>
      </c>
      <c r="Z784" s="268">
        <f t="shared" si="121"/>
        <v>0</v>
      </c>
      <c r="AA784" s="268">
        <f t="shared" si="121"/>
        <v>0</v>
      </c>
      <c r="AB784" s="268">
        <f t="shared" si="121"/>
        <v>0</v>
      </c>
      <c r="AC784" s="76"/>
      <c r="AD784" s="76" t="s">
        <v>1387</v>
      </c>
      <c r="AE784" s="76"/>
      <c r="AF784" s="268">
        <f>AF$868</f>
        <v>1</v>
      </c>
      <c r="AG784" s="268">
        <f>AG$868</f>
        <v>1</v>
      </c>
      <c r="AH784" s="73"/>
      <c r="AI784" s="57"/>
      <c r="AJ784" s="45"/>
      <c r="AK784" s="45"/>
      <c r="AL784" s="45"/>
    </row>
    <row r="785" spans="1:38" hidden="1" outlineLevel="2" x14ac:dyDescent="0.35">
      <c r="A785" s="45"/>
      <c r="B785" s="54"/>
      <c r="C785" s="47">
        <f t="shared" si="115"/>
        <v>3</v>
      </c>
      <c r="D785" s="73"/>
      <c r="E785" s="70"/>
      <c r="F785" s="70" t="s">
        <v>1466</v>
      </c>
      <c r="G785" s="73"/>
      <c r="H785" s="76" t="s">
        <v>1467</v>
      </c>
      <c r="I785" s="96" t="s">
        <v>705</v>
      </c>
      <c r="J785" s="96" t="s">
        <v>1160</v>
      </c>
      <c r="K785" s="76"/>
      <c r="L785" s="76"/>
      <c r="M785" s="76"/>
      <c r="N785" s="76"/>
      <c r="O785" s="76"/>
      <c r="P785" s="76"/>
      <c r="Q785" s="76"/>
      <c r="R785" s="76"/>
      <c r="S785" s="76"/>
      <c r="T785" s="76"/>
      <c r="U785" s="268">
        <f>U$869</f>
        <v>-0.95650000000000002</v>
      </c>
      <c r="V785" s="268">
        <f t="shared" ref="V785:AB785" si="122">V$869</f>
        <v>-0.95650000000000002</v>
      </c>
      <c r="W785" s="268">
        <f t="shared" si="122"/>
        <v>-0.95650000000000002</v>
      </c>
      <c r="X785" s="268">
        <f t="shared" si="122"/>
        <v>-0.95650000000000002</v>
      </c>
      <c r="Y785" s="268">
        <f t="shared" si="122"/>
        <v>-1.0820000000000001</v>
      </c>
      <c r="Z785" s="268">
        <f t="shared" si="122"/>
        <v>-1.0820000000000001</v>
      </c>
      <c r="AA785" s="268">
        <f t="shared" si="122"/>
        <v>-1.0820000000000001</v>
      </c>
      <c r="AB785" s="268">
        <f t="shared" si="122"/>
        <v>-1.0820000000000001</v>
      </c>
      <c r="AC785" s="76"/>
      <c r="AD785" s="76"/>
      <c r="AE785" s="76"/>
      <c r="AF785" s="268">
        <f>AF$869</f>
        <v>1</v>
      </c>
      <c r="AG785" s="268">
        <f>AG$869</f>
        <v>1</v>
      </c>
      <c r="AH785" s="73"/>
      <c r="AI785" s="57"/>
      <c r="AJ785" s="45"/>
      <c r="AK785" s="45"/>
      <c r="AL785" s="45"/>
    </row>
    <row r="786" spans="1:38" hidden="1" outlineLevel="2" x14ac:dyDescent="0.35">
      <c r="A786" s="45"/>
      <c r="B786" s="54"/>
      <c r="C786" s="47">
        <f t="shared" si="115"/>
        <v>3</v>
      </c>
      <c r="D786" s="73"/>
      <c r="E786" s="70"/>
      <c r="F786" s="70" t="s">
        <v>1468</v>
      </c>
      <c r="G786" s="73"/>
      <c r="H786" s="76" t="s">
        <v>1469</v>
      </c>
      <c r="I786" s="96" t="s">
        <v>705</v>
      </c>
      <c r="J786" s="96" t="s">
        <v>1160</v>
      </c>
      <c r="K786" s="76"/>
      <c r="L786" s="76"/>
      <c r="M786" s="76"/>
      <c r="N786" s="76"/>
      <c r="O786" s="76"/>
      <c r="P786" s="76"/>
      <c r="Q786" s="76"/>
      <c r="R786" s="76"/>
      <c r="S786" s="76"/>
      <c r="T786" s="76"/>
      <c r="U786" s="268">
        <f>U$870</f>
        <v>-1.7614000000000001</v>
      </c>
      <c r="V786" s="268">
        <f t="shared" ref="V786:AB786" si="123">V$870</f>
        <v>-1.7614000000000001</v>
      </c>
      <c r="W786" s="268">
        <f t="shared" si="123"/>
        <v>-1.7614000000000001</v>
      </c>
      <c r="X786" s="268">
        <f t="shared" si="123"/>
        <v>-1.7614000000000001</v>
      </c>
      <c r="Y786" s="268">
        <f t="shared" si="123"/>
        <v>-2.0059999999999998</v>
      </c>
      <c r="Z786" s="268">
        <f t="shared" si="123"/>
        <v>-2.0059999999999998</v>
      </c>
      <c r="AA786" s="268">
        <f t="shared" si="123"/>
        <v>-2.0059999999999998</v>
      </c>
      <c r="AB786" s="268">
        <f t="shared" si="123"/>
        <v>-2.0059999999999998</v>
      </c>
      <c r="AC786" s="76"/>
      <c r="AD786" s="76"/>
      <c r="AE786" s="76"/>
      <c r="AF786" s="268">
        <f>AF$870</f>
        <v>1</v>
      </c>
      <c r="AG786" s="268">
        <f>AG$870</f>
        <v>1</v>
      </c>
      <c r="AH786" s="73"/>
      <c r="AI786" s="57"/>
      <c r="AJ786" s="45"/>
      <c r="AK786" s="45"/>
      <c r="AL786" s="45"/>
    </row>
    <row r="787" spans="1:38" hidden="1" outlineLevel="2" x14ac:dyDescent="0.35">
      <c r="A787" s="45"/>
      <c r="B787" s="54"/>
      <c r="C787" s="47">
        <f t="shared" si="115"/>
        <v>3</v>
      </c>
      <c r="D787" s="73"/>
      <c r="E787" s="70"/>
      <c r="F787" s="70" t="s">
        <v>1470</v>
      </c>
      <c r="G787" s="73"/>
      <c r="H787" s="76" t="s">
        <v>1471</v>
      </c>
      <c r="I787" s="96" t="s">
        <v>705</v>
      </c>
      <c r="J787" s="96" t="s">
        <v>1160</v>
      </c>
      <c r="K787" s="76"/>
      <c r="L787" s="76"/>
      <c r="M787" s="76"/>
      <c r="N787" s="76"/>
      <c r="O787" s="76"/>
      <c r="P787" s="76"/>
      <c r="Q787" s="76"/>
      <c r="R787" s="76"/>
      <c r="S787" s="76"/>
      <c r="T787" s="76"/>
      <c r="U787" s="268">
        <f>U$869</f>
        <v>-0.95650000000000002</v>
      </c>
      <c r="V787" s="268">
        <f t="shared" ref="V787:AB787" si="124">V$869</f>
        <v>-0.95650000000000002</v>
      </c>
      <c r="W787" s="268">
        <f t="shared" si="124"/>
        <v>-0.95650000000000002</v>
      </c>
      <c r="X787" s="268">
        <f t="shared" si="124"/>
        <v>-0.95650000000000002</v>
      </c>
      <c r="Y787" s="268">
        <f t="shared" si="124"/>
        <v>-1.0820000000000001</v>
      </c>
      <c r="Z787" s="268">
        <f t="shared" si="124"/>
        <v>-1.0820000000000001</v>
      </c>
      <c r="AA787" s="268">
        <f t="shared" si="124"/>
        <v>-1.0820000000000001</v>
      </c>
      <c r="AB787" s="268">
        <f t="shared" si="124"/>
        <v>-1.0820000000000001</v>
      </c>
      <c r="AC787" s="76"/>
      <c r="AD787" s="76"/>
      <c r="AE787" s="76"/>
      <c r="AF787" s="268">
        <f>AF$869</f>
        <v>1</v>
      </c>
      <c r="AG787" s="268">
        <f>AG$869</f>
        <v>1</v>
      </c>
      <c r="AH787" s="73"/>
      <c r="AI787" s="57"/>
      <c r="AJ787" s="45"/>
      <c r="AK787" s="45"/>
      <c r="AL787" s="45"/>
    </row>
    <row r="788" spans="1:38" hidden="1" outlineLevel="2" x14ac:dyDescent="0.35">
      <c r="A788" s="45">
        <v>4</v>
      </c>
      <c r="B788" s="54"/>
      <c r="C788" s="47">
        <f t="shared" si="115"/>
        <v>3</v>
      </c>
      <c r="D788" s="73"/>
      <c r="E788" s="70"/>
      <c r="F788" s="70" t="s">
        <v>1472</v>
      </c>
      <c r="G788" s="73"/>
      <c r="H788" s="76" t="s">
        <v>1473</v>
      </c>
      <c r="I788" s="96" t="s">
        <v>705</v>
      </c>
      <c r="J788" s="96" t="s">
        <v>1160</v>
      </c>
      <c r="K788" s="76"/>
      <c r="L788" s="76"/>
      <c r="M788" s="76"/>
      <c r="N788" s="76"/>
      <c r="O788" s="76"/>
      <c r="P788" s="76"/>
      <c r="Q788" s="76"/>
      <c r="R788" s="76"/>
      <c r="S788" s="76"/>
      <c r="T788" s="76"/>
      <c r="U788" s="268">
        <f>U$870</f>
        <v>-1.7614000000000001</v>
      </c>
      <c r="V788" s="268">
        <f t="shared" ref="V788:AB789" si="125">V$870</f>
        <v>-1.7614000000000001</v>
      </c>
      <c r="W788" s="268">
        <f t="shared" si="125"/>
        <v>-1.7614000000000001</v>
      </c>
      <c r="X788" s="268">
        <f t="shared" si="125"/>
        <v>-1.7614000000000001</v>
      </c>
      <c r="Y788" s="268">
        <f t="shared" si="125"/>
        <v>-2.0059999999999998</v>
      </c>
      <c r="Z788" s="268">
        <f t="shared" si="125"/>
        <v>-2.0059999999999998</v>
      </c>
      <c r="AA788" s="268">
        <f t="shared" si="125"/>
        <v>-2.0059999999999998</v>
      </c>
      <c r="AB788" s="268">
        <f t="shared" si="125"/>
        <v>-2.0059999999999998</v>
      </c>
      <c r="AC788" s="76"/>
      <c r="AD788" s="76"/>
      <c r="AE788" s="76"/>
      <c r="AF788" s="268">
        <f>AF$870</f>
        <v>1</v>
      </c>
      <c r="AG788" s="268">
        <f>AG$870</f>
        <v>1</v>
      </c>
      <c r="AH788" s="73"/>
      <c r="AI788" s="57"/>
      <c r="AJ788" s="45"/>
      <c r="AK788" s="45"/>
      <c r="AL788" s="45"/>
    </row>
    <row r="789" spans="1:38" hidden="1" outlineLevel="2" x14ac:dyDescent="0.35">
      <c r="A789" s="45">
        <f>A788</f>
        <v>4</v>
      </c>
      <c r="B789" s="54"/>
      <c r="C789" s="47">
        <f t="shared" si="115"/>
        <v>3</v>
      </c>
      <c r="D789" s="73"/>
      <c r="E789" s="70"/>
      <c r="F789" s="70" t="s">
        <v>1474</v>
      </c>
      <c r="G789" s="73"/>
      <c r="H789" s="76" t="s">
        <v>1475</v>
      </c>
      <c r="I789" s="96" t="s">
        <v>705</v>
      </c>
      <c r="J789" s="96" t="s">
        <v>1160</v>
      </c>
      <c r="K789" s="76"/>
      <c r="L789" s="76"/>
      <c r="M789" s="76"/>
      <c r="N789" s="76"/>
      <c r="O789" s="76"/>
      <c r="P789" s="76"/>
      <c r="Q789" s="76"/>
      <c r="R789" s="76"/>
      <c r="S789" s="76"/>
      <c r="T789" s="76"/>
      <c r="U789" s="268">
        <f>U$870</f>
        <v>-1.7614000000000001</v>
      </c>
      <c r="V789" s="268">
        <f t="shared" si="125"/>
        <v>-1.7614000000000001</v>
      </c>
      <c r="W789" s="268">
        <f t="shared" si="125"/>
        <v>-1.7614000000000001</v>
      </c>
      <c r="X789" s="268">
        <f t="shared" si="125"/>
        <v>-1.7614000000000001</v>
      </c>
      <c r="Y789" s="268">
        <f t="shared" si="125"/>
        <v>-2.0059999999999998</v>
      </c>
      <c r="Z789" s="268">
        <f t="shared" si="125"/>
        <v>-2.0059999999999998</v>
      </c>
      <c r="AA789" s="268">
        <f t="shared" si="125"/>
        <v>-2.0059999999999998</v>
      </c>
      <c r="AB789" s="268">
        <f t="shared" si="125"/>
        <v>-2.0059999999999998</v>
      </c>
      <c r="AC789" s="76"/>
      <c r="AD789" s="76"/>
      <c r="AE789" s="76"/>
      <c r="AF789" s="268">
        <f>AF$870</f>
        <v>1</v>
      </c>
      <c r="AG789" s="268">
        <f>AG$870</f>
        <v>1</v>
      </c>
      <c r="AH789" s="73"/>
      <c r="AI789" s="57"/>
      <c r="AJ789" s="45"/>
      <c r="AK789" s="45"/>
      <c r="AL789" s="45"/>
    </row>
    <row r="790" spans="1:38" hidden="1" outlineLevel="2" x14ac:dyDescent="0.35">
      <c r="A790" s="45"/>
      <c r="B790" s="54"/>
      <c r="C790" s="47">
        <f t="shared" si="115"/>
        <v>3</v>
      </c>
      <c r="D790" s="73"/>
      <c r="E790" s="70"/>
      <c r="F790" s="70" t="s">
        <v>1476</v>
      </c>
      <c r="G790" s="73"/>
      <c r="H790" s="76" t="s">
        <v>1477</v>
      </c>
      <c r="I790" s="96" t="s">
        <v>705</v>
      </c>
      <c r="J790" s="96" t="s">
        <v>1160</v>
      </c>
      <c r="K790" s="76"/>
      <c r="L790" s="76"/>
      <c r="M790" s="76"/>
      <c r="N790" s="76"/>
      <c r="O790" s="76"/>
      <c r="P790" s="76"/>
      <c r="Q790" s="76"/>
      <c r="R790" s="76"/>
      <c r="S790" s="76"/>
      <c r="T790" s="76"/>
      <c r="U790" s="76">
        <v>0</v>
      </c>
      <c r="V790" s="76">
        <v>0</v>
      </c>
      <c r="W790" s="76">
        <v>0</v>
      </c>
      <c r="X790" s="76">
        <v>0</v>
      </c>
      <c r="Y790" s="76">
        <v>0</v>
      </c>
      <c r="Z790" s="76">
        <v>0</v>
      </c>
      <c r="AA790" s="76">
        <v>0</v>
      </c>
      <c r="AB790" s="76">
        <v>0</v>
      </c>
      <c r="AC790" s="76"/>
      <c r="AD790" s="97" t="s">
        <v>1298</v>
      </c>
      <c r="AE790" s="76"/>
      <c r="AF790" s="97">
        <v>1</v>
      </c>
      <c r="AG790" s="97">
        <v>1</v>
      </c>
      <c r="AH790" s="73"/>
      <c r="AI790" s="57"/>
      <c r="AJ790" s="45"/>
      <c r="AK790" s="45"/>
      <c r="AL790" s="45"/>
    </row>
    <row r="791" spans="1:38" hidden="1" outlineLevel="2" x14ac:dyDescent="0.35">
      <c r="A791" s="45"/>
      <c r="B791" s="54"/>
      <c r="C791" s="47">
        <f t="shared" si="115"/>
        <v>3</v>
      </c>
      <c r="D791" s="73"/>
      <c r="E791" s="70"/>
      <c r="F791" s="70" t="s">
        <v>1478</v>
      </c>
      <c r="G791" s="73"/>
      <c r="H791" s="76" t="s">
        <v>1479</v>
      </c>
      <c r="I791" s="96" t="s">
        <v>705</v>
      </c>
      <c r="J791" s="96" t="s">
        <v>1160</v>
      </c>
      <c r="K791" s="76"/>
      <c r="L791" s="76"/>
      <c r="M791" s="76"/>
      <c r="N791" s="76"/>
      <c r="O791" s="76"/>
      <c r="P791" s="76"/>
      <c r="Q791" s="76"/>
      <c r="R791" s="76"/>
      <c r="S791" s="76"/>
      <c r="T791" s="76"/>
      <c r="U791" s="346">
        <v>-4.9400000000000004</v>
      </c>
      <c r="V791" s="348">
        <f t="shared" ref="V791:AB792" si="126">U791</f>
        <v>-4.9400000000000004</v>
      </c>
      <c r="W791" s="348">
        <f t="shared" si="126"/>
        <v>-4.9400000000000004</v>
      </c>
      <c r="X791" s="348">
        <f>Y791</f>
        <v>-6.68</v>
      </c>
      <c r="Y791" s="97">
        <v>-6.68</v>
      </c>
      <c r="Z791" s="262">
        <f t="shared" si="126"/>
        <v>-6.68</v>
      </c>
      <c r="AA791" s="262">
        <f t="shared" si="126"/>
        <v>-6.68</v>
      </c>
      <c r="AB791" s="262">
        <f t="shared" si="126"/>
        <v>-6.68</v>
      </c>
      <c r="AC791" s="76"/>
      <c r="AD791" s="97" t="s">
        <v>2318</v>
      </c>
      <c r="AE791" s="76"/>
      <c r="AF791" s="97">
        <v>1</v>
      </c>
      <c r="AG791" s="97">
        <v>1</v>
      </c>
      <c r="AH791" s="73"/>
      <c r="AI791" s="57"/>
      <c r="AJ791" s="45"/>
      <c r="AK791" s="45"/>
      <c r="AL791" s="45"/>
    </row>
    <row r="792" spans="1:38" hidden="1" outlineLevel="2" x14ac:dyDescent="0.35">
      <c r="A792" s="45"/>
      <c r="B792" s="54"/>
      <c r="C792" s="47">
        <f t="shared" si="115"/>
        <v>3</v>
      </c>
      <c r="D792" s="73"/>
      <c r="E792" s="70"/>
      <c r="F792" s="70" t="s">
        <v>1480</v>
      </c>
      <c r="G792" s="73"/>
      <c r="H792" s="76" t="s">
        <v>1481</v>
      </c>
      <c r="I792" s="96" t="s">
        <v>705</v>
      </c>
      <c r="J792" s="96" t="s">
        <v>1160</v>
      </c>
      <c r="K792" s="76"/>
      <c r="L792" s="76"/>
      <c r="M792" s="76"/>
      <c r="N792" s="76"/>
      <c r="O792" s="76"/>
      <c r="P792" s="76"/>
      <c r="Q792" s="76"/>
      <c r="R792" s="76"/>
      <c r="S792" s="76"/>
      <c r="T792" s="76"/>
      <c r="U792" s="349">
        <f>U791*1.38</f>
        <v>-6.8171999999999997</v>
      </c>
      <c r="V792" s="348">
        <f t="shared" si="126"/>
        <v>-6.8171999999999997</v>
      </c>
      <c r="W792" s="348">
        <f t="shared" si="126"/>
        <v>-6.8171999999999997</v>
      </c>
      <c r="X792" s="348">
        <f>Y792</f>
        <v>-9.2200000000000006</v>
      </c>
      <c r="Y792" s="97">
        <v>-9.2200000000000006</v>
      </c>
      <c r="Z792" s="262">
        <f t="shared" si="126"/>
        <v>-9.2200000000000006</v>
      </c>
      <c r="AA792" s="262">
        <f t="shared" si="126"/>
        <v>-9.2200000000000006</v>
      </c>
      <c r="AB792" s="262">
        <f t="shared" si="126"/>
        <v>-9.2200000000000006</v>
      </c>
      <c r="AC792" s="76"/>
      <c r="AD792" s="97" t="s">
        <v>2319</v>
      </c>
      <c r="AE792" s="76"/>
      <c r="AF792" s="97">
        <v>1</v>
      </c>
      <c r="AG792" s="97">
        <v>1</v>
      </c>
      <c r="AH792" s="73"/>
      <c r="AI792" s="57"/>
      <c r="AJ792" s="45"/>
      <c r="AK792" s="45"/>
      <c r="AL792" s="45"/>
    </row>
    <row r="793" spans="1:38" hidden="1" outlineLevel="2" x14ac:dyDescent="0.35">
      <c r="A793" s="45"/>
      <c r="B793" s="54"/>
      <c r="C793" s="47">
        <f t="shared" si="115"/>
        <v>3</v>
      </c>
      <c r="D793" s="73"/>
      <c r="E793" s="70"/>
      <c r="F793" s="70" t="s">
        <v>1483</v>
      </c>
      <c r="G793" s="73"/>
      <c r="H793" s="76" t="s">
        <v>1484</v>
      </c>
      <c r="I793" s="96" t="s">
        <v>705</v>
      </c>
      <c r="J793" s="96" t="s">
        <v>1160</v>
      </c>
      <c r="K793" s="76"/>
      <c r="L793" s="76"/>
      <c r="M793" s="76"/>
      <c r="N793" s="76"/>
      <c r="O793" s="76"/>
      <c r="P793" s="76"/>
      <c r="Q793" s="76"/>
      <c r="R793" s="76"/>
      <c r="S793" s="76"/>
      <c r="T793" s="76"/>
      <c r="U793" s="346">
        <v>-1.85</v>
      </c>
      <c r="V793" s="348">
        <f t="shared" ref="V793:AB793" si="127">U793</f>
        <v>-1.85</v>
      </c>
      <c r="W793" s="348">
        <f t="shared" si="127"/>
        <v>-1.85</v>
      </c>
      <c r="X793" s="348">
        <f>Y793</f>
        <v>-3.36</v>
      </c>
      <c r="Y793" s="97">
        <v>-3.36</v>
      </c>
      <c r="Z793" s="262">
        <f t="shared" si="127"/>
        <v>-3.36</v>
      </c>
      <c r="AA793" s="262">
        <f t="shared" si="127"/>
        <v>-3.36</v>
      </c>
      <c r="AB793" s="262">
        <f t="shared" si="127"/>
        <v>-3.36</v>
      </c>
      <c r="AC793" s="76"/>
      <c r="AD793" s="97" t="s">
        <v>2320</v>
      </c>
      <c r="AE793" s="76"/>
      <c r="AF793" s="97">
        <v>1</v>
      </c>
      <c r="AG793" s="97">
        <v>1</v>
      </c>
      <c r="AH793" s="73"/>
      <c r="AI793" s="57"/>
      <c r="AJ793" s="45"/>
      <c r="AK793" s="45"/>
      <c r="AL793" s="45"/>
    </row>
    <row r="794" spans="1:38" hidden="1" outlineLevel="2" x14ac:dyDescent="0.35">
      <c r="A794" s="45">
        <v>4</v>
      </c>
      <c r="B794" s="54"/>
      <c r="C794" s="47">
        <f t="shared" si="115"/>
        <v>3</v>
      </c>
      <c r="D794" s="73"/>
      <c r="E794" s="70"/>
      <c r="F794" s="70" t="s">
        <v>1485</v>
      </c>
      <c r="G794" s="73"/>
      <c r="H794" s="76" t="s">
        <v>1486</v>
      </c>
      <c r="I794" s="96" t="s">
        <v>705</v>
      </c>
      <c r="J794" s="96" t="s">
        <v>1160</v>
      </c>
      <c r="K794" s="76"/>
      <c r="L794" s="76"/>
      <c r="M794" s="76"/>
      <c r="N794" s="76"/>
      <c r="O794" s="76"/>
      <c r="P794" s="76"/>
      <c r="Q794" s="76"/>
      <c r="R794" s="76"/>
      <c r="S794" s="76"/>
      <c r="T794" s="76"/>
      <c r="U794" s="349">
        <f>U792*0.904</f>
        <v>-6.1627488000000001</v>
      </c>
      <c r="V794" s="348">
        <f>U794</f>
        <v>-6.1627488000000001</v>
      </c>
      <c r="W794" s="348">
        <f>V794</f>
        <v>-6.1627488000000001</v>
      </c>
      <c r="X794" s="348">
        <f>Y794</f>
        <v>-8.33</v>
      </c>
      <c r="Y794" s="97">
        <v>-8.33</v>
      </c>
      <c r="Z794" s="262">
        <f t="shared" ref="Z794:AB795" si="128">Y794</f>
        <v>-8.33</v>
      </c>
      <c r="AA794" s="262">
        <f t="shared" si="128"/>
        <v>-8.33</v>
      </c>
      <c r="AB794" s="262">
        <f t="shared" si="128"/>
        <v>-8.33</v>
      </c>
      <c r="AC794" s="76"/>
      <c r="AD794" s="97"/>
      <c r="AE794" s="76"/>
      <c r="AF794" s="97">
        <v>1</v>
      </c>
      <c r="AG794" s="97">
        <v>1</v>
      </c>
      <c r="AH794" s="73"/>
      <c r="AI794" s="57"/>
      <c r="AJ794" s="45"/>
      <c r="AK794" s="45"/>
      <c r="AL794" s="45"/>
    </row>
    <row r="795" spans="1:38" hidden="1" outlineLevel="2" x14ac:dyDescent="0.35">
      <c r="A795" s="45">
        <f>A794</f>
        <v>4</v>
      </c>
      <c r="B795" s="54"/>
      <c r="C795" s="47">
        <f t="shared" si="115"/>
        <v>3</v>
      </c>
      <c r="D795" s="73"/>
      <c r="E795" s="70"/>
      <c r="F795" s="70" t="s">
        <v>1487</v>
      </c>
      <c r="G795" s="73"/>
      <c r="H795" s="76" t="s">
        <v>1488</v>
      </c>
      <c r="I795" s="96" t="s">
        <v>705</v>
      </c>
      <c r="J795" s="96" t="s">
        <v>1160</v>
      </c>
      <c r="K795" s="76"/>
      <c r="L795" s="76"/>
      <c r="M795" s="76"/>
      <c r="N795" s="76"/>
      <c r="O795" s="76"/>
      <c r="P795" s="76"/>
      <c r="Q795" s="76"/>
      <c r="R795" s="76"/>
      <c r="S795" s="76"/>
      <c r="T795" s="76"/>
      <c r="U795" s="349">
        <f>U792*0.555</f>
        <v>-3.7835460000000003</v>
      </c>
      <c r="V795" s="348">
        <f>U795</f>
        <v>-3.7835460000000003</v>
      </c>
      <c r="W795" s="348">
        <f>V795</f>
        <v>-3.7835460000000003</v>
      </c>
      <c r="X795" s="348">
        <f>Y795</f>
        <v>-5.1100000000000003</v>
      </c>
      <c r="Y795" s="97">
        <v>-5.1100000000000003</v>
      </c>
      <c r="Z795" s="262">
        <f t="shared" si="128"/>
        <v>-5.1100000000000003</v>
      </c>
      <c r="AA795" s="262">
        <f t="shared" si="128"/>
        <v>-5.1100000000000003</v>
      </c>
      <c r="AB795" s="262">
        <f t="shared" si="128"/>
        <v>-5.1100000000000003</v>
      </c>
      <c r="AC795" s="76"/>
      <c r="AD795" s="97"/>
      <c r="AE795" s="76"/>
      <c r="AF795" s="97">
        <v>1</v>
      </c>
      <c r="AG795" s="97">
        <v>1</v>
      </c>
      <c r="AH795" s="73"/>
      <c r="AI795" s="57"/>
      <c r="AJ795" s="45"/>
      <c r="AK795" s="45"/>
      <c r="AL795" s="45"/>
    </row>
    <row r="796" spans="1:38" hidden="1" outlineLevel="2" x14ac:dyDescent="0.35">
      <c r="A796" s="45"/>
      <c r="B796" s="54"/>
      <c r="C796" s="47">
        <f t="shared" si="115"/>
        <v>3</v>
      </c>
      <c r="D796" s="73"/>
      <c r="E796" s="70"/>
      <c r="F796" s="70" t="s">
        <v>1489</v>
      </c>
      <c r="G796" s="73"/>
      <c r="H796" s="76" t="s">
        <v>1490</v>
      </c>
      <c r="I796" s="96" t="s">
        <v>705</v>
      </c>
      <c r="J796" s="96" t="s">
        <v>1160</v>
      </c>
      <c r="K796" s="76"/>
      <c r="L796" s="76"/>
      <c r="M796" s="76"/>
      <c r="N796" s="76"/>
      <c r="O796" s="76"/>
      <c r="P796" s="76"/>
      <c r="Q796" s="76"/>
      <c r="R796" s="76"/>
      <c r="S796" s="76"/>
      <c r="T796" s="76"/>
      <c r="U796" s="76">
        <v>0</v>
      </c>
      <c r="V796" s="76">
        <v>0</v>
      </c>
      <c r="W796" s="76">
        <v>0</v>
      </c>
      <c r="X796" s="76">
        <v>0</v>
      </c>
      <c r="Y796" s="76">
        <v>0</v>
      </c>
      <c r="Z796" s="76">
        <v>0</v>
      </c>
      <c r="AA796" s="76">
        <v>0</v>
      </c>
      <c r="AB796" s="76">
        <v>0</v>
      </c>
      <c r="AC796" s="76"/>
      <c r="AD796" s="97" t="s">
        <v>1305</v>
      </c>
      <c r="AE796" s="76"/>
      <c r="AF796" s="97">
        <v>1</v>
      </c>
      <c r="AG796" s="97">
        <v>1</v>
      </c>
      <c r="AH796" s="73"/>
      <c r="AI796" s="57"/>
      <c r="AJ796" s="45"/>
      <c r="AK796" s="45"/>
      <c r="AL796" s="45"/>
    </row>
    <row r="797" spans="1:38" hidden="1" outlineLevel="2" x14ac:dyDescent="0.35">
      <c r="A797" s="45"/>
      <c r="B797" s="54"/>
      <c r="C797" s="47">
        <f t="shared" si="115"/>
        <v>3</v>
      </c>
      <c r="D797" s="73"/>
      <c r="E797" s="70"/>
      <c r="F797" s="70" t="s">
        <v>1491</v>
      </c>
      <c r="G797" s="73"/>
      <c r="H797" s="76" t="s">
        <v>1492</v>
      </c>
      <c r="I797" s="96" t="s">
        <v>705</v>
      </c>
      <c r="J797" s="96" t="s">
        <v>1160</v>
      </c>
      <c r="K797" s="76"/>
      <c r="L797" s="76"/>
      <c r="M797" s="76"/>
      <c r="N797" s="76"/>
      <c r="O797" s="76"/>
      <c r="P797" s="76"/>
      <c r="Q797" s="76"/>
      <c r="R797" s="76"/>
      <c r="S797" s="76"/>
      <c r="T797" s="76"/>
      <c r="U797" s="97">
        <f>-52.3/1000</f>
        <v>-5.2299999999999999E-2</v>
      </c>
      <c r="V797" s="262">
        <f t="shared" ref="V797:AB797" si="129">U797</f>
        <v>-5.2299999999999999E-2</v>
      </c>
      <c r="W797" s="262">
        <f t="shared" si="129"/>
        <v>-5.2299999999999999E-2</v>
      </c>
      <c r="X797" s="262">
        <f t="shared" si="129"/>
        <v>-5.2299999999999999E-2</v>
      </c>
      <c r="Y797" s="262">
        <f t="shared" si="129"/>
        <v>-5.2299999999999999E-2</v>
      </c>
      <c r="Z797" s="262">
        <f t="shared" si="129"/>
        <v>-5.2299999999999999E-2</v>
      </c>
      <c r="AA797" s="262">
        <f t="shared" si="129"/>
        <v>-5.2299999999999999E-2</v>
      </c>
      <c r="AB797" s="262">
        <f t="shared" si="129"/>
        <v>-5.2299999999999999E-2</v>
      </c>
      <c r="AC797" s="76"/>
      <c r="AD797" s="97"/>
      <c r="AE797" s="76"/>
      <c r="AF797" s="97">
        <v>1</v>
      </c>
      <c r="AG797" s="97">
        <v>1</v>
      </c>
      <c r="AH797" s="73"/>
      <c r="AI797" s="57"/>
      <c r="AJ797" s="45"/>
      <c r="AK797" s="45"/>
      <c r="AL797" s="45"/>
    </row>
    <row r="798" spans="1:38" hidden="1" outlineLevel="2" x14ac:dyDescent="0.35">
      <c r="A798" s="45"/>
      <c r="B798" s="54"/>
      <c r="C798" s="47">
        <f t="shared" si="115"/>
        <v>3</v>
      </c>
      <c r="D798" s="73"/>
      <c r="E798" s="70"/>
      <c r="F798" s="70" t="s">
        <v>1493</v>
      </c>
      <c r="G798" s="73"/>
      <c r="H798" s="76" t="s">
        <v>1494</v>
      </c>
      <c r="I798" s="96" t="s">
        <v>705</v>
      </c>
      <c r="J798" s="96" t="s">
        <v>1160</v>
      </c>
      <c r="K798" s="76"/>
      <c r="L798" s="76"/>
      <c r="M798" s="76"/>
      <c r="N798" s="76"/>
      <c r="O798" s="76"/>
      <c r="P798" s="76"/>
      <c r="Q798" s="76"/>
      <c r="R798" s="76"/>
      <c r="S798" s="76"/>
      <c r="T798" s="76"/>
      <c r="U798" s="268">
        <f t="shared" ref="U798:AB798" si="130">U797</f>
        <v>-5.2299999999999999E-2</v>
      </c>
      <c r="V798" s="268">
        <f t="shared" si="130"/>
        <v>-5.2299999999999999E-2</v>
      </c>
      <c r="W798" s="268">
        <f t="shared" si="130"/>
        <v>-5.2299999999999999E-2</v>
      </c>
      <c r="X798" s="268">
        <f t="shared" si="130"/>
        <v>-5.2299999999999999E-2</v>
      </c>
      <c r="Y798" s="268">
        <f t="shared" si="130"/>
        <v>-5.2299999999999999E-2</v>
      </c>
      <c r="Z798" s="268">
        <f t="shared" si="130"/>
        <v>-5.2299999999999999E-2</v>
      </c>
      <c r="AA798" s="268">
        <f t="shared" si="130"/>
        <v>-5.2299999999999999E-2</v>
      </c>
      <c r="AB798" s="268">
        <f t="shared" si="130"/>
        <v>-5.2299999999999999E-2</v>
      </c>
      <c r="AC798" s="76"/>
      <c r="AD798" s="97" t="s">
        <v>1482</v>
      </c>
      <c r="AE798" s="76"/>
      <c r="AF798" s="97">
        <v>1</v>
      </c>
      <c r="AG798" s="97">
        <v>1</v>
      </c>
      <c r="AH798" s="73"/>
      <c r="AI798" s="57"/>
      <c r="AJ798" s="45"/>
      <c r="AK798" s="45"/>
      <c r="AL798" s="45"/>
    </row>
    <row r="799" spans="1:38" hidden="1" outlineLevel="2" x14ac:dyDescent="0.35">
      <c r="A799" s="45"/>
      <c r="B799" s="54"/>
      <c r="C799" s="47">
        <f t="shared" si="115"/>
        <v>3</v>
      </c>
      <c r="D799" s="73"/>
      <c r="E799" s="70"/>
      <c r="F799" s="70" t="s">
        <v>1495</v>
      </c>
      <c r="G799" s="73"/>
      <c r="H799" s="76" t="s">
        <v>1496</v>
      </c>
      <c r="I799" s="96" t="s">
        <v>705</v>
      </c>
      <c r="J799" s="96" t="s">
        <v>1160</v>
      </c>
      <c r="K799" s="76"/>
      <c r="L799" s="76"/>
      <c r="M799" s="76"/>
      <c r="N799" s="76"/>
      <c r="O799" s="76"/>
      <c r="P799" s="76"/>
      <c r="Q799" s="76"/>
      <c r="R799" s="76"/>
      <c r="S799" s="76"/>
      <c r="T799" s="76"/>
      <c r="U799" s="97">
        <f>-10.7/1000</f>
        <v>-1.0699999999999999E-2</v>
      </c>
      <c r="V799" s="262">
        <f t="shared" ref="V799:AB799" si="131">U799</f>
        <v>-1.0699999999999999E-2</v>
      </c>
      <c r="W799" s="262">
        <f t="shared" si="131"/>
        <v>-1.0699999999999999E-2</v>
      </c>
      <c r="X799" s="262">
        <f t="shared" si="131"/>
        <v>-1.0699999999999999E-2</v>
      </c>
      <c r="Y799" s="262">
        <f t="shared" si="131"/>
        <v>-1.0699999999999999E-2</v>
      </c>
      <c r="Z799" s="262">
        <f t="shared" si="131"/>
        <v>-1.0699999999999999E-2</v>
      </c>
      <c r="AA799" s="262">
        <f t="shared" si="131"/>
        <v>-1.0699999999999999E-2</v>
      </c>
      <c r="AB799" s="262">
        <f t="shared" si="131"/>
        <v>-1.0699999999999999E-2</v>
      </c>
      <c r="AC799" s="76"/>
      <c r="AD799" s="97"/>
      <c r="AE799" s="76"/>
      <c r="AF799" s="97">
        <v>1</v>
      </c>
      <c r="AG799" s="97">
        <v>1</v>
      </c>
      <c r="AH799" s="73"/>
      <c r="AI799" s="57"/>
      <c r="AJ799" s="45"/>
      <c r="AK799" s="45"/>
      <c r="AL799" s="45"/>
    </row>
    <row r="800" spans="1:38" hidden="1" outlineLevel="2" x14ac:dyDescent="0.35">
      <c r="A800" s="45">
        <v>4</v>
      </c>
      <c r="B800" s="54"/>
      <c r="C800" s="47">
        <f t="shared" si="115"/>
        <v>3</v>
      </c>
      <c r="D800" s="73"/>
      <c r="E800" s="70"/>
      <c r="F800" s="70" t="s">
        <v>1497</v>
      </c>
      <c r="G800" s="73"/>
      <c r="H800" s="76" t="s">
        <v>1498</v>
      </c>
      <c r="I800" s="96" t="s">
        <v>705</v>
      </c>
      <c r="J800" s="96" t="s">
        <v>1160</v>
      </c>
      <c r="K800" s="76"/>
      <c r="L800" s="76"/>
      <c r="M800" s="76"/>
      <c r="N800" s="76"/>
      <c r="O800" s="76"/>
      <c r="P800" s="76"/>
      <c r="Q800" s="76"/>
      <c r="R800" s="76"/>
      <c r="S800" s="76"/>
      <c r="T800" s="76"/>
      <c r="U800" s="268">
        <f t="shared" ref="U800:AB801" si="132">U799</f>
        <v>-1.0699999999999999E-2</v>
      </c>
      <c r="V800" s="268">
        <f t="shared" si="132"/>
        <v>-1.0699999999999999E-2</v>
      </c>
      <c r="W800" s="268">
        <f t="shared" si="132"/>
        <v>-1.0699999999999999E-2</v>
      </c>
      <c r="X800" s="268">
        <f t="shared" si="132"/>
        <v>-1.0699999999999999E-2</v>
      </c>
      <c r="Y800" s="268">
        <f t="shared" si="132"/>
        <v>-1.0699999999999999E-2</v>
      </c>
      <c r="Z800" s="268">
        <f t="shared" si="132"/>
        <v>-1.0699999999999999E-2</v>
      </c>
      <c r="AA800" s="268">
        <f t="shared" si="132"/>
        <v>-1.0699999999999999E-2</v>
      </c>
      <c r="AB800" s="268">
        <f t="shared" si="132"/>
        <v>-1.0699999999999999E-2</v>
      </c>
      <c r="AC800" s="76"/>
      <c r="AD800" s="97"/>
      <c r="AE800" s="76"/>
      <c r="AF800" s="97">
        <v>1</v>
      </c>
      <c r="AG800" s="97">
        <v>1</v>
      </c>
      <c r="AH800" s="73"/>
      <c r="AI800" s="57"/>
      <c r="AJ800" s="45"/>
      <c r="AK800" s="45"/>
      <c r="AL800" s="45"/>
    </row>
    <row r="801" spans="1:38" hidden="1" outlineLevel="2" x14ac:dyDescent="0.35">
      <c r="A801" s="45">
        <f>A800</f>
        <v>4</v>
      </c>
      <c r="B801" s="54"/>
      <c r="C801" s="47">
        <f t="shared" si="115"/>
        <v>3</v>
      </c>
      <c r="D801" s="73"/>
      <c r="E801" s="70"/>
      <c r="F801" s="70" t="s">
        <v>1499</v>
      </c>
      <c r="G801" s="73"/>
      <c r="H801" s="76" t="s">
        <v>1500</v>
      </c>
      <c r="I801" s="96" t="s">
        <v>705</v>
      </c>
      <c r="J801" s="96" t="s">
        <v>1160</v>
      </c>
      <c r="K801" s="76"/>
      <c r="L801" s="76"/>
      <c r="M801" s="76"/>
      <c r="N801" s="76"/>
      <c r="O801" s="76"/>
      <c r="P801" s="76"/>
      <c r="Q801" s="76"/>
      <c r="R801" s="76"/>
      <c r="S801" s="76"/>
      <c r="T801" s="76"/>
      <c r="U801" s="268">
        <f>U800</f>
        <v>-1.0699999999999999E-2</v>
      </c>
      <c r="V801" s="268">
        <f t="shared" si="132"/>
        <v>-1.0699999999999999E-2</v>
      </c>
      <c r="W801" s="268">
        <f t="shared" si="132"/>
        <v>-1.0699999999999999E-2</v>
      </c>
      <c r="X801" s="268">
        <f t="shared" si="132"/>
        <v>-1.0699999999999999E-2</v>
      </c>
      <c r="Y801" s="268">
        <f t="shared" si="132"/>
        <v>-1.0699999999999999E-2</v>
      </c>
      <c r="Z801" s="268">
        <f t="shared" si="132"/>
        <v>-1.0699999999999999E-2</v>
      </c>
      <c r="AA801" s="268">
        <f t="shared" si="132"/>
        <v>-1.0699999999999999E-2</v>
      </c>
      <c r="AB801" s="268">
        <f t="shared" si="132"/>
        <v>-1.0699999999999999E-2</v>
      </c>
      <c r="AC801" s="76"/>
      <c r="AD801" s="97"/>
      <c r="AE801" s="76"/>
      <c r="AF801" s="97">
        <v>1</v>
      </c>
      <c r="AG801" s="97">
        <v>1</v>
      </c>
      <c r="AH801" s="73"/>
      <c r="AI801" s="57"/>
      <c r="AJ801" s="45"/>
      <c r="AK801" s="45"/>
      <c r="AL801" s="45"/>
    </row>
    <row r="802" spans="1:38" outlineLevel="1" collapsed="1" x14ac:dyDescent="0.35">
      <c r="A802" s="45"/>
      <c r="B802" s="54"/>
      <c r="C802" s="47">
        <f>INT($C$29)+1</f>
        <v>2</v>
      </c>
      <c r="D802" s="73"/>
      <c r="E802" s="70"/>
      <c r="F802" s="263" t="s">
        <v>1501</v>
      </c>
      <c r="G802" s="73"/>
      <c r="H802" s="253" t="s">
        <v>1502</v>
      </c>
      <c r="I802" s="136"/>
      <c r="J802" s="136" t="s">
        <v>1060</v>
      </c>
      <c r="K802" s="76"/>
      <c r="L802" s="76"/>
      <c r="M802" s="76"/>
      <c r="N802" s="76"/>
      <c r="O802" s="76"/>
      <c r="P802" s="76"/>
      <c r="Q802" s="76"/>
      <c r="R802" s="76"/>
      <c r="S802" s="76"/>
      <c r="T802" s="76"/>
      <c r="U802" s="79">
        <v>26</v>
      </c>
      <c r="V802" s="79">
        <v>4</v>
      </c>
      <c r="W802" s="79">
        <v>-12</v>
      </c>
      <c r="X802" s="76"/>
      <c r="Y802" s="76"/>
      <c r="Z802" s="76"/>
      <c r="AA802" s="76"/>
      <c r="AB802" s="76"/>
      <c r="AC802" s="76"/>
      <c r="AD802" s="76"/>
      <c r="AE802" s="76"/>
      <c r="AF802" s="76"/>
      <c r="AG802" s="76"/>
      <c r="AH802" s="73"/>
      <c r="AI802" s="57"/>
      <c r="AJ802" s="45"/>
      <c r="AK802" s="45"/>
      <c r="AL802" s="45"/>
    </row>
    <row r="803" spans="1:38" hidden="1" outlineLevel="3" x14ac:dyDescent="0.35">
      <c r="A803" s="45"/>
      <c r="B803" s="54"/>
      <c r="C803" s="47">
        <f>INT($C$29)+3</f>
        <v>4</v>
      </c>
      <c r="D803" s="73"/>
      <c r="E803" s="70"/>
      <c r="F803" s="70" t="s">
        <v>1503</v>
      </c>
      <c r="G803" s="73"/>
      <c r="H803" s="76" t="s">
        <v>1504</v>
      </c>
      <c r="I803" s="96" t="s">
        <v>514</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3" x14ac:dyDescent="0.35">
      <c r="A804" s="45"/>
      <c r="B804" s="54"/>
      <c r="C804" s="47">
        <f>INT($C$29)+3</f>
        <v>4</v>
      </c>
      <c r="D804" s="73"/>
      <c r="E804" s="70"/>
      <c r="F804" s="70" t="s">
        <v>1505</v>
      </c>
      <c r="G804" s="73"/>
      <c r="H804" s="76" t="s">
        <v>1506</v>
      </c>
      <c r="I804" s="96" t="s">
        <v>514</v>
      </c>
      <c r="J804" s="96"/>
      <c r="K804" s="76"/>
      <c r="L804" s="76"/>
      <c r="M804" s="76"/>
      <c r="N804" s="76"/>
      <c r="O804" s="76"/>
      <c r="P804" s="76"/>
      <c r="Q804" s="76"/>
      <c r="R804" s="76"/>
      <c r="S804" s="76"/>
      <c r="T804" s="76"/>
      <c r="U804" s="76"/>
      <c r="V804" s="76"/>
      <c r="W804" s="76"/>
      <c r="X804" s="76"/>
      <c r="Y804" s="76"/>
      <c r="Z804" s="76"/>
      <c r="AA804" s="76"/>
      <c r="AB804" s="76"/>
      <c r="AC804" s="76"/>
      <c r="AD804" s="76"/>
      <c r="AE804" s="76"/>
      <c r="AF804" s="76">
        <v>1</v>
      </c>
      <c r="AG804" s="76">
        <v>1</v>
      </c>
      <c r="AH804" s="73"/>
      <c r="AI804" s="57"/>
      <c r="AJ804" s="45"/>
      <c r="AK804" s="45"/>
      <c r="AL804" s="45"/>
    </row>
    <row r="805" spans="1:38" hidden="1" outlineLevel="3" x14ac:dyDescent="0.35">
      <c r="A805" s="45"/>
      <c r="B805" s="54"/>
      <c r="C805" s="47">
        <f>INT($C$29)+3</f>
        <v>4</v>
      </c>
      <c r="D805" s="73"/>
      <c r="E805" s="70"/>
      <c r="F805" s="70" t="s">
        <v>1507</v>
      </c>
      <c r="G805" s="73"/>
      <c r="H805" s="76" t="s">
        <v>1508</v>
      </c>
      <c r="I805" s="96" t="s">
        <v>514</v>
      </c>
      <c r="J805" s="96"/>
      <c r="K805" s="76"/>
      <c r="L805" s="76"/>
      <c r="M805" s="76"/>
      <c r="N805" s="76"/>
      <c r="O805" s="76"/>
      <c r="P805" s="76"/>
      <c r="Q805" s="76"/>
      <c r="R805" s="76"/>
      <c r="S805" s="76"/>
      <c r="T805" s="76"/>
      <c r="U805" s="76"/>
      <c r="V805" s="76"/>
      <c r="W805" s="76"/>
      <c r="X805" s="76"/>
      <c r="Y805" s="76"/>
      <c r="Z805" s="76"/>
      <c r="AA805" s="76"/>
      <c r="AB805" s="76"/>
      <c r="AC805" s="76"/>
      <c r="AD805" s="76"/>
      <c r="AE805" s="76"/>
      <c r="AF805" s="76">
        <v>1</v>
      </c>
      <c r="AG805" s="76">
        <v>1</v>
      </c>
      <c r="AH805" s="73"/>
      <c r="AI805" s="57"/>
      <c r="AJ805" s="45"/>
      <c r="AK805" s="45"/>
      <c r="AL805" s="45"/>
    </row>
    <row r="806" spans="1:38" hidden="1" outlineLevel="3" x14ac:dyDescent="0.35">
      <c r="A806" s="45"/>
      <c r="B806" s="54"/>
      <c r="C806" s="47">
        <f>INT($C$29)+3</f>
        <v>4</v>
      </c>
      <c r="D806" s="73"/>
      <c r="E806" s="70"/>
      <c r="F806" s="70" t="s">
        <v>1509</v>
      </c>
      <c r="G806" s="73"/>
      <c r="H806" s="76" t="s">
        <v>1510</v>
      </c>
      <c r="I806" s="96" t="s">
        <v>514</v>
      </c>
      <c r="J806" s="96"/>
      <c r="K806" s="76"/>
      <c r="L806" s="76"/>
      <c r="M806" s="76"/>
      <c r="N806" s="76"/>
      <c r="O806" s="76"/>
      <c r="P806" s="76"/>
      <c r="Q806" s="76"/>
      <c r="R806" s="76"/>
      <c r="S806" s="76"/>
      <c r="T806" s="76"/>
      <c r="U806" s="76"/>
      <c r="V806" s="76"/>
      <c r="W806" s="76"/>
      <c r="X806" s="76"/>
      <c r="Y806" s="76"/>
      <c r="Z806" s="76"/>
      <c r="AA806" s="76"/>
      <c r="AB806" s="76"/>
      <c r="AC806" s="76"/>
      <c r="AD806" s="76"/>
      <c r="AE806" s="76"/>
      <c r="AF806" s="76">
        <v>1</v>
      </c>
      <c r="AG806" s="76">
        <v>1</v>
      </c>
      <c r="AH806" s="73"/>
      <c r="AI806" s="57"/>
      <c r="AJ806" s="45"/>
      <c r="AK806" s="45"/>
      <c r="AL806" s="45"/>
    </row>
    <row r="807" spans="1:38" hidden="1" outlineLevel="2" x14ac:dyDescent="0.35">
      <c r="A807" s="45"/>
      <c r="B807" s="54"/>
      <c r="C807" s="47">
        <f t="shared" ref="C807:C841" si="133">INT($C$29)+2</f>
        <v>3</v>
      </c>
      <c r="D807" s="73"/>
      <c r="E807" s="70" t="s">
        <v>1000</v>
      </c>
      <c r="F807" s="70" t="s">
        <v>1511</v>
      </c>
      <c r="G807" s="73"/>
      <c r="H807" s="76" t="s">
        <v>1512</v>
      </c>
      <c r="I807" s="96" t="s">
        <v>514</v>
      </c>
      <c r="J807" s="96"/>
      <c r="K807" s="76"/>
      <c r="L807" s="76"/>
      <c r="M807" s="76"/>
      <c r="N807" s="76"/>
      <c r="O807" s="76"/>
      <c r="P807" s="76"/>
      <c r="Q807" s="76"/>
      <c r="R807" s="76"/>
      <c r="S807" s="76"/>
      <c r="T807" s="76"/>
      <c r="U807" s="76">
        <v>0</v>
      </c>
      <c r="V807" s="76">
        <v>0</v>
      </c>
      <c r="W807" s="76">
        <v>0</v>
      </c>
      <c r="X807" s="76">
        <v>0</v>
      </c>
      <c r="Y807" s="76">
        <v>0</v>
      </c>
      <c r="Z807" s="76">
        <v>0</v>
      </c>
      <c r="AA807" s="76">
        <v>0</v>
      </c>
      <c r="AB807" s="76">
        <v>0</v>
      </c>
      <c r="AC807" s="76"/>
      <c r="AD807" s="271" t="s">
        <v>1513</v>
      </c>
      <c r="AE807" s="76"/>
      <c r="AF807" s="76">
        <v>1</v>
      </c>
      <c r="AG807" s="76">
        <v>1</v>
      </c>
      <c r="AH807" s="73"/>
      <c r="AI807" s="57"/>
      <c r="AJ807" s="45"/>
      <c r="AK807" s="45"/>
      <c r="AL807" s="45"/>
    </row>
    <row r="808" spans="1:38" hidden="1" outlineLevel="2" x14ac:dyDescent="0.35">
      <c r="A808" s="45"/>
      <c r="B808" s="54"/>
      <c r="C808" s="47">
        <f t="shared" si="133"/>
        <v>3</v>
      </c>
      <c r="D808" s="73"/>
      <c r="E808" s="70"/>
      <c r="F808" s="70" t="s">
        <v>1514</v>
      </c>
      <c r="G808" s="73"/>
      <c r="H808" s="76" t="s">
        <v>1515</v>
      </c>
      <c r="I808" s="96" t="s">
        <v>514</v>
      </c>
      <c r="J808" s="96"/>
      <c r="K808" s="76"/>
      <c r="L808" s="76"/>
      <c r="M808" s="97">
        <v>0</v>
      </c>
      <c r="N808" s="97">
        <v>0</v>
      </c>
      <c r="O808" s="97">
        <v>0</v>
      </c>
      <c r="P808" s="97">
        <v>0</v>
      </c>
      <c r="Q808" s="76"/>
      <c r="R808" s="76"/>
      <c r="S808" s="97" t="s">
        <v>1516</v>
      </c>
      <c r="T808" s="76"/>
      <c r="U808" s="97">
        <f>0.23/2</f>
        <v>0.115</v>
      </c>
      <c r="V808" s="97">
        <f>0.23/2</f>
        <v>0.115</v>
      </c>
      <c r="W808" s="97">
        <f>0.23/2</f>
        <v>0.115</v>
      </c>
      <c r="X808" s="97">
        <f t="shared" ref="X808:AC808" si="134">0.34/2</f>
        <v>0.17</v>
      </c>
      <c r="Y808" s="97">
        <f t="shared" si="134"/>
        <v>0.17</v>
      </c>
      <c r="Z808" s="97">
        <f t="shared" si="134"/>
        <v>0.17</v>
      </c>
      <c r="AA808" s="97">
        <f t="shared" si="134"/>
        <v>0.17</v>
      </c>
      <c r="AB808" s="97">
        <f t="shared" si="134"/>
        <v>0.17</v>
      </c>
      <c r="AC808" s="97">
        <f t="shared" si="134"/>
        <v>0.17</v>
      </c>
      <c r="AD808" s="97" t="s">
        <v>2610</v>
      </c>
      <c r="AE808" s="76"/>
      <c r="AF808" s="97">
        <v>1</v>
      </c>
      <c r="AG808" s="97">
        <v>1</v>
      </c>
      <c r="AH808" s="73"/>
      <c r="AI808" s="57"/>
      <c r="AJ808" s="45"/>
      <c r="AK808" s="45"/>
      <c r="AL808" s="45"/>
    </row>
    <row r="809" spans="1:38" hidden="1" outlineLevel="2" x14ac:dyDescent="0.35">
      <c r="A809" s="45"/>
      <c r="B809" s="54"/>
      <c r="C809" s="47">
        <f t="shared" si="133"/>
        <v>3</v>
      </c>
      <c r="D809" s="73"/>
      <c r="E809" s="70"/>
      <c r="F809" s="70" t="s">
        <v>1518</v>
      </c>
      <c r="G809" s="73"/>
      <c r="H809" s="76" t="s">
        <v>1519</v>
      </c>
      <c r="I809" s="96" t="s">
        <v>514</v>
      </c>
      <c r="J809" s="96"/>
      <c r="K809" s="76"/>
      <c r="L809" s="76"/>
      <c r="M809" s="76"/>
      <c r="N809" s="76"/>
      <c r="O809" s="76"/>
      <c r="P809" s="76"/>
      <c r="Q809" s="76"/>
      <c r="R809" s="76"/>
      <c r="S809" s="76"/>
      <c r="T809" s="76"/>
      <c r="U809" s="97">
        <f t="shared" ref="U809:W810" si="135">0.39/2</f>
        <v>0.19500000000000001</v>
      </c>
      <c r="V809" s="97">
        <f t="shared" si="135"/>
        <v>0.19500000000000001</v>
      </c>
      <c r="W809" s="97">
        <f t="shared" si="135"/>
        <v>0.19500000000000001</v>
      </c>
      <c r="X809" s="97">
        <f>0.64/2</f>
        <v>0.32</v>
      </c>
      <c r="Y809" s="97">
        <f t="shared" ref="Y809:AC810" si="136">0.64/2</f>
        <v>0.32</v>
      </c>
      <c r="Z809" s="97">
        <f t="shared" si="136"/>
        <v>0.32</v>
      </c>
      <c r="AA809" s="97">
        <f t="shared" si="136"/>
        <v>0.32</v>
      </c>
      <c r="AB809" s="97">
        <f t="shared" si="136"/>
        <v>0.32</v>
      </c>
      <c r="AC809" s="97">
        <f t="shared" si="136"/>
        <v>0.32</v>
      </c>
      <c r="AD809" s="97" t="s">
        <v>1517</v>
      </c>
      <c r="AE809" s="76"/>
      <c r="AF809" s="97">
        <v>1</v>
      </c>
      <c r="AG809" s="97">
        <v>1</v>
      </c>
      <c r="AH809" s="73"/>
      <c r="AI809" s="57"/>
      <c r="AJ809" s="45"/>
      <c r="AK809" s="45"/>
      <c r="AL809" s="45"/>
    </row>
    <row r="810" spans="1:38" hidden="1" outlineLevel="2" x14ac:dyDescent="0.35">
      <c r="A810" s="45"/>
      <c r="B810" s="54"/>
      <c r="C810" s="47">
        <f t="shared" si="133"/>
        <v>3</v>
      </c>
      <c r="D810" s="73"/>
      <c r="E810" s="70"/>
      <c r="F810" s="70" t="s">
        <v>1520</v>
      </c>
      <c r="G810" s="73"/>
      <c r="H810" s="76" t="s">
        <v>1521</v>
      </c>
      <c r="I810" s="96" t="s">
        <v>514</v>
      </c>
      <c r="J810" s="96"/>
      <c r="K810" s="76"/>
      <c r="L810" s="76"/>
      <c r="M810" s="76"/>
      <c r="N810" s="76"/>
      <c r="O810" s="76"/>
      <c r="P810" s="76"/>
      <c r="Q810" s="76"/>
      <c r="R810" s="76"/>
      <c r="S810" s="76"/>
      <c r="T810" s="76"/>
      <c r="U810" s="97">
        <f t="shared" si="135"/>
        <v>0.19500000000000001</v>
      </c>
      <c r="V810" s="97">
        <f t="shared" si="135"/>
        <v>0.19500000000000001</v>
      </c>
      <c r="W810" s="97">
        <f t="shared" si="135"/>
        <v>0.19500000000000001</v>
      </c>
      <c r="X810" s="97">
        <f>0.64/2</f>
        <v>0.32</v>
      </c>
      <c r="Y810" s="97">
        <f t="shared" si="136"/>
        <v>0.32</v>
      </c>
      <c r="Z810" s="97">
        <f t="shared" si="136"/>
        <v>0.32</v>
      </c>
      <c r="AA810" s="97">
        <f t="shared" si="136"/>
        <v>0.32</v>
      </c>
      <c r="AB810" s="97">
        <f t="shared" si="136"/>
        <v>0.32</v>
      </c>
      <c r="AC810" s="97">
        <f t="shared" si="136"/>
        <v>0.32</v>
      </c>
      <c r="AD810" s="97" t="s">
        <v>1039</v>
      </c>
      <c r="AE810" s="76"/>
      <c r="AF810" s="97">
        <v>1</v>
      </c>
      <c r="AG810" s="97">
        <v>1</v>
      </c>
      <c r="AH810" s="73"/>
      <c r="AI810" s="57"/>
      <c r="AJ810" s="45"/>
      <c r="AK810" s="45"/>
      <c r="AL810" s="45"/>
    </row>
    <row r="811" spans="1:38" hidden="1" outlineLevel="2" x14ac:dyDescent="0.35">
      <c r="A811" s="45"/>
      <c r="B811" s="54"/>
      <c r="C811" s="47">
        <f t="shared" si="133"/>
        <v>3</v>
      </c>
      <c r="D811" s="73"/>
      <c r="E811" s="70" t="s">
        <v>1522</v>
      </c>
      <c r="F811" s="70" t="s">
        <v>1523</v>
      </c>
      <c r="G811" s="73"/>
      <c r="H811" s="76" t="s">
        <v>1524</v>
      </c>
      <c r="I811" s="96" t="s">
        <v>514</v>
      </c>
      <c r="J811" s="96"/>
      <c r="K811" s="76"/>
      <c r="L811" s="76"/>
      <c r="M811" s="76"/>
      <c r="N811" s="76"/>
      <c r="O811" s="76"/>
      <c r="P811" s="76"/>
      <c r="Q811" s="76"/>
      <c r="R811" s="76"/>
      <c r="S811" s="76"/>
      <c r="T811" s="76"/>
      <c r="U811" s="76">
        <v>-1</v>
      </c>
      <c r="V811" s="76">
        <v>-1</v>
      </c>
      <c r="W811" s="76">
        <v>-1</v>
      </c>
      <c r="X811" s="76">
        <v>-1</v>
      </c>
      <c r="Y811" s="76">
        <v>-1</v>
      </c>
      <c r="Z811" s="76">
        <v>-1</v>
      </c>
      <c r="AA811" s="76">
        <v>-1</v>
      </c>
      <c r="AB811" s="76">
        <v>-1</v>
      </c>
      <c r="AC811" s="76"/>
      <c r="AD811" s="271" t="s">
        <v>1513</v>
      </c>
      <c r="AE811" s="76"/>
      <c r="AF811" s="76">
        <v>1</v>
      </c>
      <c r="AG811" s="76">
        <v>1</v>
      </c>
      <c r="AH811" s="73"/>
      <c r="AI811" s="57"/>
      <c r="AJ811" s="45"/>
      <c r="AK811" s="45"/>
      <c r="AL811" s="45"/>
    </row>
    <row r="812" spans="1:38" hidden="1" outlineLevel="2" x14ac:dyDescent="0.35">
      <c r="A812" s="45"/>
      <c r="B812" s="54"/>
      <c r="C812" s="47">
        <f t="shared" si="133"/>
        <v>3</v>
      </c>
      <c r="D812" s="73"/>
      <c r="E812" s="70"/>
      <c r="F812" s="70" t="s">
        <v>1525</v>
      </c>
      <c r="G812" s="73"/>
      <c r="H812" s="76" t="s">
        <v>1526</v>
      </c>
      <c r="I812" s="96" t="s">
        <v>514</v>
      </c>
      <c r="J812" s="96"/>
      <c r="K812" s="76"/>
      <c r="L812" s="76"/>
      <c r="M812" s="97">
        <v>0.5</v>
      </c>
      <c r="N812" s="97">
        <v>0.5</v>
      </c>
      <c r="O812" s="97">
        <v>0.5</v>
      </c>
      <c r="P812" s="97">
        <v>0.5</v>
      </c>
      <c r="Q812" s="76"/>
      <c r="R812" s="76"/>
      <c r="S812" s="97" t="s">
        <v>1527</v>
      </c>
      <c r="T812" s="76"/>
      <c r="U812" s="97">
        <v>-0.53</v>
      </c>
      <c r="V812" s="97">
        <v>-0.53</v>
      </c>
      <c r="W812" s="97">
        <v>-0.62</v>
      </c>
      <c r="X812" s="97">
        <v>-1.8049999999999999</v>
      </c>
      <c r="Y812" s="97">
        <v>-1.8049999999999999</v>
      </c>
      <c r="Z812" s="97">
        <v>-1.8049999999999999</v>
      </c>
      <c r="AA812" s="97">
        <v>-1.8049999999999999</v>
      </c>
      <c r="AB812" s="97">
        <v>-1.8049999999999999</v>
      </c>
      <c r="AC812" s="76"/>
      <c r="AD812" s="97" t="s">
        <v>1532</v>
      </c>
      <c r="AE812" s="76"/>
      <c r="AF812" s="97">
        <v>1</v>
      </c>
      <c r="AG812" s="97">
        <v>1</v>
      </c>
      <c r="AH812" s="73"/>
      <c r="AI812" s="57"/>
      <c r="AJ812" s="45"/>
      <c r="AK812" s="45"/>
      <c r="AL812" s="45"/>
    </row>
    <row r="813" spans="1:38" hidden="1" outlineLevel="2" x14ac:dyDescent="0.35">
      <c r="A813" s="45"/>
      <c r="B813" s="54"/>
      <c r="C813" s="47">
        <f t="shared" si="133"/>
        <v>3</v>
      </c>
      <c r="D813" s="73"/>
      <c r="E813" s="70"/>
      <c r="F813" s="70" t="s">
        <v>1528</v>
      </c>
      <c r="G813" s="73"/>
      <c r="H813" s="76" t="s">
        <v>1529</v>
      </c>
      <c r="I813" s="96" t="s">
        <v>514</v>
      </c>
      <c r="J813" s="96"/>
      <c r="K813" s="76"/>
      <c r="L813" s="76"/>
      <c r="M813" s="76"/>
      <c r="N813" s="76"/>
      <c r="O813" s="76"/>
      <c r="P813" s="76"/>
      <c r="Q813" s="76"/>
      <c r="R813" s="76"/>
      <c r="S813" s="76"/>
      <c r="T813" s="76"/>
      <c r="U813" s="97">
        <v>-0.03</v>
      </c>
      <c r="V813" s="97">
        <v>-0.03</v>
      </c>
      <c r="W813" s="97">
        <f>0.22-0.15333-0.0943558638870769-0.0167557005297176</f>
        <v>-4.4441564416794491E-2</v>
      </c>
      <c r="X813" s="97">
        <v>-2.6150000000000002</v>
      </c>
      <c r="Y813" s="97">
        <v>-2.6150000000000002</v>
      </c>
      <c r="Z813" s="97">
        <v>-2.6150000000000002</v>
      </c>
      <c r="AA813" s="97">
        <v>-2.6150000000000002</v>
      </c>
      <c r="AB813" s="97">
        <v>-2.6150000000000002</v>
      </c>
      <c r="AC813" s="76"/>
      <c r="AD813" s="97" t="s">
        <v>1532</v>
      </c>
      <c r="AE813" s="76"/>
      <c r="AF813" s="97">
        <v>1</v>
      </c>
      <c r="AG813" s="97">
        <v>1</v>
      </c>
      <c r="AH813" s="73"/>
      <c r="AI813" s="57"/>
      <c r="AJ813" s="45"/>
      <c r="AK813" s="45"/>
      <c r="AL813" s="45"/>
    </row>
    <row r="814" spans="1:38" hidden="1" outlineLevel="2" x14ac:dyDescent="0.35">
      <c r="A814" s="45"/>
      <c r="B814" s="54"/>
      <c r="C814" s="47">
        <f t="shared" si="133"/>
        <v>3</v>
      </c>
      <c r="D814" s="73"/>
      <c r="E814" s="70"/>
      <c r="F814" s="70" t="s">
        <v>1530</v>
      </c>
      <c r="G814" s="73"/>
      <c r="H814" s="76" t="s">
        <v>1531</v>
      </c>
      <c r="I814" s="96" t="s">
        <v>514</v>
      </c>
      <c r="J814" s="96"/>
      <c r="K814" s="76"/>
      <c r="L814" s="76"/>
      <c r="M814" s="76"/>
      <c r="N814" s="76"/>
      <c r="O814" s="76"/>
      <c r="P814" s="76"/>
      <c r="Q814" s="76"/>
      <c r="R814" s="76"/>
      <c r="S814" s="76"/>
      <c r="T814" s="76"/>
      <c r="U814" s="97">
        <v>3.6549999999999998</v>
      </c>
      <c r="V814" s="97">
        <v>3.6549999999999998</v>
      </c>
      <c r="W814" s="97">
        <v>3.6549999999999998</v>
      </c>
      <c r="X814" s="97">
        <v>1.4500000000000002</v>
      </c>
      <c r="Y814" s="97">
        <v>1.4500000000000002</v>
      </c>
      <c r="Z814" s="97">
        <v>1.4500000000000002</v>
      </c>
      <c r="AA814" s="97">
        <v>1.4500000000000002</v>
      </c>
      <c r="AB814" s="97">
        <v>1.4500000000000002</v>
      </c>
      <c r="AC814" s="76"/>
      <c r="AD814" s="97" t="s">
        <v>1532</v>
      </c>
      <c r="AE814" s="76"/>
      <c r="AF814" s="97">
        <v>1</v>
      </c>
      <c r="AG814" s="97">
        <v>1</v>
      </c>
      <c r="AH814" s="73"/>
      <c r="AI814" s="57"/>
      <c r="AJ814" s="45"/>
      <c r="AK814" s="45"/>
      <c r="AL814" s="45"/>
    </row>
    <row r="815" spans="1:38" hidden="1" outlineLevel="2" x14ac:dyDescent="0.35">
      <c r="A815" s="45"/>
      <c r="B815" s="54"/>
      <c r="C815" s="47">
        <f t="shared" si="133"/>
        <v>3</v>
      </c>
      <c r="D815" s="73"/>
      <c r="E815" s="70" t="s">
        <v>1533</v>
      </c>
      <c r="F815" s="70" t="s">
        <v>1534</v>
      </c>
      <c r="G815" s="73"/>
      <c r="H815" s="76" t="s">
        <v>1535</v>
      </c>
      <c r="I815" s="96" t="s">
        <v>514</v>
      </c>
      <c r="J815" s="96"/>
      <c r="K815" s="76"/>
      <c r="L815" s="76"/>
      <c r="M815" s="76"/>
      <c r="N815" s="76"/>
      <c r="O815" s="76"/>
      <c r="P815" s="76"/>
      <c r="Q815" s="76"/>
      <c r="R815" s="76"/>
      <c r="S815" s="76"/>
      <c r="T815" s="76"/>
      <c r="U815" s="76">
        <v>-0.99</v>
      </c>
      <c r="V815" s="76">
        <v>-0.99</v>
      </c>
      <c r="W815" s="76">
        <v>-0.99</v>
      </c>
      <c r="X815" s="76">
        <v>-0.99</v>
      </c>
      <c r="Y815" s="76">
        <v>-0.99</v>
      </c>
      <c r="Z815" s="76">
        <v>-0.99</v>
      </c>
      <c r="AA815" s="76">
        <v>-0.99</v>
      </c>
      <c r="AB815" s="76">
        <v>-0.99</v>
      </c>
      <c r="AC815" s="76"/>
      <c r="AD815" s="271" t="s">
        <v>1513</v>
      </c>
      <c r="AE815" s="76"/>
      <c r="AF815" s="76">
        <v>1</v>
      </c>
      <c r="AG815" s="76">
        <v>1</v>
      </c>
      <c r="AH815" s="73"/>
      <c r="AI815" s="57"/>
      <c r="AJ815" s="45"/>
      <c r="AK815" s="45"/>
      <c r="AL815" s="45"/>
    </row>
    <row r="816" spans="1:38" hidden="1" outlineLevel="2" x14ac:dyDescent="0.35">
      <c r="A816" s="45"/>
      <c r="B816" s="54"/>
      <c r="C816" s="47">
        <f t="shared" si="133"/>
        <v>3</v>
      </c>
      <c r="D816" s="73"/>
      <c r="E816" s="70"/>
      <c r="F816" s="70" t="s">
        <v>1536</v>
      </c>
      <c r="G816" s="73"/>
      <c r="H816" s="76" t="s">
        <v>1526</v>
      </c>
      <c r="I816" s="96" t="s">
        <v>514</v>
      </c>
      <c r="J816" s="96"/>
      <c r="K816" s="76"/>
      <c r="L816" s="76"/>
      <c r="M816" s="97">
        <v>1</v>
      </c>
      <c r="N816" s="97">
        <v>1</v>
      </c>
      <c r="O816" s="97">
        <v>1</v>
      </c>
      <c r="P816" s="97">
        <v>1</v>
      </c>
      <c r="Q816" s="76"/>
      <c r="R816" s="76"/>
      <c r="S816" s="97" t="s">
        <v>1527</v>
      </c>
      <c r="T816" s="76"/>
      <c r="U816" s="97">
        <v>1.81</v>
      </c>
      <c r="V816" s="97">
        <v>1.81</v>
      </c>
      <c r="W816" s="97">
        <f>1.5-0.15-0.0628337657168588</f>
        <v>1.2871662342831414</v>
      </c>
      <c r="X816" s="97">
        <v>3.3149999999999999</v>
      </c>
      <c r="Y816" s="97">
        <v>3.3149999999999999</v>
      </c>
      <c r="Z816" s="97">
        <v>3.3149999999999999</v>
      </c>
      <c r="AA816" s="97">
        <v>3.3149999999999999</v>
      </c>
      <c r="AB816" s="97">
        <v>3.3149999999999999</v>
      </c>
      <c r="AC816" s="76"/>
      <c r="AD816" s="97" t="s">
        <v>1532</v>
      </c>
      <c r="AE816" s="76"/>
      <c r="AF816" s="97">
        <v>1</v>
      </c>
      <c r="AG816" s="97">
        <v>1</v>
      </c>
      <c r="AH816" s="73"/>
      <c r="AI816" s="57"/>
      <c r="AJ816" s="45"/>
      <c r="AK816" s="45"/>
      <c r="AL816" s="45"/>
    </row>
    <row r="817" spans="1:38" hidden="1" outlineLevel="2" x14ac:dyDescent="0.35">
      <c r="A817" s="45"/>
      <c r="B817" s="54"/>
      <c r="C817" s="47">
        <f t="shared" si="133"/>
        <v>3</v>
      </c>
      <c r="D817" s="73"/>
      <c r="E817" s="70"/>
      <c r="F817" s="70" t="s">
        <v>1537</v>
      </c>
      <c r="G817" s="73"/>
      <c r="H817" s="76" t="s">
        <v>1529</v>
      </c>
      <c r="I817" s="96" t="s">
        <v>514</v>
      </c>
      <c r="J817" s="96"/>
      <c r="K817" s="76"/>
      <c r="L817" s="76"/>
      <c r="M817" s="76"/>
      <c r="N817" s="76"/>
      <c r="O817" s="76"/>
      <c r="P817" s="76"/>
      <c r="Q817" s="76"/>
      <c r="R817" s="76"/>
      <c r="S817" s="76"/>
      <c r="T817" s="76"/>
      <c r="U817" s="97">
        <v>2.66</v>
      </c>
      <c r="V817" s="97">
        <v>2.66</v>
      </c>
      <c r="W817" s="97">
        <f>2.41-0.16-0.0943558638870769-0.0167557005297176</f>
        <v>2.1388884355832056</v>
      </c>
      <c r="X817" s="97">
        <v>4.4850000000000003</v>
      </c>
      <c r="Y817" s="97">
        <v>4.4850000000000003</v>
      </c>
      <c r="Z817" s="97">
        <v>4.4850000000000003</v>
      </c>
      <c r="AA817" s="97">
        <v>4.4850000000000003</v>
      </c>
      <c r="AB817" s="97">
        <v>4.4850000000000003</v>
      </c>
      <c r="AC817" s="76"/>
      <c r="AD817" s="97" t="s">
        <v>1532</v>
      </c>
      <c r="AE817" s="76"/>
      <c r="AF817" s="97">
        <v>1</v>
      </c>
      <c r="AG817" s="97">
        <v>1</v>
      </c>
      <c r="AH817" s="73"/>
      <c r="AI817" s="57"/>
      <c r="AJ817" s="45"/>
      <c r="AK817" s="45"/>
      <c r="AL817" s="45"/>
    </row>
    <row r="818" spans="1:38" hidden="1" outlineLevel="2" x14ac:dyDescent="0.35">
      <c r="A818" s="45"/>
      <c r="B818" s="54"/>
      <c r="C818" s="47">
        <f t="shared" si="133"/>
        <v>3</v>
      </c>
      <c r="D818" s="73"/>
      <c r="E818" s="70"/>
      <c r="F818" s="70" t="s">
        <v>1538</v>
      </c>
      <c r="G818" s="73"/>
      <c r="H818" s="76" t="s">
        <v>1531</v>
      </c>
      <c r="I818" s="96" t="s">
        <v>514</v>
      </c>
      <c r="J818" s="96"/>
      <c r="K818" s="76"/>
      <c r="L818" s="76"/>
      <c r="M818" s="76"/>
      <c r="N818" s="76"/>
      <c r="O818" s="76"/>
      <c r="P818" s="76"/>
      <c r="Q818" s="76"/>
      <c r="R818" s="76"/>
      <c r="S818" s="76"/>
      <c r="T818" s="76"/>
      <c r="U818" s="97">
        <v>6.3449999999999998</v>
      </c>
      <c r="V818" s="97">
        <v>6.3449999999999998</v>
      </c>
      <c r="W818" s="97">
        <v>10</v>
      </c>
      <c r="X818" s="97">
        <v>8.5500000000000007</v>
      </c>
      <c r="Y818" s="97">
        <v>8.5500000000000007</v>
      </c>
      <c r="Z818" s="97">
        <v>8.5500000000000007</v>
      </c>
      <c r="AA818" s="97">
        <v>8.5500000000000007</v>
      </c>
      <c r="AB818" s="97">
        <v>8.5500000000000007</v>
      </c>
      <c r="AC818" s="76"/>
      <c r="AD818" s="97" t="s">
        <v>1532</v>
      </c>
      <c r="AE818" s="76"/>
      <c r="AF818" s="97">
        <v>1</v>
      </c>
      <c r="AG818" s="97">
        <v>1</v>
      </c>
      <c r="AH818" s="73"/>
      <c r="AI818" s="57"/>
      <c r="AJ818" s="45"/>
      <c r="AK818" s="45"/>
      <c r="AL818" s="45"/>
    </row>
    <row r="819" spans="1:38" hidden="1" outlineLevel="2" x14ac:dyDescent="0.35">
      <c r="A819" s="45"/>
      <c r="B819" s="54"/>
      <c r="C819" s="47">
        <f t="shared" si="133"/>
        <v>3</v>
      </c>
      <c r="D819" s="73"/>
      <c r="E819" s="70" t="s">
        <v>1539</v>
      </c>
      <c r="F819" s="70" t="s">
        <v>1540</v>
      </c>
      <c r="G819" s="73"/>
      <c r="H819" s="76" t="s">
        <v>1541</v>
      </c>
      <c r="I819" s="96"/>
      <c r="J819" s="96"/>
      <c r="K819" s="76"/>
      <c r="L819" s="76"/>
      <c r="M819" s="76"/>
      <c r="N819" s="76"/>
      <c r="O819" s="76"/>
      <c r="P819" s="76"/>
      <c r="Q819" s="76"/>
      <c r="R819" s="76"/>
      <c r="S819" s="76"/>
      <c r="T819" s="76"/>
      <c r="U819" s="76">
        <v>1</v>
      </c>
      <c r="V819" s="76">
        <v>1</v>
      </c>
      <c r="W819" s="76">
        <v>1</v>
      </c>
      <c r="X819" s="76">
        <v>1</v>
      </c>
      <c r="Y819" s="76">
        <v>1</v>
      </c>
      <c r="Z819" s="76">
        <v>1</v>
      </c>
      <c r="AA819" s="76">
        <v>1</v>
      </c>
      <c r="AB819" s="76">
        <v>1</v>
      </c>
      <c r="AC819" s="76"/>
      <c r="AD819" s="271" t="s">
        <v>1542</v>
      </c>
      <c r="AE819" s="76"/>
      <c r="AF819" s="76">
        <v>1</v>
      </c>
      <c r="AG819" s="76">
        <v>1</v>
      </c>
      <c r="AH819" s="73"/>
      <c r="AI819" s="57"/>
      <c r="AJ819" s="45"/>
      <c r="AK819" s="45"/>
      <c r="AL819" s="45"/>
    </row>
    <row r="820" spans="1:38" hidden="1" outlineLevel="2" x14ac:dyDescent="0.35">
      <c r="A820" s="45"/>
      <c r="B820" s="54"/>
      <c r="C820" s="47">
        <f t="shared" si="133"/>
        <v>3</v>
      </c>
      <c r="D820" s="73"/>
      <c r="E820" s="70"/>
      <c r="F820" s="70" t="s">
        <v>1543</v>
      </c>
      <c r="G820" s="73"/>
      <c r="H820" s="76" t="s">
        <v>1544</v>
      </c>
      <c r="I820" s="96"/>
      <c r="J820" s="96"/>
      <c r="K820" s="76"/>
      <c r="L820" s="76"/>
      <c r="M820" s="76"/>
      <c r="N820" s="76"/>
      <c r="O820" s="76"/>
      <c r="P820" s="76"/>
      <c r="Q820" s="76"/>
      <c r="R820" s="76"/>
      <c r="S820" s="76"/>
      <c r="T820" s="76"/>
      <c r="U820" s="76">
        <v>1</v>
      </c>
      <c r="V820" s="76">
        <v>1</v>
      </c>
      <c r="W820" s="76">
        <v>1</v>
      </c>
      <c r="X820" s="76">
        <v>1</v>
      </c>
      <c r="Y820" s="76">
        <v>1</v>
      </c>
      <c r="Z820" s="76">
        <v>1</v>
      </c>
      <c r="AA820" s="76">
        <v>1</v>
      </c>
      <c r="AB820" s="76">
        <v>1</v>
      </c>
      <c r="AC820" s="76"/>
      <c r="AD820" s="271" t="s">
        <v>1542</v>
      </c>
      <c r="AE820" s="76"/>
      <c r="AF820" s="97">
        <v>1</v>
      </c>
      <c r="AG820" s="97">
        <v>1</v>
      </c>
      <c r="AH820" s="73"/>
      <c r="AI820" s="57"/>
      <c r="AJ820" s="45"/>
      <c r="AK820" s="45"/>
      <c r="AL820" s="45"/>
    </row>
    <row r="821" spans="1:38" hidden="1" outlineLevel="2" x14ac:dyDescent="0.35">
      <c r="A821" s="45"/>
      <c r="B821" s="54"/>
      <c r="C821" s="47">
        <f t="shared" si="133"/>
        <v>3</v>
      </c>
      <c r="D821" s="73"/>
      <c r="E821" s="70"/>
      <c r="F821" s="70" t="s">
        <v>1545</v>
      </c>
      <c r="G821" s="73"/>
      <c r="H821" s="76" t="s">
        <v>1546</v>
      </c>
      <c r="I821" s="96" t="s">
        <v>1547</v>
      </c>
      <c r="J821" s="96"/>
      <c r="K821" s="76"/>
      <c r="L821" s="76"/>
      <c r="M821" s="76"/>
      <c r="N821" s="76"/>
      <c r="O821" s="76"/>
      <c r="P821" s="76"/>
      <c r="Q821" s="76"/>
      <c r="R821" s="76"/>
      <c r="S821" s="76"/>
      <c r="T821" s="76"/>
      <c r="U821" s="97">
        <f>0.2-(0.2944/2)</f>
        <v>5.2800000000000014E-2</v>
      </c>
      <c r="V821" s="97">
        <f t="shared" ref="V821:AB822" si="137">0.2-(0.2944/2)</f>
        <v>5.2800000000000014E-2</v>
      </c>
      <c r="W821" s="97">
        <f t="shared" si="137"/>
        <v>5.2800000000000014E-2</v>
      </c>
      <c r="X821" s="97">
        <f t="shared" si="137"/>
        <v>5.2800000000000014E-2</v>
      </c>
      <c r="Y821" s="97">
        <f t="shared" si="137"/>
        <v>5.2800000000000014E-2</v>
      </c>
      <c r="Z821" s="97">
        <f t="shared" si="137"/>
        <v>5.2800000000000014E-2</v>
      </c>
      <c r="AA821" s="97">
        <f t="shared" si="137"/>
        <v>5.2800000000000014E-2</v>
      </c>
      <c r="AB821" s="97">
        <f t="shared" si="137"/>
        <v>5.2800000000000014E-2</v>
      </c>
      <c r="AC821" s="76"/>
      <c r="AD821" s="97" t="s">
        <v>1548</v>
      </c>
      <c r="AE821" s="76"/>
      <c r="AF821" s="97">
        <v>1</v>
      </c>
      <c r="AG821" s="97">
        <v>1</v>
      </c>
      <c r="AH821" s="73"/>
      <c r="AI821" s="57"/>
      <c r="AJ821" s="45"/>
      <c r="AK821" s="45"/>
      <c r="AL821" s="45"/>
    </row>
    <row r="822" spans="1:38" hidden="1" outlineLevel="2" x14ac:dyDescent="0.35">
      <c r="A822" s="45"/>
      <c r="B822" s="54"/>
      <c r="C822" s="47">
        <f t="shared" si="133"/>
        <v>3</v>
      </c>
      <c r="D822" s="73"/>
      <c r="E822" s="70"/>
      <c r="F822" s="70" t="s">
        <v>1549</v>
      </c>
      <c r="G822" s="73"/>
      <c r="H822" s="76" t="s">
        <v>1550</v>
      </c>
      <c r="I822" s="96" t="s">
        <v>1547</v>
      </c>
      <c r="J822" s="96"/>
      <c r="K822" s="76"/>
      <c r="L822" s="76"/>
      <c r="M822" s="76"/>
      <c r="N822" s="76"/>
      <c r="O822" s="76"/>
      <c r="P822" s="76"/>
      <c r="Q822" s="76"/>
      <c r="R822" s="76"/>
      <c r="S822" s="76"/>
      <c r="T822" s="76"/>
      <c r="U822" s="97">
        <f>0.2-(0.2944/2)</f>
        <v>5.2800000000000014E-2</v>
      </c>
      <c r="V822" s="97">
        <f t="shared" si="137"/>
        <v>5.2800000000000014E-2</v>
      </c>
      <c r="W822" s="97">
        <f t="shared" si="137"/>
        <v>5.2800000000000014E-2</v>
      </c>
      <c r="X822" s="97">
        <f t="shared" si="137"/>
        <v>5.2800000000000014E-2</v>
      </c>
      <c r="Y822" s="97">
        <f t="shared" si="137"/>
        <v>5.2800000000000014E-2</v>
      </c>
      <c r="Z822" s="97">
        <f t="shared" si="137"/>
        <v>5.2800000000000014E-2</v>
      </c>
      <c r="AA822" s="97">
        <f t="shared" si="137"/>
        <v>5.2800000000000014E-2</v>
      </c>
      <c r="AB822" s="97">
        <f t="shared" si="137"/>
        <v>5.2800000000000014E-2</v>
      </c>
      <c r="AC822" s="76"/>
      <c r="AD822" s="97" t="s">
        <v>1551</v>
      </c>
      <c r="AE822" s="76"/>
      <c r="AF822" s="97">
        <v>1</v>
      </c>
      <c r="AG822" s="97">
        <v>1</v>
      </c>
      <c r="AH822" s="73"/>
      <c r="AI822" s="57"/>
      <c r="AJ822" s="45"/>
      <c r="AK822" s="45"/>
      <c r="AL822" s="45"/>
    </row>
    <row r="823" spans="1:38" hidden="1" outlineLevel="2" x14ac:dyDescent="0.35">
      <c r="A823" s="45"/>
      <c r="B823" s="54"/>
      <c r="C823" s="47">
        <f t="shared" si="133"/>
        <v>3</v>
      </c>
      <c r="D823" s="73"/>
      <c r="E823" s="70" t="s">
        <v>1552</v>
      </c>
      <c r="F823" s="70" t="s">
        <v>1553</v>
      </c>
      <c r="G823" s="73"/>
      <c r="H823" s="76" t="s">
        <v>1554</v>
      </c>
      <c r="I823" s="96"/>
      <c r="J823" s="96"/>
      <c r="K823" s="76"/>
      <c r="L823" s="76"/>
      <c r="M823" s="76"/>
      <c r="N823" s="76"/>
      <c r="O823" s="76"/>
      <c r="P823" s="76"/>
      <c r="Q823" s="76"/>
      <c r="R823" s="76"/>
      <c r="S823" s="76"/>
      <c r="T823" s="76"/>
      <c r="U823" s="76">
        <v>1.1000000000000001</v>
      </c>
      <c r="V823" s="76">
        <v>1.1000000000000001</v>
      </c>
      <c r="W823" s="76">
        <v>1.1000000000000001</v>
      </c>
      <c r="X823" s="76">
        <v>1.1000000000000001</v>
      </c>
      <c r="Y823" s="76">
        <v>1.1000000000000001</v>
      </c>
      <c r="Z823" s="76">
        <v>1.1000000000000001</v>
      </c>
      <c r="AA823" s="76">
        <v>1.1000000000000001</v>
      </c>
      <c r="AB823" s="76">
        <v>1.1000000000000001</v>
      </c>
      <c r="AC823" s="76"/>
      <c r="AD823" s="271" t="s">
        <v>1542</v>
      </c>
      <c r="AE823" s="76"/>
      <c r="AF823" s="76">
        <v>1</v>
      </c>
      <c r="AG823" s="76">
        <v>1</v>
      </c>
      <c r="AH823" s="73"/>
      <c r="AI823" s="57"/>
      <c r="AJ823" s="45"/>
      <c r="AK823" s="45"/>
      <c r="AL823" s="45"/>
    </row>
    <row r="824" spans="1:38" hidden="1" outlineLevel="2" x14ac:dyDescent="0.35">
      <c r="A824" s="45"/>
      <c r="B824" s="54"/>
      <c r="C824" s="47">
        <f t="shared" si="133"/>
        <v>3</v>
      </c>
      <c r="D824" s="73"/>
      <c r="E824" s="70"/>
      <c r="F824" s="70" t="s">
        <v>1555</v>
      </c>
      <c r="G824" s="73"/>
      <c r="H824" s="76" t="s">
        <v>1544</v>
      </c>
      <c r="I824" s="96"/>
      <c r="J824" s="96"/>
      <c r="K824" s="76"/>
      <c r="L824" s="76"/>
      <c r="M824" s="76"/>
      <c r="N824" s="76"/>
      <c r="O824" s="76"/>
      <c r="P824" s="76"/>
      <c r="Q824" s="76"/>
      <c r="R824" s="76"/>
      <c r="S824" s="76"/>
      <c r="T824" s="76"/>
      <c r="U824" s="76">
        <v>1.1000000000000001</v>
      </c>
      <c r="V824" s="76">
        <v>1.1000000000000001</v>
      </c>
      <c r="W824" s="76">
        <v>1.1000000000000001</v>
      </c>
      <c r="X824" s="76">
        <v>1.1000000000000001</v>
      </c>
      <c r="Y824" s="76">
        <v>1.1000000000000001</v>
      </c>
      <c r="Z824" s="76">
        <v>1.1000000000000001</v>
      </c>
      <c r="AA824" s="76">
        <v>1.1000000000000001</v>
      </c>
      <c r="AB824" s="76">
        <v>1.1000000000000001</v>
      </c>
      <c r="AC824" s="76"/>
      <c r="AD824" s="271" t="s">
        <v>1542</v>
      </c>
      <c r="AE824" s="76"/>
      <c r="AF824" s="97">
        <v>1</v>
      </c>
      <c r="AG824" s="97">
        <v>1</v>
      </c>
      <c r="AH824" s="73"/>
      <c r="AI824" s="57"/>
      <c r="AJ824" s="45"/>
      <c r="AK824" s="45"/>
      <c r="AL824" s="45"/>
    </row>
    <row r="825" spans="1:38" hidden="1" outlineLevel="2" x14ac:dyDescent="0.35">
      <c r="A825" s="45"/>
      <c r="B825" s="54"/>
      <c r="C825" s="47">
        <f t="shared" si="133"/>
        <v>3</v>
      </c>
      <c r="D825" s="73"/>
      <c r="E825" s="70"/>
      <c r="F825" s="70" t="s">
        <v>1556</v>
      </c>
      <c r="G825" s="73"/>
      <c r="H825" s="76" t="s">
        <v>1546</v>
      </c>
      <c r="I825" s="96" t="s">
        <v>1547</v>
      </c>
      <c r="J825" s="96"/>
      <c r="K825" s="76"/>
      <c r="L825" s="76"/>
      <c r="M825" s="76"/>
      <c r="N825" s="76"/>
      <c r="O825" s="76"/>
      <c r="P825" s="76"/>
      <c r="Q825" s="76"/>
      <c r="R825" s="76"/>
      <c r="S825" s="76"/>
      <c r="T825" s="76"/>
      <c r="U825" s="97">
        <f>0.2+(0.2944/2)</f>
        <v>0.34720000000000001</v>
      </c>
      <c r="V825" s="97">
        <f t="shared" ref="V825:AB826" si="138">0.2+(0.2944/2)</f>
        <v>0.34720000000000001</v>
      </c>
      <c r="W825" s="97">
        <f t="shared" si="138"/>
        <v>0.34720000000000001</v>
      </c>
      <c r="X825" s="97">
        <f t="shared" si="138"/>
        <v>0.34720000000000001</v>
      </c>
      <c r="Y825" s="97">
        <f t="shared" si="138"/>
        <v>0.34720000000000001</v>
      </c>
      <c r="Z825" s="97">
        <f t="shared" si="138"/>
        <v>0.34720000000000001</v>
      </c>
      <c r="AA825" s="97">
        <f t="shared" si="138"/>
        <v>0.34720000000000001</v>
      </c>
      <c r="AB825" s="97">
        <f t="shared" si="138"/>
        <v>0.34720000000000001</v>
      </c>
      <c r="AC825" s="76"/>
      <c r="AD825" s="97" t="s">
        <v>2300</v>
      </c>
      <c r="AE825" s="76"/>
      <c r="AF825" s="97">
        <v>1</v>
      </c>
      <c r="AG825" s="97">
        <v>1</v>
      </c>
      <c r="AH825" s="73"/>
      <c r="AI825" s="57"/>
      <c r="AJ825" s="45"/>
      <c r="AK825" s="45"/>
      <c r="AL825" s="45"/>
    </row>
    <row r="826" spans="1:38" hidden="1" outlineLevel="2" x14ac:dyDescent="0.35">
      <c r="A826" s="45"/>
      <c r="B826" s="54"/>
      <c r="C826" s="47">
        <f t="shared" si="133"/>
        <v>3</v>
      </c>
      <c r="D826" s="73"/>
      <c r="E826" s="70"/>
      <c r="F826" s="70" t="s">
        <v>1557</v>
      </c>
      <c r="G826" s="73"/>
      <c r="H826" s="76" t="s">
        <v>1550</v>
      </c>
      <c r="I826" s="96" t="s">
        <v>1547</v>
      </c>
      <c r="J826" s="96"/>
      <c r="K826" s="76"/>
      <c r="L826" s="76"/>
      <c r="M826" s="76"/>
      <c r="N826" s="76"/>
      <c r="O826" s="76"/>
      <c r="P826" s="76"/>
      <c r="Q826" s="76"/>
      <c r="R826" s="76"/>
      <c r="S826" s="76"/>
      <c r="T826" s="76"/>
      <c r="U826" s="97">
        <f>0.2+(0.2944/2)</f>
        <v>0.34720000000000001</v>
      </c>
      <c r="V826" s="97">
        <f t="shared" si="138"/>
        <v>0.34720000000000001</v>
      </c>
      <c r="W826" s="97">
        <f t="shared" si="138"/>
        <v>0.34720000000000001</v>
      </c>
      <c r="X826" s="97">
        <f t="shared" si="138"/>
        <v>0.34720000000000001</v>
      </c>
      <c r="Y826" s="97">
        <f t="shared" si="138"/>
        <v>0.34720000000000001</v>
      </c>
      <c r="Z826" s="97">
        <f t="shared" si="138"/>
        <v>0.34720000000000001</v>
      </c>
      <c r="AA826" s="97">
        <f t="shared" si="138"/>
        <v>0.34720000000000001</v>
      </c>
      <c r="AB826" s="97">
        <f t="shared" si="138"/>
        <v>0.34720000000000001</v>
      </c>
      <c r="AC826" s="76"/>
      <c r="AD826" s="97" t="s">
        <v>2301</v>
      </c>
      <c r="AE826" s="76"/>
      <c r="AF826" s="97">
        <v>1</v>
      </c>
      <c r="AG826" s="97">
        <v>1</v>
      </c>
      <c r="AH826" s="73"/>
      <c r="AI826" s="57"/>
      <c r="AJ826" s="45"/>
      <c r="AK826" s="45"/>
      <c r="AL826" s="45"/>
    </row>
    <row r="827" spans="1:38" hidden="1" outlineLevel="2" x14ac:dyDescent="0.35">
      <c r="A827" s="45"/>
      <c r="B827" s="54"/>
      <c r="C827" s="47">
        <f t="shared" si="133"/>
        <v>3</v>
      </c>
      <c r="D827" s="73"/>
      <c r="E827" s="70" t="s">
        <v>1558</v>
      </c>
      <c r="F827" s="70" t="s">
        <v>1559</v>
      </c>
      <c r="G827" s="73"/>
      <c r="H827" s="76" t="s">
        <v>1560</v>
      </c>
      <c r="I827" s="96" t="s">
        <v>514</v>
      </c>
      <c r="J827" s="96"/>
      <c r="K827" s="76"/>
      <c r="L827" s="76"/>
      <c r="M827" s="76"/>
      <c r="N827" s="76"/>
      <c r="O827" s="76"/>
      <c r="P827" s="76"/>
      <c r="Q827" s="76"/>
      <c r="R827" s="76"/>
      <c r="S827" s="76"/>
      <c r="T827" s="76"/>
      <c r="U827" s="76">
        <v>10</v>
      </c>
      <c r="V827" s="76">
        <v>10</v>
      </c>
      <c r="W827" s="76">
        <v>10</v>
      </c>
      <c r="X827" s="76">
        <v>10</v>
      </c>
      <c r="Y827" s="76">
        <v>10</v>
      </c>
      <c r="Z827" s="76">
        <v>10</v>
      </c>
      <c r="AA827" s="76">
        <v>10</v>
      </c>
      <c r="AB827" s="76">
        <v>10</v>
      </c>
      <c r="AC827" s="76"/>
      <c r="AD827" s="271" t="s">
        <v>1542</v>
      </c>
      <c r="AE827" s="76"/>
      <c r="AF827" s="76">
        <v>1</v>
      </c>
      <c r="AG827" s="76">
        <v>1</v>
      </c>
      <c r="AH827" s="73"/>
      <c r="AI827" s="57"/>
      <c r="AJ827" s="45"/>
      <c r="AK827" s="45"/>
      <c r="AL827" s="45"/>
    </row>
    <row r="828" spans="1:38" hidden="1" outlineLevel="2" x14ac:dyDescent="0.35">
      <c r="A828" s="45"/>
      <c r="B828" s="54"/>
      <c r="C828" s="47">
        <f t="shared" si="133"/>
        <v>3</v>
      </c>
      <c r="D828" s="73"/>
      <c r="E828" s="70"/>
      <c r="F828" s="70" t="s">
        <v>1561</v>
      </c>
      <c r="G828" s="73"/>
      <c r="H828" s="76" t="s">
        <v>1544</v>
      </c>
      <c r="I828" s="96" t="s">
        <v>514</v>
      </c>
      <c r="J828" s="96"/>
      <c r="K828" s="76"/>
      <c r="L828" s="76"/>
      <c r="M828" s="76"/>
      <c r="N828" s="76"/>
      <c r="O828" s="76"/>
      <c r="P828" s="76"/>
      <c r="Q828" s="76"/>
      <c r="R828" s="76"/>
      <c r="S828" s="76"/>
      <c r="T828" s="76"/>
      <c r="U828" s="97">
        <v>1.1000000000000001</v>
      </c>
      <c r="V828" s="97">
        <v>1.1000000000000001</v>
      </c>
      <c r="W828" s="97">
        <v>1.1000000000000001</v>
      </c>
      <c r="X828" s="97">
        <v>1.1000000000000001</v>
      </c>
      <c r="Y828" s="97">
        <v>1.1000000000000001</v>
      </c>
      <c r="Z828" s="97">
        <v>1.1000000000000001</v>
      </c>
      <c r="AA828" s="97">
        <v>1.1000000000000001</v>
      </c>
      <c r="AB828" s="97">
        <v>1.1000000000000001</v>
      </c>
      <c r="AC828" s="76"/>
      <c r="AD828" s="97" t="s">
        <v>1517</v>
      </c>
      <c r="AE828" s="76"/>
      <c r="AF828" s="97">
        <v>1</v>
      </c>
      <c r="AG828" s="97">
        <v>1</v>
      </c>
      <c r="AH828" s="73"/>
      <c r="AI828" s="57"/>
      <c r="AJ828" s="45"/>
      <c r="AK828" s="45"/>
      <c r="AL828" s="45"/>
    </row>
    <row r="829" spans="1:38" hidden="1" outlineLevel="2" x14ac:dyDescent="0.35">
      <c r="A829" s="45"/>
      <c r="B829" s="54"/>
      <c r="C829" s="47">
        <f t="shared" si="133"/>
        <v>3</v>
      </c>
      <c r="D829" s="73"/>
      <c r="E829" s="70"/>
      <c r="F829" s="70" t="s">
        <v>1562</v>
      </c>
      <c r="G829" s="73"/>
      <c r="H829" s="76" t="s">
        <v>1546</v>
      </c>
      <c r="I829" s="96" t="s">
        <v>514</v>
      </c>
      <c r="J829" s="96"/>
      <c r="K829" s="76"/>
      <c r="L829" s="76"/>
      <c r="M829" s="76"/>
      <c r="N829" s="76"/>
      <c r="O829" s="76"/>
      <c r="P829" s="76"/>
      <c r="Q829" s="76"/>
      <c r="R829" s="76"/>
      <c r="S829" s="76"/>
      <c r="T829" s="76"/>
      <c r="U829" s="97">
        <v>1.1000000000000001</v>
      </c>
      <c r="V829" s="97">
        <v>1.1000000000000001</v>
      </c>
      <c r="W829" s="97">
        <v>1.1000000000000001</v>
      </c>
      <c r="X829" s="97">
        <v>1.1000000000000001</v>
      </c>
      <c r="Y829" s="97">
        <v>1.1000000000000001</v>
      </c>
      <c r="Z829" s="97">
        <v>1.1000000000000001</v>
      </c>
      <c r="AA829" s="97">
        <v>1.1000000000000001</v>
      </c>
      <c r="AB829" s="97">
        <v>1.1000000000000001</v>
      </c>
      <c r="AC829" s="76"/>
      <c r="AD829" s="97" t="s">
        <v>1517</v>
      </c>
      <c r="AE829" s="76"/>
      <c r="AF829" s="97">
        <v>1</v>
      </c>
      <c r="AG829" s="97">
        <v>1</v>
      </c>
      <c r="AH829" s="73"/>
      <c r="AI829" s="57"/>
      <c r="AJ829" s="45"/>
      <c r="AK829" s="45"/>
      <c r="AL829" s="45"/>
    </row>
    <row r="830" spans="1:38" hidden="1" outlineLevel="2" x14ac:dyDescent="0.35">
      <c r="A830" s="45"/>
      <c r="B830" s="54"/>
      <c r="C830" s="47">
        <f t="shared" si="133"/>
        <v>3</v>
      </c>
      <c r="D830" s="73"/>
      <c r="E830" s="70"/>
      <c r="F830" s="70" t="s">
        <v>1563</v>
      </c>
      <c r="G830" s="73"/>
      <c r="H830" s="76" t="s">
        <v>1550</v>
      </c>
      <c r="I830" s="96" t="s">
        <v>514</v>
      </c>
      <c r="J830" s="96"/>
      <c r="K830" s="76"/>
      <c r="L830" s="76"/>
      <c r="M830" s="76"/>
      <c r="N830" s="76"/>
      <c r="O830" s="76"/>
      <c r="P830" s="76"/>
      <c r="Q830" s="76"/>
      <c r="R830" s="76"/>
      <c r="S830" s="76"/>
      <c r="T830" s="76"/>
      <c r="U830" s="97">
        <v>1.1000000000000001</v>
      </c>
      <c r="V830" s="97">
        <v>1.1000000000000001</v>
      </c>
      <c r="W830" s="97">
        <v>1.1000000000000001</v>
      </c>
      <c r="X830" s="97">
        <v>1.1000000000000001</v>
      </c>
      <c r="Y830" s="97">
        <v>1.1000000000000001</v>
      </c>
      <c r="Z830" s="97">
        <v>1.1000000000000001</v>
      </c>
      <c r="AA830" s="97">
        <v>1.1000000000000001</v>
      </c>
      <c r="AB830" s="97">
        <v>1.1000000000000001</v>
      </c>
      <c r="AC830" s="76"/>
      <c r="AD830" s="97" t="s">
        <v>1517</v>
      </c>
      <c r="AE830" s="76"/>
      <c r="AF830" s="97">
        <v>1</v>
      </c>
      <c r="AG830" s="97">
        <v>1</v>
      </c>
      <c r="AH830" s="73"/>
      <c r="AI830" s="57"/>
      <c r="AJ830" s="45"/>
      <c r="AK830" s="45"/>
      <c r="AL830" s="45"/>
    </row>
    <row r="831" spans="1:38" hidden="1" outlineLevel="2" x14ac:dyDescent="0.35">
      <c r="A831" s="45"/>
      <c r="B831" s="54"/>
      <c r="C831" s="47">
        <f t="shared" si="133"/>
        <v>3</v>
      </c>
      <c r="D831" s="73"/>
      <c r="E831" s="70" t="s">
        <v>1564</v>
      </c>
      <c r="F831" s="70" t="s">
        <v>1565</v>
      </c>
      <c r="G831" s="73"/>
      <c r="H831" s="76" t="s">
        <v>1554</v>
      </c>
      <c r="I831" s="96" t="s">
        <v>514</v>
      </c>
      <c r="J831" s="96"/>
      <c r="K831" s="76"/>
      <c r="L831" s="76"/>
      <c r="M831" s="76"/>
      <c r="N831" s="76"/>
      <c r="O831" s="76"/>
      <c r="P831" s="76"/>
      <c r="Q831" s="76"/>
      <c r="R831" s="76"/>
      <c r="S831" s="76"/>
      <c r="T831" s="76"/>
      <c r="U831" s="76">
        <v>11</v>
      </c>
      <c r="V831" s="76">
        <v>11</v>
      </c>
      <c r="W831" s="76">
        <v>11</v>
      </c>
      <c r="X831" s="76">
        <v>11</v>
      </c>
      <c r="Y831" s="76">
        <v>11</v>
      </c>
      <c r="Z831" s="76">
        <v>11</v>
      </c>
      <c r="AA831" s="76">
        <v>11</v>
      </c>
      <c r="AB831" s="76">
        <v>11</v>
      </c>
      <c r="AC831" s="76"/>
      <c r="AD831" s="271" t="s">
        <v>1542</v>
      </c>
      <c r="AE831" s="76"/>
      <c r="AF831" s="76">
        <v>1</v>
      </c>
      <c r="AG831" s="76">
        <v>1</v>
      </c>
      <c r="AH831" s="73"/>
      <c r="AI831" s="57"/>
      <c r="AJ831" s="45"/>
      <c r="AK831" s="45"/>
      <c r="AL831" s="45"/>
    </row>
    <row r="832" spans="1:38" hidden="1" outlineLevel="2" x14ac:dyDescent="0.35">
      <c r="A832" s="45"/>
      <c r="B832" s="54"/>
      <c r="C832" s="47">
        <f t="shared" si="133"/>
        <v>3</v>
      </c>
      <c r="D832" s="73"/>
      <c r="E832" s="70"/>
      <c r="F832" s="70" t="s">
        <v>1566</v>
      </c>
      <c r="G832" s="73"/>
      <c r="H832" s="76" t="s">
        <v>1544</v>
      </c>
      <c r="I832" s="96" t="s">
        <v>514</v>
      </c>
      <c r="J832" s="96"/>
      <c r="K832" s="76"/>
      <c r="L832" s="76"/>
      <c r="M832" s="76"/>
      <c r="N832" s="76"/>
      <c r="O832" s="76"/>
      <c r="P832" s="76"/>
      <c r="Q832" s="76"/>
      <c r="R832" s="76"/>
      <c r="S832" s="76"/>
      <c r="T832" s="76"/>
      <c r="U832" s="97">
        <v>1.7</v>
      </c>
      <c r="V832" s="97">
        <v>1.7</v>
      </c>
      <c r="W832" s="97">
        <v>1.7</v>
      </c>
      <c r="X832" s="97">
        <v>1.7</v>
      </c>
      <c r="Y832" s="97">
        <v>1.7</v>
      </c>
      <c r="Z832" s="97">
        <v>1.7</v>
      </c>
      <c r="AA832" s="97">
        <v>1.7</v>
      </c>
      <c r="AB832" s="97">
        <v>1.7</v>
      </c>
      <c r="AC832" s="76"/>
      <c r="AD832" s="97" t="s">
        <v>1517</v>
      </c>
      <c r="AE832" s="76"/>
      <c r="AF832" s="97">
        <v>1</v>
      </c>
      <c r="AG832" s="97">
        <v>1</v>
      </c>
      <c r="AH832" s="73"/>
      <c r="AI832" s="57"/>
      <c r="AJ832" s="45"/>
      <c r="AK832" s="45"/>
      <c r="AL832" s="45"/>
    </row>
    <row r="833" spans="1:38" hidden="1" outlineLevel="2" x14ac:dyDescent="0.35">
      <c r="A833" s="45"/>
      <c r="B833" s="54"/>
      <c r="C833" s="47">
        <f t="shared" si="133"/>
        <v>3</v>
      </c>
      <c r="D833" s="73"/>
      <c r="E833" s="70"/>
      <c r="F833" s="70" t="s">
        <v>1567</v>
      </c>
      <c r="G833" s="73"/>
      <c r="H833" s="76" t="s">
        <v>1546</v>
      </c>
      <c r="I833" s="96" t="s">
        <v>514</v>
      </c>
      <c r="J833" s="96"/>
      <c r="K833" s="76"/>
      <c r="L833" s="76"/>
      <c r="M833" s="76"/>
      <c r="N833" s="76"/>
      <c r="O833" s="76"/>
      <c r="P833" s="76"/>
      <c r="Q833" s="76"/>
      <c r="R833" s="76"/>
      <c r="S833" s="76"/>
      <c r="T833" s="76"/>
      <c r="U833" s="97">
        <v>1.7</v>
      </c>
      <c r="V833" s="97">
        <v>1.7</v>
      </c>
      <c r="W833" s="97">
        <v>1.7</v>
      </c>
      <c r="X833" s="97">
        <v>1.7</v>
      </c>
      <c r="Y833" s="97">
        <v>1.7</v>
      </c>
      <c r="Z833" s="97">
        <v>1.7</v>
      </c>
      <c r="AA833" s="97">
        <v>1.7</v>
      </c>
      <c r="AB833" s="97">
        <v>1.7</v>
      </c>
      <c r="AC833" s="76"/>
      <c r="AD833" s="97" t="s">
        <v>1517</v>
      </c>
      <c r="AE833" s="76"/>
      <c r="AF833" s="97">
        <v>1</v>
      </c>
      <c r="AG833" s="97">
        <v>1</v>
      </c>
      <c r="AH833" s="73"/>
      <c r="AI833" s="57"/>
      <c r="AJ833" s="45"/>
      <c r="AK833" s="45"/>
      <c r="AL833" s="45"/>
    </row>
    <row r="834" spans="1:38" hidden="1" outlineLevel="2" x14ac:dyDescent="0.35">
      <c r="A834" s="45"/>
      <c r="B834" s="54"/>
      <c r="C834" s="47">
        <f t="shared" si="133"/>
        <v>3</v>
      </c>
      <c r="D834" s="73"/>
      <c r="E834" s="70"/>
      <c r="F834" s="70" t="s">
        <v>1568</v>
      </c>
      <c r="G834" s="73"/>
      <c r="H834" s="76" t="s">
        <v>1550</v>
      </c>
      <c r="I834" s="96" t="s">
        <v>514</v>
      </c>
      <c r="J834" s="96"/>
      <c r="K834" s="76"/>
      <c r="L834" s="76"/>
      <c r="M834" s="76"/>
      <c r="N834" s="76"/>
      <c r="O834" s="76"/>
      <c r="P834" s="76"/>
      <c r="Q834" s="76"/>
      <c r="R834" s="76"/>
      <c r="S834" s="76"/>
      <c r="T834" s="76"/>
      <c r="U834" s="97">
        <v>1.7</v>
      </c>
      <c r="V834" s="97">
        <v>1.7</v>
      </c>
      <c r="W834" s="97">
        <v>1.7</v>
      </c>
      <c r="X834" s="97">
        <v>1.7</v>
      </c>
      <c r="Y834" s="97">
        <v>1.7</v>
      </c>
      <c r="Z834" s="97">
        <v>1.7</v>
      </c>
      <c r="AA834" s="97">
        <v>1.7</v>
      </c>
      <c r="AB834" s="97">
        <v>1.7</v>
      </c>
      <c r="AC834" s="76"/>
      <c r="AD834" s="97" t="s">
        <v>1517</v>
      </c>
      <c r="AE834" s="76"/>
      <c r="AF834" s="97">
        <v>1</v>
      </c>
      <c r="AG834" s="97">
        <v>1</v>
      </c>
      <c r="AH834" s="73"/>
      <c r="AI834" s="57"/>
      <c r="AJ834" s="45"/>
      <c r="AK834" s="45"/>
      <c r="AL834" s="45"/>
    </row>
    <row r="835" spans="1:38" hidden="1" outlineLevel="2" x14ac:dyDescent="0.35">
      <c r="A835" s="45"/>
      <c r="B835" s="54"/>
      <c r="C835" s="47">
        <f t="shared" si="133"/>
        <v>3</v>
      </c>
      <c r="D835" s="73"/>
      <c r="E835" s="70"/>
      <c r="F835" s="70" t="s">
        <v>1569</v>
      </c>
      <c r="G835" s="73"/>
      <c r="H835" s="76" t="s">
        <v>1570</v>
      </c>
      <c r="I835" s="96" t="s">
        <v>514</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hidden="1" outlineLevel="2" x14ac:dyDescent="0.35">
      <c r="A836" s="45"/>
      <c r="B836" s="54"/>
      <c r="C836" s="47">
        <f t="shared" si="133"/>
        <v>3</v>
      </c>
      <c r="D836" s="73"/>
      <c r="E836" s="70"/>
      <c r="F836" s="70" t="s">
        <v>1571</v>
      </c>
      <c r="G836" s="73"/>
      <c r="H836" s="76" t="s">
        <v>1572</v>
      </c>
      <c r="I836" s="96" t="s">
        <v>514</v>
      </c>
      <c r="J836" s="96"/>
      <c r="K836" s="76"/>
      <c r="L836" s="76"/>
      <c r="M836" s="76"/>
      <c r="N836" s="76"/>
      <c r="O836" s="76"/>
      <c r="P836" s="76"/>
      <c r="Q836" s="76"/>
      <c r="R836" s="76"/>
      <c r="S836" s="76"/>
      <c r="T836" s="76"/>
      <c r="U836" s="97">
        <v>0</v>
      </c>
      <c r="V836" s="262">
        <f t="shared" ref="V836:W838" si="139">U836</f>
        <v>0</v>
      </c>
      <c r="W836" s="262">
        <f t="shared" si="139"/>
        <v>0</v>
      </c>
      <c r="X836" s="262">
        <f>Y836</f>
        <v>0</v>
      </c>
      <c r="Y836" s="97">
        <v>0</v>
      </c>
      <c r="Z836" s="262">
        <f t="shared" ref="Z836:AB837" si="140">Y836</f>
        <v>0</v>
      </c>
      <c r="AA836" s="262">
        <f t="shared" si="140"/>
        <v>0</v>
      </c>
      <c r="AB836" s="262">
        <f t="shared" si="140"/>
        <v>0</v>
      </c>
      <c r="AC836" s="76"/>
      <c r="AD836" s="97" t="s">
        <v>2606</v>
      </c>
      <c r="AE836" s="76"/>
      <c r="AF836" s="97">
        <v>1</v>
      </c>
      <c r="AG836" s="97">
        <v>1</v>
      </c>
      <c r="AH836" s="73"/>
      <c r="AI836" s="57"/>
      <c r="AJ836" s="45"/>
      <c r="AK836" s="45"/>
      <c r="AL836" s="45"/>
    </row>
    <row r="837" spans="1:38" hidden="1" outlineLevel="2" x14ac:dyDescent="0.35">
      <c r="A837" s="45"/>
      <c r="B837" s="54"/>
      <c r="C837" s="47">
        <f t="shared" si="133"/>
        <v>3</v>
      </c>
      <c r="D837" s="73"/>
      <c r="E837" s="70"/>
      <c r="F837" s="70" t="s">
        <v>1573</v>
      </c>
      <c r="G837" s="73"/>
      <c r="H837" s="76" t="s">
        <v>1574</v>
      </c>
      <c r="I837" s="96" t="s">
        <v>514</v>
      </c>
      <c r="J837" s="96"/>
      <c r="K837" s="76"/>
      <c r="L837" s="76"/>
      <c r="M837" s="76"/>
      <c r="N837" s="76"/>
      <c r="O837" s="76"/>
      <c r="P837" s="76"/>
      <c r="Q837" s="76"/>
      <c r="R837" s="76"/>
      <c r="S837" s="76"/>
      <c r="T837" s="76"/>
      <c r="U837" s="97">
        <v>-0.71226</v>
      </c>
      <c r="V837" s="262">
        <f t="shared" si="139"/>
        <v>-0.71226</v>
      </c>
      <c r="W837" s="262">
        <f t="shared" si="139"/>
        <v>-0.71226</v>
      </c>
      <c r="X837" s="262">
        <f>Y837</f>
        <v>-0.21895000000000001</v>
      </c>
      <c r="Y837" s="97">
        <v>-0.21895000000000001</v>
      </c>
      <c r="Z837" s="262">
        <f t="shared" si="140"/>
        <v>-0.21895000000000001</v>
      </c>
      <c r="AA837" s="262">
        <f t="shared" si="140"/>
        <v>-0.21895000000000001</v>
      </c>
      <c r="AB837" s="262">
        <f t="shared" si="140"/>
        <v>-0.21895000000000001</v>
      </c>
      <c r="AC837" s="76"/>
      <c r="AD837" s="76"/>
      <c r="AE837" s="76"/>
      <c r="AF837" s="97">
        <v>1</v>
      </c>
      <c r="AG837" s="97">
        <v>1</v>
      </c>
      <c r="AH837" s="73"/>
      <c r="AI837" s="57"/>
      <c r="AJ837" s="45"/>
      <c r="AK837" s="45"/>
      <c r="AL837" s="45"/>
    </row>
    <row r="838" spans="1:38" hidden="1" outlineLevel="2" x14ac:dyDescent="0.35">
      <c r="A838" s="45"/>
      <c r="B838" s="54"/>
      <c r="C838" s="47">
        <f t="shared" si="133"/>
        <v>3</v>
      </c>
      <c r="D838" s="73"/>
      <c r="E838" s="70"/>
      <c r="F838" s="70" t="s">
        <v>1575</v>
      </c>
      <c r="G838" s="73"/>
      <c r="H838" s="76" t="s">
        <v>1576</v>
      </c>
      <c r="I838" s="96" t="s">
        <v>514</v>
      </c>
      <c r="J838" s="96"/>
      <c r="K838" s="76"/>
      <c r="L838" s="76"/>
      <c r="M838" s="76"/>
      <c r="N838" s="76"/>
      <c r="O838" s="76"/>
      <c r="P838" s="76"/>
      <c r="Q838" s="76"/>
      <c r="R838" s="76"/>
      <c r="S838" s="76"/>
      <c r="T838" s="76"/>
      <c r="U838" s="97">
        <v>-0.90173999999999999</v>
      </c>
      <c r="V838" s="262">
        <f t="shared" si="139"/>
        <v>-0.90173999999999999</v>
      </c>
      <c r="W838" s="262">
        <f t="shared" si="139"/>
        <v>-0.90173999999999999</v>
      </c>
      <c r="X838" s="262">
        <f>Y838</f>
        <v>-0.37940000000000002</v>
      </c>
      <c r="Y838" s="97">
        <v>-0.37940000000000002</v>
      </c>
      <c r="Z838" s="262">
        <f>Y838</f>
        <v>-0.37940000000000002</v>
      </c>
      <c r="AA838" s="262">
        <f>Z838</f>
        <v>-0.37940000000000002</v>
      </c>
      <c r="AB838" s="262">
        <f>AA838</f>
        <v>-0.37940000000000002</v>
      </c>
      <c r="AC838" s="76"/>
      <c r="AD838" s="76"/>
      <c r="AE838" s="76"/>
      <c r="AF838" s="97">
        <v>1</v>
      </c>
      <c r="AG838" s="97">
        <v>1</v>
      </c>
      <c r="AH838" s="73"/>
      <c r="AI838" s="57"/>
      <c r="AJ838" s="45"/>
      <c r="AK838" s="45"/>
      <c r="AL838" s="45"/>
    </row>
    <row r="839" spans="1:38" hidden="1" outlineLevel="2" x14ac:dyDescent="0.35">
      <c r="A839" s="45"/>
      <c r="B839" s="54"/>
      <c r="C839" s="47">
        <f t="shared" si="133"/>
        <v>3</v>
      </c>
      <c r="D839" s="73"/>
      <c r="E839" s="70"/>
      <c r="F839" s="70" t="s">
        <v>1577</v>
      </c>
      <c r="G839" s="73"/>
      <c r="H839" s="76" t="s">
        <v>2761</v>
      </c>
      <c r="I839" s="96" t="s">
        <v>514</v>
      </c>
      <c r="J839" s="96"/>
      <c r="K839" s="76"/>
      <c r="L839" s="76"/>
      <c r="M839" s="76"/>
      <c r="N839" s="76"/>
      <c r="O839" s="76"/>
      <c r="P839" s="76"/>
      <c r="Q839" s="76"/>
      <c r="R839" s="76"/>
      <c r="S839" s="76"/>
      <c r="T839" s="76"/>
      <c r="U839" s="76">
        <v>0</v>
      </c>
      <c r="V839" s="76">
        <v>0</v>
      </c>
      <c r="W839" s="76">
        <v>0</v>
      </c>
      <c r="X839" s="76"/>
      <c r="Y839" s="76">
        <v>0</v>
      </c>
      <c r="Z839" s="76">
        <v>0</v>
      </c>
      <c r="AA839" s="76">
        <v>0</v>
      </c>
      <c r="AB839" s="76">
        <v>0</v>
      </c>
      <c r="AC839" s="76"/>
      <c r="AD839" s="76"/>
      <c r="AE839" s="76"/>
      <c r="AF839" s="76">
        <v>1</v>
      </c>
      <c r="AG839" s="76">
        <v>1</v>
      </c>
      <c r="AH839" s="73"/>
      <c r="AI839" s="57"/>
      <c r="AJ839" s="45"/>
      <c r="AK839" s="45"/>
      <c r="AL839" s="45"/>
    </row>
    <row r="840" spans="1:38" hidden="1" outlineLevel="2" x14ac:dyDescent="0.35">
      <c r="A840" s="45"/>
      <c r="B840" s="54"/>
      <c r="C840" s="47">
        <f t="shared" si="133"/>
        <v>3</v>
      </c>
      <c r="D840" s="73"/>
      <c r="E840" s="70"/>
      <c r="F840" s="70" t="s">
        <v>1578</v>
      </c>
      <c r="G840" s="73"/>
      <c r="H840" s="76" t="s">
        <v>2192</v>
      </c>
      <c r="I840" s="96" t="s">
        <v>514</v>
      </c>
      <c r="J840" s="96"/>
      <c r="K840" s="76"/>
      <c r="L840" s="76"/>
      <c r="M840" s="76"/>
      <c r="N840" s="76"/>
      <c r="O840" s="76"/>
      <c r="P840" s="76"/>
      <c r="Q840" s="76"/>
      <c r="R840" s="76"/>
      <c r="S840" s="76"/>
      <c r="T840" s="76"/>
      <c r="U840" s="97">
        <v>-1.1100000000000001E-3</v>
      </c>
      <c r="V840" s="262">
        <f t="shared" ref="V840:W842" si="141">U840</f>
        <v>-1.1100000000000001E-3</v>
      </c>
      <c r="W840" s="262">
        <f t="shared" si="141"/>
        <v>-1.1100000000000001E-3</v>
      </c>
      <c r="X840" s="262">
        <f>Y840</f>
        <v>-1.5499999999999999E-3</v>
      </c>
      <c r="Y840" s="97">
        <v>-1.5499999999999999E-3</v>
      </c>
      <c r="Z840" s="262">
        <f t="shared" ref="Z840:AB842" si="142">Y840</f>
        <v>-1.5499999999999999E-3</v>
      </c>
      <c r="AA840" s="262">
        <f t="shared" si="142"/>
        <v>-1.5499999999999999E-3</v>
      </c>
      <c r="AB840" s="262">
        <f t="shared" si="142"/>
        <v>-1.5499999999999999E-3</v>
      </c>
      <c r="AC840" s="76"/>
      <c r="AD840" s="97" t="s">
        <v>2758</v>
      </c>
      <c r="AE840" s="76"/>
      <c r="AF840" s="76">
        <v>1</v>
      </c>
      <c r="AG840" s="76">
        <v>1</v>
      </c>
      <c r="AH840" s="73"/>
      <c r="AI840" s="57"/>
      <c r="AJ840" s="45"/>
      <c r="AK840" s="45"/>
      <c r="AL840" s="45"/>
    </row>
    <row r="841" spans="1:38" hidden="1" outlineLevel="2" x14ac:dyDescent="0.35">
      <c r="A841" s="45"/>
      <c r="B841" s="54"/>
      <c r="C841" s="47">
        <f t="shared" si="133"/>
        <v>3</v>
      </c>
      <c r="D841" s="73"/>
      <c r="E841" s="70"/>
      <c r="F841" s="70" t="s">
        <v>1579</v>
      </c>
      <c r="G841" s="73"/>
      <c r="H841" s="76" t="s">
        <v>2193</v>
      </c>
      <c r="I841" s="96" t="s">
        <v>514</v>
      </c>
      <c r="J841" s="96"/>
      <c r="K841" s="76"/>
      <c r="L841" s="76"/>
      <c r="M841" s="76"/>
      <c r="N841" s="76"/>
      <c r="O841" s="76"/>
      <c r="P841" s="76"/>
      <c r="Q841" s="76"/>
      <c r="R841" s="76"/>
      <c r="S841" s="76"/>
      <c r="T841" s="76"/>
      <c r="U841" s="97">
        <v>-1.5E-3</v>
      </c>
      <c r="V841" s="262">
        <f t="shared" si="141"/>
        <v>-1.5E-3</v>
      </c>
      <c r="W841" s="262">
        <f t="shared" si="141"/>
        <v>-1.5E-3</v>
      </c>
      <c r="X841" s="262">
        <f>Y841</f>
        <v>-2.1250000000000002E-3</v>
      </c>
      <c r="Y841" s="97">
        <v>-2.1250000000000002E-3</v>
      </c>
      <c r="Z841" s="262">
        <f t="shared" si="142"/>
        <v>-2.1250000000000002E-3</v>
      </c>
      <c r="AA841" s="262">
        <f t="shared" si="142"/>
        <v>-2.1250000000000002E-3</v>
      </c>
      <c r="AB841" s="262">
        <f t="shared" si="142"/>
        <v>-2.1250000000000002E-3</v>
      </c>
      <c r="AC841" s="76"/>
      <c r="AD841" s="97"/>
      <c r="AE841" s="76"/>
      <c r="AF841" s="76">
        <v>1</v>
      </c>
      <c r="AG841" s="76">
        <v>1</v>
      </c>
      <c r="AH841" s="73"/>
      <c r="AI841" s="57"/>
      <c r="AJ841" s="45"/>
      <c r="AK841" s="45"/>
      <c r="AL841" s="45"/>
    </row>
    <row r="842" spans="1:38" hidden="1" outlineLevel="2" x14ac:dyDescent="0.35">
      <c r="A842" s="45"/>
      <c r="B842" s="54"/>
      <c r="C842" s="47">
        <f>INT($C$29)+3</f>
        <v>4</v>
      </c>
      <c r="D842" s="73"/>
      <c r="E842" s="70"/>
      <c r="F842" s="70" t="s">
        <v>1580</v>
      </c>
      <c r="G842" s="73"/>
      <c r="H842" s="76" t="s">
        <v>2194</v>
      </c>
      <c r="I842" s="96" t="s">
        <v>514</v>
      </c>
      <c r="J842" s="96"/>
      <c r="K842" s="76"/>
      <c r="L842" s="76"/>
      <c r="M842" s="76"/>
      <c r="N842" s="76"/>
      <c r="O842" s="76"/>
      <c r="P842" s="76"/>
      <c r="Q842" s="76"/>
      <c r="R842" s="76"/>
      <c r="S842" s="76"/>
      <c r="T842" s="76"/>
      <c r="U842" s="97">
        <v>-6.8500000000000002E-3</v>
      </c>
      <c r="V842" s="262">
        <f t="shared" si="141"/>
        <v>-6.8500000000000002E-3</v>
      </c>
      <c r="W842" s="262">
        <f t="shared" si="141"/>
        <v>-6.8500000000000002E-3</v>
      </c>
      <c r="X842" s="262">
        <f>Y842</f>
        <v>-8.0300000000000007E-3</v>
      </c>
      <c r="Y842" s="97">
        <v>-8.0300000000000007E-3</v>
      </c>
      <c r="Z842" s="262">
        <f t="shared" si="142"/>
        <v>-8.0300000000000007E-3</v>
      </c>
      <c r="AA842" s="262">
        <f t="shared" si="142"/>
        <v>-8.0300000000000007E-3</v>
      </c>
      <c r="AB842" s="262">
        <f t="shared" si="142"/>
        <v>-8.0300000000000007E-3</v>
      </c>
      <c r="AC842" s="76"/>
      <c r="AD842" s="76"/>
      <c r="AE842" s="76"/>
      <c r="AF842" s="76">
        <v>1</v>
      </c>
      <c r="AG842" s="76">
        <v>1</v>
      </c>
      <c r="AH842" s="73"/>
      <c r="AI842" s="57"/>
      <c r="AJ842" s="45"/>
      <c r="AK842" s="45"/>
      <c r="AL842" s="45"/>
    </row>
    <row r="843" spans="1:38" hidden="1" outlineLevel="2" x14ac:dyDescent="0.35">
      <c r="A843" s="45"/>
      <c r="B843" s="54"/>
      <c r="C843" s="47">
        <f>INT($C$29)+3</f>
        <v>4</v>
      </c>
      <c r="D843" s="73"/>
      <c r="E843" s="70" t="s">
        <v>1585</v>
      </c>
      <c r="F843" s="70" t="s">
        <v>1581</v>
      </c>
      <c r="G843" s="73"/>
      <c r="H843" s="76" t="s">
        <v>1587</v>
      </c>
      <c r="I843" s="96" t="s">
        <v>514</v>
      </c>
      <c r="J843" s="96"/>
      <c r="K843" s="76"/>
      <c r="L843" s="76"/>
      <c r="M843" s="76"/>
      <c r="N843" s="76"/>
      <c r="O843" s="76"/>
      <c r="P843" s="76"/>
      <c r="Q843" s="76"/>
      <c r="R843" s="76"/>
      <c r="S843" s="76"/>
      <c r="T843" s="76"/>
      <c r="U843" s="76">
        <v>-100</v>
      </c>
      <c r="V843" s="76">
        <v>-100</v>
      </c>
      <c r="W843" s="76">
        <v>-100</v>
      </c>
      <c r="X843" s="76">
        <v>-100</v>
      </c>
      <c r="Y843" s="76">
        <v>-100</v>
      </c>
      <c r="Z843" s="76">
        <v>-100</v>
      </c>
      <c r="AA843" s="76">
        <v>-100</v>
      </c>
      <c r="AB843" s="76">
        <v>-100</v>
      </c>
      <c r="AC843" s="76"/>
      <c r="AD843" s="271" t="s">
        <v>1542</v>
      </c>
      <c r="AE843" s="76"/>
      <c r="AF843" s="76">
        <v>1</v>
      </c>
      <c r="AG843" s="76">
        <v>1</v>
      </c>
      <c r="AH843" s="73"/>
      <c r="AI843" s="57"/>
      <c r="AJ843" s="45"/>
      <c r="AK843" s="45"/>
      <c r="AL843" s="45"/>
    </row>
    <row r="844" spans="1:38" hidden="1" outlineLevel="2" x14ac:dyDescent="0.35">
      <c r="A844" s="45"/>
      <c r="B844" s="54"/>
      <c r="C844" s="47">
        <f>INT($C$29)+3</f>
        <v>4</v>
      </c>
      <c r="D844" s="73"/>
      <c r="E844" s="70"/>
      <c r="F844" s="70" t="s">
        <v>1582</v>
      </c>
      <c r="G844" s="73"/>
      <c r="H844" s="76" t="s">
        <v>1506</v>
      </c>
      <c r="I844" s="96" t="s">
        <v>514</v>
      </c>
      <c r="J844" s="96"/>
      <c r="K844" s="76"/>
      <c r="L844" s="76"/>
      <c r="M844" s="76"/>
      <c r="N844" s="76"/>
      <c r="O844" s="76"/>
      <c r="P844" s="76"/>
      <c r="Q844" s="76"/>
      <c r="R844" s="76"/>
      <c r="S844" s="76"/>
      <c r="T844" s="76"/>
      <c r="U844" s="97">
        <v>0</v>
      </c>
      <c r="V844" s="97">
        <v>0</v>
      </c>
      <c r="W844" s="97">
        <v>0</v>
      </c>
      <c r="X844" s="97">
        <v>0</v>
      </c>
      <c r="Y844" s="97">
        <v>0</v>
      </c>
      <c r="Z844" s="97">
        <v>0</v>
      </c>
      <c r="AA844" s="97">
        <v>0</v>
      </c>
      <c r="AB844" s="97">
        <v>0</v>
      </c>
      <c r="AC844" s="76"/>
      <c r="AD844" s="97" t="s">
        <v>1030</v>
      </c>
      <c r="AE844" s="76"/>
      <c r="AF844" s="97">
        <v>1</v>
      </c>
      <c r="AG844" s="97">
        <v>1</v>
      </c>
      <c r="AH844" s="73"/>
      <c r="AI844" s="57"/>
      <c r="AJ844" s="45"/>
      <c r="AK844" s="45"/>
      <c r="AL844" s="45"/>
    </row>
    <row r="845" spans="1:38" hidden="1" outlineLevel="2" x14ac:dyDescent="0.35">
      <c r="A845" s="45"/>
      <c r="B845" s="54"/>
      <c r="C845" s="47">
        <f>INT($C$29)+3</f>
        <v>4</v>
      </c>
      <c r="D845" s="73"/>
      <c r="E845" s="70"/>
      <c r="F845" s="70" t="s">
        <v>1583</v>
      </c>
      <c r="G845" s="73"/>
      <c r="H845" s="76" t="s">
        <v>1508</v>
      </c>
      <c r="I845" s="96" t="s">
        <v>514</v>
      </c>
      <c r="J845" s="96"/>
      <c r="K845" s="76"/>
      <c r="L845" s="76"/>
      <c r="M845" s="76"/>
      <c r="N845" s="76"/>
      <c r="O845" s="76"/>
      <c r="P845" s="76"/>
      <c r="Q845" s="76"/>
      <c r="R845" s="76"/>
      <c r="S845" s="76"/>
      <c r="T845" s="76"/>
      <c r="U845" s="97">
        <v>1.1000000000000001</v>
      </c>
      <c r="V845" s="97">
        <v>1.1000000000000001</v>
      </c>
      <c r="W845" s="97">
        <v>1.1000000000000001</v>
      </c>
      <c r="X845" s="97">
        <v>0.82</v>
      </c>
      <c r="Y845" s="97">
        <v>0.82</v>
      </c>
      <c r="Z845" s="97">
        <v>0.82</v>
      </c>
      <c r="AA845" s="97">
        <v>0.82</v>
      </c>
      <c r="AB845" s="97">
        <v>0.82</v>
      </c>
      <c r="AC845" s="76"/>
      <c r="AD845" s="97" t="s">
        <v>1030</v>
      </c>
      <c r="AE845" s="76"/>
      <c r="AF845" s="97">
        <v>1</v>
      </c>
      <c r="AG845" s="97">
        <v>1</v>
      </c>
      <c r="AH845" s="73"/>
      <c r="AI845" s="57"/>
      <c r="AJ845" s="45"/>
      <c r="AK845" s="45"/>
      <c r="AL845" s="45"/>
    </row>
    <row r="846" spans="1:38" hidden="1" outlineLevel="2" collapsed="1" x14ac:dyDescent="0.35">
      <c r="A846" s="45"/>
      <c r="B846" s="54"/>
      <c r="C846" s="47">
        <f>INT($C$29)+3</f>
        <v>4</v>
      </c>
      <c r="D846" s="73"/>
      <c r="E846" s="70"/>
      <c r="F846" s="70" t="s">
        <v>1584</v>
      </c>
      <c r="G846" s="73"/>
      <c r="H846" s="76" t="s">
        <v>1510</v>
      </c>
      <c r="I846" s="96" t="s">
        <v>514</v>
      </c>
      <c r="J846" s="96"/>
      <c r="K846" s="76"/>
      <c r="L846" s="76"/>
      <c r="M846" s="76"/>
      <c r="N846" s="76"/>
      <c r="O846" s="76"/>
      <c r="P846" s="76"/>
      <c r="Q846" s="76"/>
      <c r="R846" s="76"/>
      <c r="S846" s="76"/>
      <c r="T846" s="76"/>
      <c r="U846" s="97">
        <f t="shared" ref="U846:AB846" si="143">U845+($Y833-$Y834)</f>
        <v>1.1000000000000001</v>
      </c>
      <c r="V846" s="97">
        <f t="shared" si="143"/>
        <v>1.1000000000000001</v>
      </c>
      <c r="W846" s="97">
        <f t="shared" si="143"/>
        <v>1.1000000000000001</v>
      </c>
      <c r="X846" s="97">
        <f t="shared" si="143"/>
        <v>0.82</v>
      </c>
      <c r="Y846" s="97">
        <f t="shared" si="143"/>
        <v>0.82</v>
      </c>
      <c r="Z846" s="97">
        <f t="shared" si="143"/>
        <v>0.82</v>
      </c>
      <c r="AA846" s="97">
        <f t="shared" si="143"/>
        <v>0.82</v>
      </c>
      <c r="AB846" s="97">
        <f t="shared" si="143"/>
        <v>0.82</v>
      </c>
      <c r="AC846" s="76"/>
      <c r="AD846" s="97" t="s">
        <v>2743</v>
      </c>
      <c r="AE846" s="76"/>
      <c r="AF846" s="97">
        <v>1</v>
      </c>
      <c r="AG846" s="97">
        <v>1</v>
      </c>
      <c r="AH846" s="73"/>
      <c r="AI846" s="57"/>
      <c r="AJ846" s="45"/>
      <c r="AK846" s="45"/>
      <c r="AL846" s="45"/>
    </row>
    <row r="847" spans="1:38" hidden="1" outlineLevel="3" x14ac:dyDescent="0.35">
      <c r="A847" s="45"/>
      <c r="B847" s="54"/>
      <c r="C847" s="47">
        <f>INT($C$29)+2</f>
        <v>3</v>
      </c>
      <c r="D847" s="73"/>
      <c r="E847" s="70"/>
      <c r="F847" s="70" t="s">
        <v>1586</v>
      </c>
      <c r="G847" s="73"/>
      <c r="H847" s="76" t="s">
        <v>1504</v>
      </c>
      <c r="I847" s="96" t="s">
        <v>514</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35">
      <c r="A848" s="45"/>
      <c r="B848" s="54"/>
      <c r="C848" s="47">
        <f>INT($C$29)+2</f>
        <v>3</v>
      </c>
      <c r="D848" s="73"/>
      <c r="E848" s="70"/>
      <c r="F848" s="70" t="s">
        <v>1588</v>
      </c>
      <c r="G848" s="73"/>
      <c r="H848" s="76" t="s">
        <v>1506</v>
      </c>
      <c r="I848" s="96" t="s">
        <v>514</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INT($C$29)+2</f>
        <v>3</v>
      </c>
      <c r="D849" s="73"/>
      <c r="E849" s="70"/>
      <c r="F849" s="70" t="s">
        <v>1589</v>
      </c>
      <c r="G849" s="73"/>
      <c r="H849" s="76" t="s">
        <v>1508</v>
      </c>
      <c r="I849" s="96" t="s">
        <v>514</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INT($C$29)+2</f>
        <v>3</v>
      </c>
      <c r="D850" s="73"/>
      <c r="E850" s="70"/>
      <c r="F850" s="70" t="s">
        <v>1590</v>
      </c>
      <c r="G850" s="73"/>
      <c r="H850" s="76" t="s">
        <v>1510</v>
      </c>
      <c r="I850" s="96" t="s">
        <v>514</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ref="C851:C858" si="144">INT($C$29)+3</f>
        <v>4</v>
      </c>
      <c r="D851" s="73"/>
      <c r="E851" s="70"/>
      <c r="F851" s="70" t="s">
        <v>1591</v>
      </c>
      <c r="G851" s="73"/>
      <c r="H851" s="76" t="s">
        <v>1592</v>
      </c>
      <c r="I851" s="96" t="s">
        <v>514</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144"/>
        <v>4</v>
      </c>
      <c r="D852" s="73"/>
      <c r="E852" s="70"/>
      <c r="F852" s="70" t="s">
        <v>1593</v>
      </c>
      <c r="G852" s="73"/>
      <c r="H852" s="76" t="s">
        <v>1506</v>
      </c>
      <c r="I852" s="96" t="s">
        <v>514</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144"/>
        <v>4</v>
      </c>
      <c r="D853" s="73"/>
      <c r="E853" s="70"/>
      <c r="F853" s="70" t="s">
        <v>1594</v>
      </c>
      <c r="G853" s="73"/>
      <c r="H853" s="76" t="s">
        <v>1508</v>
      </c>
      <c r="I853" s="96" t="s">
        <v>514</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144"/>
        <v>4</v>
      </c>
      <c r="D854" s="73"/>
      <c r="E854" s="70"/>
      <c r="F854" s="70" t="s">
        <v>1595</v>
      </c>
      <c r="G854" s="73"/>
      <c r="H854" s="76" t="s">
        <v>1510</v>
      </c>
      <c r="I854" s="96" t="s">
        <v>514</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35">
      <c r="A855" s="45"/>
      <c r="B855" s="54"/>
      <c r="C855" s="47">
        <f t="shared" si="144"/>
        <v>4</v>
      </c>
      <c r="D855" s="73"/>
      <c r="E855" s="70"/>
      <c r="F855" s="70" t="s">
        <v>1596</v>
      </c>
      <c r="G855" s="73"/>
      <c r="H855" s="76" t="s">
        <v>1597</v>
      </c>
      <c r="I855" s="96" t="s">
        <v>514</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35">
      <c r="A856" s="45"/>
      <c r="B856" s="54"/>
      <c r="C856" s="47">
        <f t="shared" si="144"/>
        <v>4</v>
      </c>
      <c r="D856" s="73"/>
      <c r="E856" s="70"/>
      <c r="F856" s="70" t="s">
        <v>1598</v>
      </c>
      <c r="G856" s="73"/>
      <c r="H856" s="76" t="s">
        <v>1506</v>
      </c>
      <c r="I856" s="96" t="s">
        <v>514</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35">
      <c r="A857" s="45"/>
      <c r="B857" s="54"/>
      <c r="C857" s="47">
        <f t="shared" si="144"/>
        <v>4</v>
      </c>
      <c r="D857" s="73"/>
      <c r="E857" s="70"/>
      <c r="F857" s="70" t="s">
        <v>1599</v>
      </c>
      <c r="G857" s="73"/>
      <c r="H857" s="76" t="s">
        <v>1508</v>
      </c>
      <c r="I857" s="96" t="s">
        <v>514</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35">
      <c r="A858" s="45"/>
      <c r="B858" s="54"/>
      <c r="C858" s="47">
        <f t="shared" si="144"/>
        <v>4</v>
      </c>
      <c r="D858" s="73"/>
      <c r="E858" s="70"/>
      <c r="F858" s="70" t="s">
        <v>1600</v>
      </c>
      <c r="G858" s="73"/>
      <c r="H858" s="76" t="s">
        <v>1510</v>
      </c>
      <c r="I858" s="96" t="s">
        <v>514</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2" x14ac:dyDescent="0.35">
      <c r="A859" s="45"/>
      <c r="B859" s="54"/>
      <c r="C859" s="47">
        <f t="shared" ref="C859:C906" si="145">INT($C$29)+2</f>
        <v>3</v>
      </c>
      <c r="D859" s="73"/>
      <c r="E859" s="70" t="s">
        <v>797</v>
      </c>
      <c r="F859" s="70" t="s">
        <v>1601</v>
      </c>
      <c r="G859" s="73"/>
      <c r="H859" s="76" t="s">
        <v>1602</v>
      </c>
      <c r="I859" s="96" t="s">
        <v>514</v>
      </c>
      <c r="J859" s="96"/>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271"/>
      <c r="AE859" s="76"/>
      <c r="AF859" s="76">
        <v>1</v>
      </c>
      <c r="AG859" s="76">
        <v>1</v>
      </c>
      <c r="AH859" s="73"/>
      <c r="AI859" s="57"/>
      <c r="AJ859" s="45"/>
      <c r="AK859" s="45"/>
      <c r="AL859" s="45"/>
    </row>
    <row r="860" spans="1:38" hidden="1" outlineLevel="2" x14ac:dyDescent="0.35">
      <c r="A860" s="45"/>
      <c r="B860" s="54"/>
      <c r="C860" s="47">
        <f t="shared" si="145"/>
        <v>3</v>
      </c>
      <c r="D860" s="73"/>
      <c r="E860" s="70"/>
      <c r="F860" s="70" t="s">
        <v>1603</v>
      </c>
      <c r="G860" s="73"/>
      <c r="H860" s="76" t="s">
        <v>1604</v>
      </c>
      <c r="I860" s="96" t="s">
        <v>514</v>
      </c>
      <c r="J860" s="96"/>
      <c r="K860" s="97">
        <v>1.5</v>
      </c>
      <c r="L860" s="97">
        <v>1.5</v>
      </c>
      <c r="M860" s="97">
        <v>1</v>
      </c>
      <c r="N860" s="97">
        <v>1</v>
      </c>
      <c r="O860" s="97">
        <v>1</v>
      </c>
      <c r="P860" s="97">
        <v>1</v>
      </c>
      <c r="Q860" s="76"/>
      <c r="R860" s="76" t="s">
        <v>562</v>
      </c>
      <c r="S860" s="76" t="s">
        <v>562</v>
      </c>
      <c r="T860" s="76"/>
      <c r="U860" s="260">
        <f t="shared" ref="U860:AB862" si="146">INDEX($K860:$Q860,1,U$43)</f>
        <v>1.5</v>
      </c>
      <c r="V860" s="260">
        <f t="shared" si="146"/>
        <v>1.5</v>
      </c>
      <c r="W860" s="260">
        <f t="shared" si="146"/>
        <v>1.5</v>
      </c>
      <c r="X860" s="260">
        <f t="shared" si="146"/>
        <v>1.5</v>
      </c>
      <c r="Y860" s="260">
        <f t="shared" si="146"/>
        <v>1.5</v>
      </c>
      <c r="Z860" s="260">
        <f t="shared" si="146"/>
        <v>1.5</v>
      </c>
      <c r="AA860" s="260">
        <f t="shared" si="146"/>
        <v>1.5</v>
      </c>
      <c r="AB860" s="260">
        <f t="shared" si="146"/>
        <v>1.5</v>
      </c>
      <c r="AC860" s="76"/>
      <c r="AD860" s="76"/>
      <c r="AE860" s="76"/>
      <c r="AF860" s="97">
        <v>1</v>
      </c>
      <c r="AG860" s="97">
        <v>1</v>
      </c>
      <c r="AH860" s="73"/>
      <c r="AI860" s="57"/>
      <c r="AJ860" s="45"/>
      <c r="AK860" s="45"/>
      <c r="AL860" s="45"/>
    </row>
    <row r="861" spans="1:38" hidden="1" outlineLevel="2" x14ac:dyDescent="0.35">
      <c r="A861" s="45"/>
      <c r="B861" s="54"/>
      <c r="C861" s="47">
        <f t="shared" si="145"/>
        <v>3</v>
      </c>
      <c r="D861" s="73"/>
      <c r="E861" s="70"/>
      <c r="F861" s="70" t="s">
        <v>1605</v>
      </c>
      <c r="G861" s="73"/>
      <c r="H861" s="76" t="s">
        <v>1606</v>
      </c>
      <c r="I861" s="96" t="s">
        <v>514</v>
      </c>
      <c r="J861" s="96"/>
      <c r="K861" s="97">
        <v>1.75</v>
      </c>
      <c r="L861" s="97">
        <v>1.75</v>
      </c>
      <c r="M861" s="76"/>
      <c r="N861" s="76"/>
      <c r="O861" s="76"/>
      <c r="P861" s="76"/>
      <c r="Q861" s="76"/>
      <c r="R861" s="76" t="s">
        <v>562</v>
      </c>
      <c r="S861" s="76"/>
      <c r="T861" s="76"/>
      <c r="U861" s="260">
        <f t="shared" si="146"/>
        <v>1.75</v>
      </c>
      <c r="V861" s="260">
        <f t="shared" si="146"/>
        <v>1.75</v>
      </c>
      <c r="W861" s="260">
        <f t="shared" si="146"/>
        <v>1.75</v>
      </c>
      <c r="X861" s="260">
        <f t="shared" si="146"/>
        <v>1.75</v>
      </c>
      <c r="Y861" s="260">
        <f t="shared" si="146"/>
        <v>1.75</v>
      </c>
      <c r="Z861" s="260">
        <f t="shared" si="146"/>
        <v>1.75</v>
      </c>
      <c r="AA861" s="260">
        <f t="shared" si="146"/>
        <v>1.75</v>
      </c>
      <c r="AB861" s="260">
        <f t="shared" si="146"/>
        <v>1.75</v>
      </c>
      <c r="AC861" s="76"/>
      <c r="AD861" s="76"/>
      <c r="AE861" s="76"/>
      <c r="AF861" s="97">
        <v>1</v>
      </c>
      <c r="AG861" s="97">
        <v>1</v>
      </c>
      <c r="AH861" s="73"/>
      <c r="AI861" s="57"/>
      <c r="AJ861" s="45"/>
      <c r="AK861" s="45"/>
      <c r="AL861" s="45"/>
    </row>
    <row r="862" spans="1:38" hidden="1" outlineLevel="2" x14ac:dyDescent="0.35">
      <c r="A862" s="45"/>
      <c r="B862" s="54"/>
      <c r="C862" s="47">
        <f t="shared" si="145"/>
        <v>3</v>
      </c>
      <c r="D862" s="73"/>
      <c r="E862" s="70"/>
      <c r="F862" s="70" t="s">
        <v>1607</v>
      </c>
      <c r="G862" s="73"/>
      <c r="H862" s="76" t="s">
        <v>1608</v>
      </c>
      <c r="I862" s="96" t="s">
        <v>514</v>
      </c>
      <c r="J862" s="96"/>
      <c r="K862" s="97">
        <v>2</v>
      </c>
      <c r="L862" s="97">
        <v>2</v>
      </c>
      <c r="M862" s="76"/>
      <c r="N862" s="76"/>
      <c r="O862" s="76"/>
      <c r="P862" s="76"/>
      <c r="Q862" s="76"/>
      <c r="R862" s="76" t="s">
        <v>562</v>
      </c>
      <c r="S862" s="76"/>
      <c r="T862" s="76"/>
      <c r="U862" s="260">
        <f t="shared" si="146"/>
        <v>2</v>
      </c>
      <c r="V862" s="260">
        <f t="shared" si="146"/>
        <v>2</v>
      </c>
      <c r="W862" s="260">
        <f t="shared" si="146"/>
        <v>2</v>
      </c>
      <c r="X862" s="260">
        <f t="shared" si="146"/>
        <v>2</v>
      </c>
      <c r="Y862" s="260">
        <f t="shared" si="146"/>
        <v>2</v>
      </c>
      <c r="Z862" s="260">
        <f t="shared" si="146"/>
        <v>2</v>
      </c>
      <c r="AA862" s="260">
        <f t="shared" si="146"/>
        <v>2</v>
      </c>
      <c r="AB862" s="260">
        <f t="shared" si="146"/>
        <v>2</v>
      </c>
      <c r="AC862" s="76"/>
      <c r="AD862" s="76"/>
      <c r="AE862" s="76"/>
      <c r="AF862" s="97">
        <v>1</v>
      </c>
      <c r="AG862" s="97">
        <v>1</v>
      </c>
      <c r="AH862" s="73"/>
      <c r="AI862" s="57"/>
      <c r="AJ862" s="45"/>
      <c r="AK862" s="45"/>
      <c r="AL862" s="45"/>
    </row>
    <row r="863" spans="1:38" hidden="1" outlineLevel="2" x14ac:dyDescent="0.35">
      <c r="A863" s="45"/>
      <c r="B863" s="54"/>
      <c r="C863" s="47">
        <f t="shared" si="145"/>
        <v>3</v>
      </c>
      <c r="D863" s="73"/>
      <c r="E863" s="70" t="s">
        <v>800</v>
      </c>
      <c r="F863" s="70" t="s">
        <v>1609</v>
      </c>
      <c r="G863" s="73"/>
      <c r="H863" s="76" t="s">
        <v>1610</v>
      </c>
      <c r="I863" s="96" t="s">
        <v>514</v>
      </c>
      <c r="J863" s="96" t="s">
        <v>1188</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hidden="1" outlineLevel="2" x14ac:dyDescent="0.35">
      <c r="A864" s="45"/>
      <c r="B864" s="54"/>
      <c r="C864" s="47">
        <f t="shared" si="145"/>
        <v>3</v>
      </c>
      <c r="D864" s="73"/>
      <c r="E864" s="70"/>
      <c r="F864" s="70" t="s">
        <v>1611</v>
      </c>
      <c r="G864" s="73"/>
      <c r="H864" s="76" t="s">
        <v>1612</v>
      </c>
      <c r="I864" s="96" t="s">
        <v>97</v>
      </c>
      <c r="J864" s="96" t="s">
        <v>1188</v>
      </c>
      <c r="K864" s="97">
        <v>0.1</v>
      </c>
      <c r="L864" s="97">
        <v>0.1</v>
      </c>
      <c r="M864" s="97">
        <v>7.0000000000000007E-2</v>
      </c>
      <c r="N864" s="97">
        <v>7.0000000000000007E-2</v>
      </c>
      <c r="O864" s="97">
        <v>7.0000000000000007E-2</v>
      </c>
      <c r="P864" s="97">
        <v>7.0000000000000007E-2</v>
      </c>
      <c r="Q864" s="76"/>
      <c r="R864" s="76" t="s">
        <v>562</v>
      </c>
      <c r="S864" s="76" t="s">
        <v>562</v>
      </c>
      <c r="T864" s="76"/>
      <c r="U864" s="260">
        <f t="shared" ref="U864:AB866" si="147">INDEX($K864:$Q864,1,U$43)</f>
        <v>0.1</v>
      </c>
      <c r="V864" s="260">
        <f t="shared" si="147"/>
        <v>0.1</v>
      </c>
      <c r="W864" s="260">
        <f t="shared" si="147"/>
        <v>0.1</v>
      </c>
      <c r="X864" s="260">
        <f t="shared" si="147"/>
        <v>0.1</v>
      </c>
      <c r="Y864" s="260">
        <f t="shared" si="147"/>
        <v>0.1</v>
      </c>
      <c r="Z864" s="260">
        <f t="shared" si="147"/>
        <v>0.1</v>
      </c>
      <c r="AA864" s="260">
        <f t="shared" si="147"/>
        <v>0.1</v>
      </c>
      <c r="AB864" s="260">
        <f t="shared" si="147"/>
        <v>0.1</v>
      </c>
      <c r="AC864" s="76"/>
      <c r="AD864" s="76"/>
      <c r="AE864" s="76"/>
      <c r="AF864" s="97">
        <v>1</v>
      </c>
      <c r="AG864" s="97">
        <v>1</v>
      </c>
      <c r="AH864" s="73"/>
      <c r="AI864" s="57"/>
      <c r="AJ864" s="45"/>
      <c r="AK864" s="45"/>
      <c r="AL864" s="45"/>
    </row>
    <row r="865" spans="1:38" hidden="1" outlineLevel="2" x14ac:dyDescent="0.35">
      <c r="A865" s="45"/>
      <c r="B865" s="54"/>
      <c r="C865" s="47">
        <f t="shared" si="145"/>
        <v>3</v>
      </c>
      <c r="D865" s="73"/>
      <c r="E865" s="70"/>
      <c r="F865" s="70" t="s">
        <v>1613</v>
      </c>
      <c r="G865" s="73"/>
      <c r="H865" s="76" t="s">
        <v>1614</v>
      </c>
      <c r="I865" s="96" t="s">
        <v>97</v>
      </c>
      <c r="J865" s="96" t="s">
        <v>1188</v>
      </c>
      <c r="K865" s="97">
        <v>8.5000000000000006E-2</v>
      </c>
      <c r="L865" s="97">
        <v>8.5000000000000006E-2</v>
      </c>
      <c r="M865" s="76"/>
      <c r="N865" s="76"/>
      <c r="O865" s="76"/>
      <c r="P865" s="76"/>
      <c r="Q865" s="76"/>
      <c r="R865" s="76" t="s">
        <v>562</v>
      </c>
      <c r="S865" s="76"/>
      <c r="T865" s="76"/>
      <c r="U865" s="260">
        <f t="shared" si="147"/>
        <v>8.5000000000000006E-2</v>
      </c>
      <c r="V865" s="260">
        <f t="shared" si="147"/>
        <v>8.5000000000000006E-2</v>
      </c>
      <c r="W865" s="260">
        <f t="shared" si="147"/>
        <v>8.5000000000000006E-2</v>
      </c>
      <c r="X865" s="260">
        <f t="shared" si="147"/>
        <v>8.5000000000000006E-2</v>
      </c>
      <c r="Y865" s="260">
        <f t="shared" si="147"/>
        <v>8.5000000000000006E-2</v>
      </c>
      <c r="Z865" s="260">
        <f t="shared" si="147"/>
        <v>8.5000000000000006E-2</v>
      </c>
      <c r="AA865" s="260">
        <f t="shared" si="147"/>
        <v>8.5000000000000006E-2</v>
      </c>
      <c r="AB865" s="260">
        <f t="shared" si="147"/>
        <v>8.5000000000000006E-2</v>
      </c>
      <c r="AC865" s="76"/>
      <c r="AD865" s="76"/>
      <c r="AE865" s="76"/>
      <c r="AF865" s="97">
        <v>1</v>
      </c>
      <c r="AG865" s="97">
        <v>1</v>
      </c>
      <c r="AH865" s="73"/>
      <c r="AI865" s="57"/>
      <c r="AJ865" s="45"/>
      <c r="AK865" s="45"/>
      <c r="AL865" s="45"/>
    </row>
    <row r="866" spans="1:38" hidden="1" outlineLevel="2" x14ac:dyDescent="0.35">
      <c r="A866" s="45"/>
      <c r="B866" s="54"/>
      <c r="C866" s="47">
        <f t="shared" si="145"/>
        <v>3</v>
      </c>
      <c r="D866" s="73"/>
      <c r="E866" s="70"/>
      <c r="F866" s="70" t="s">
        <v>1615</v>
      </c>
      <c r="G866" s="73"/>
      <c r="H866" s="76" t="s">
        <v>1616</v>
      </c>
      <c r="I866" s="96" t="s">
        <v>97</v>
      </c>
      <c r="J866" s="96" t="s">
        <v>1188</v>
      </c>
      <c r="K866" s="97">
        <v>7.0000000000000007E-2</v>
      </c>
      <c r="L866" s="97">
        <v>7.0000000000000007E-2</v>
      </c>
      <c r="M866" s="76"/>
      <c r="N866" s="76"/>
      <c r="O866" s="76"/>
      <c r="P866" s="76"/>
      <c r="Q866" s="76"/>
      <c r="R866" s="76" t="s">
        <v>562</v>
      </c>
      <c r="S866" s="76"/>
      <c r="T866" s="76"/>
      <c r="U866" s="260">
        <f t="shared" si="147"/>
        <v>7.0000000000000007E-2</v>
      </c>
      <c r="V866" s="260">
        <f t="shared" si="147"/>
        <v>7.0000000000000007E-2</v>
      </c>
      <c r="W866" s="260">
        <f t="shared" si="147"/>
        <v>7.0000000000000007E-2</v>
      </c>
      <c r="X866" s="260">
        <f t="shared" si="147"/>
        <v>7.0000000000000007E-2</v>
      </c>
      <c r="Y866" s="260">
        <f t="shared" si="147"/>
        <v>7.0000000000000007E-2</v>
      </c>
      <c r="Z866" s="260">
        <f t="shared" si="147"/>
        <v>7.0000000000000007E-2</v>
      </c>
      <c r="AA866" s="260">
        <f t="shared" si="147"/>
        <v>7.0000000000000007E-2</v>
      </c>
      <c r="AB866" s="260">
        <f t="shared" si="147"/>
        <v>7.0000000000000007E-2</v>
      </c>
      <c r="AC866" s="76"/>
      <c r="AD866" s="76"/>
      <c r="AE866" s="76"/>
      <c r="AF866" s="97">
        <v>1</v>
      </c>
      <c r="AG866" s="97">
        <v>1</v>
      </c>
      <c r="AH866" s="73"/>
      <c r="AI866" s="57"/>
      <c r="AJ866" s="45"/>
      <c r="AK866" s="45"/>
      <c r="AL866" s="45"/>
    </row>
    <row r="867" spans="1:38" hidden="1" outlineLevel="2" x14ac:dyDescent="0.35">
      <c r="A867" s="45"/>
      <c r="B867" s="54"/>
      <c r="C867" s="47">
        <f t="shared" si="145"/>
        <v>3</v>
      </c>
      <c r="D867" s="73"/>
      <c r="E867" s="70"/>
      <c r="F867" s="70" t="s">
        <v>1617</v>
      </c>
      <c r="G867" s="73"/>
      <c r="H867" s="76" t="s">
        <v>1618</v>
      </c>
      <c r="I867" s="96" t="s">
        <v>514</v>
      </c>
      <c r="J867" s="96" t="s">
        <v>1160</v>
      </c>
      <c r="K867" s="76"/>
      <c r="L867" s="76"/>
      <c r="M867" s="76"/>
      <c r="N867" s="76"/>
      <c r="O867" s="76"/>
      <c r="P867" s="76"/>
      <c r="Q867" s="76"/>
      <c r="R867" s="76"/>
      <c r="S867" s="76"/>
      <c r="T867" s="76"/>
      <c r="U867" s="76">
        <v>0</v>
      </c>
      <c r="V867" s="76">
        <v>0</v>
      </c>
      <c r="W867" s="76">
        <v>0</v>
      </c>
      <c r="X867" s="76">
        <v>0</v>
      </c>
      <c r="Y867" s="76">
        <v>0</v>
      </c>
      <c r="Z867" s="76">
        <v>0</v>
      </c>
      <c r="AA867" s="76">
        <v>0</v>
      </c>
      <c r="AB867" s="76">
        <v>0</v>
      </c>
      <c r="AC867" s="76"/>
      <c r="AD867" s="76"/>
      <c r="AE867" s="76"/>
      <c r="AF867" s="76">
        <v>1</v>
      </c>
      <c r="AG867" s="76">
        <v>1</v>
      </c>
      <c r="AH867" s="73"/>
      <c r="AI867" s="57"/>
      <c r="AJ867" s="45"/>
      <c r="AK867" s="45"/>
      <c r="AL867" s="45"/>
    </row>
    <row r="868" spans="1:38" hidden="1" outlineLevel="2" x14ac:dyDescent="0.35">
      <c r="A868" s="45"/>
      <c r="B868" s="54"/>
      <c r="C868" s="47">
        <f t="shared" si="145"/>
        <v>3</v>
      </c>
      <c r="D868" s="73"/>
      <c r="E868" s="70"/>
      <c r="F868" s="70" t="s">
        <v>1619</v>
      </c>
      <c r="G868" s="73"/>
      <c r="H868" s="76" t="s">
        <v>1620</v>
      </c>
      <c r="I868" s="96" t="s">
        <v>705</v>
      </c>
      <c r="J868" s="96" t="s">
        <v>1160</v>
      </c>
      <c r="K868" s="76"/>
      <c r="L868" s="76"/>
      <c r="M868" s="76"/>
      <c r="N868" s="76"/>
      <c r="O868" s="76"/>
      <c r="P868" s="76"/>
      <c r="Q868" s="76"/>
      <c r="R868" s="76"/>
      <c r="S868" s="76"/>
      <c r="T868" s="76"/>
      <c r="U868" s="97">
        <v>0</v>
      </c>
      <c r="V868" s="262">
        <f t="shared" ref="V868:AB870" si="148">U868</f>
        <v>0</v>
      </c>
      <c r="W868" s="262">
        <f t="shared" si="148"/>
        <v>0</v>
      </c>
      <c r="X868" s="262">
        <f t="shared" si="148"/>
        <v>0</v>
      </c>
      <c r="Y868" s="97">
        <v>0</v>
      </c>
      <c r="Z868" s="262">
        <f t="shared" si="148"/>
        <v>0</v>
      </c>
      <c r="AA868" s="262">
        <f t="shared" si="148"/>
        <v>0</v>
      </c>
      <c r="AB868" s="262">
        <f t="shared" si="148"/>
        <v>0</v>
      </c>
      <c r="AC868" s="76"/>
      <c r="AD868" s="97" t="s">
        <v>2196</v>
      </c>
      <c r="AE868" s="76"/>
      <c r="AF868" s="97">
        <v>1</v>
      </c>
      <c r="AG868" s="97">
        <v>1</v>
      </c>
      <c r="AH868" s="73"/>
      <c r="AI868" s="57"/>
      <c r="AJ868" s="45"/>
      <c r="AK868" s="45"/>
      <c r="AL868" s="45"/>
    </row>
    <row r="869" spans="1:38" hidden="1" outlineLevel="2" x14ac:dyDescent="0.35">
      <c r="A869" s="45"/>
      <c r="B869" s="54"/>
      <c r="C869" s="47">
        <f t="shared" si="145"/>
        <v>3</v>
      </c>
      <c r="D869" s="73"/>
      <c r="E869" s="70"/>
      <c r="F869" s="70" t="s">
        <v>1621</v>
      </c>
      <c r="G869" s="73"/>
      <c r="H869" s="76" t="s">
        <v>1622</v>
      </c>
      <c r="I869" s="96" t="s">
        <v>705</v>
      </c>
      <c r="J869" s="96" t="s">
        <v>1160</v>
      </c>
      <c r="K869" s="76"/>
      <c r="L869" s="76"/>
      <c r="M869" s="76"/>
      <c r="N869" s="76"/>
      <c r="O869" s="76"/>
      <c r="P869" s="76"/>
      <c r="Q869" s="76"/>
      <c r="R869" s="76"/>
      <c r="S869" s="76"/>
      <c r="T869" s="76"/>
      <c r="U869" s="97">
        <v>-0.95650000000000002</v>
      </c>
      <c r="V869" s="262">
        <f t="shared" si="148"/>
        <v>-0.95650000000000002</v>
      </c>
      <c r="W869" s="262">
        <f t="shared" si="148"/>
        <v>-0.95650000000000002</v>
      </c>
      <c r="X869" s="262">
        <f t="shared" si="148"/>
        <v>-0.95650000000000002</v>
      </c>
      <c r="Y869" s="97">
        <v>-1.0820000000000001</v>
      </c>
      <c r="Z869" s="262">
        <f t="shared" si="148"/>
        <v>-1.0820000000000001</v>
      </c>
      <c r="AA869" s="262">
        <f t="shared" si="148"/>
        <v>-1.0820000000000001</v>
      </c>
      <c r="AB869" s="262">
        <f t="shared" si="148"/>
        <v>-1.0820000000000001</v>
      </c>
      <c r="AC869" s="76"/>
      <c r="AD869" s="97"/>
      <c r="AE869" s="76"/>
      <c r="AF869" s="97">
        <v>1</v>
      </c>
      <c r="AG869" s="97">
        <v>1</v>
      </c>
      <c r="AH869" s="73"/>
      <c r="AI869" s="57"/>
      <c r="AJ869" s="45"/>
      <c r="AK869" s="45"/>
      <c r="AL869" s="45"/>
    </row>
    <row r="870" spans="1:38" hidden="1" outlineLevel="2" collapsed="1" x14ac:dyDescent="0.35">
      <c r="A870" s="45"/>
      <c r="B870" s="54"/>
      <c r="C870" s="47">
        <f t="shared" si="145"/>
        <v>3</v>
      </c>
      <c r="D870" s="73"/>
      <c r="E870" s="70"/>
      <c r="F870" s="70" t="s">
        <v>1623</v>
      </c>
      <c r="G870" s="73"/>
      <c r="H870" s="76" t="s">
        <v>1624</v>
      </c>
      <c r="I870" s="96" t="s">
        <v>705</v>
      </c>
      <c r="J870" s="96" t="s">
        <v>1160</v>
      </c>
      <c r="K870" s="76"/>
      <c r="L870" s="76"/>
      <c r="M870" s="76"/>
      <c r="N870" s="76"/>
      <c r="O870" s="76"/>
      <c r="P870" s="76"/>
      <c r="Q870" s="76"/>
      <c r="R870" s="76"/>
      <c r="S870" s="76"/>
      <c r="T870" s="76"/>
      <c r="U870" s="97">
        <v>-1.7614000000000001</v>
      </c>
      <c r="V870" s="262">
        <f t="shared" si="148"/>
        <v>-1.7614000000000001</v>
      </c>
      <c r="W870" s="262">
        <f t="shared" si="148"/>
        <v>-1.7614000000000001</v>
      </c>
      <c r="X870" s="262">
        <f t="shared" si="148"/>
        <v>-1.7614000000000001</v>
      </c>
      <c r="Y870" s="97">
        <v>-2.0059999999999998</v>
      </c>
      <c r="Z870" s="262">
        <f t="shared" si="148"/>
        <v>-2.0059999999999998</v>
      </c>
      <c r="AA870" s="262">
        <f t="shared" si="148"/>
        <v>-2.0059999999999998</v>
      </c>
      <c r="AB870" s="262">
        <f t="shared" si="148"/>
        <v>-2.0059999999999998</v>
      </c>
      <c r="AC870" s="76"/>
      <c r="AD870" s="97"/>
      <c r="AE870" s="76"/>
      <c r="AF870" s="97">
        <v>1</v>
      </c>
      <c r="AG870" s="97">
        <v>1</v>
      </c>
      <c r="AH870" s="73"/>
      <c r="AI870" s="57"/>
      <c r="AJ870" s="45"/>
      <c r="AK870" s="45"/>
      <c r="AL870" s="45"/>
    </row>
    <row r="871" spans="1:38" hidden="1" outlineLevel="3" x14ac:dyDescent="0.35">
      <c r="A871" s="45"/>
      <c r="B871" s="54"/>
      <c r="C871" s="47">
        <f t="shared" si="145"/>
        <v>3</v>
      </c>
      <c r="D871" s="73"/>
      <c r="E871" s="70"/>
      <c r="F871" s="70" t="s">
        <v>1625</v>
      </c>
      <c r="G871" s="73"/>
      <c r="H871" s="76" t="s">
        <v>2198</v>
      </c>
      <c r="I871" s="96" t="s">
        <v>514</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145"/>
        <v>3</v>
      </c>
      <c r="D872" s="73"/>
      <c r="E872" s="70"/>
      <c r="F872" s="70" t="s">
        <v>1627</v>
      </c>
      <c r="G872" s="73"/>
      <c r="H872" s="76" t="s">
        <v>1506</v>
      </c>
      <c r="I872" s="96" t="s">
        <v>514</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145"/>
        <v>3</v>
      </c>
      <c r="D873" s="73"/>
      <c r="E873" s="70"/>
      <c r="F873" s="70" t="s">
        <v>1628</v>
      </c>
      <c r="G873" s="73"/>
      <c r="H873" s="76" t="s">
        <v>1508</v>
      </c>
      <c r="I873" s="96" t="s">
        <v>514</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145"/>
        <v>3</v>
      </c>
      <c r="D874" s="73"/>
      <c r="E874" s="70"/>
      <c r="F874" s="70" t="s">
        <v>1629</v>
      </c>
      <c r="G874" s="73"/>
      <c r="H874" s="76" t="s">
        <v>1510</v>
      </c>
      <c r="I874" s="96" t="s">
        <v>514</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145"/>
        <v>3</v>
      </c>
      <c r="D875" s="73"/>
      <c r="E875" s="70"/>
      <c r="F875" s="70" t="s">
        <v>1630</v>
      </c>
      <c r="G875" s="73"/>
      <c r="H875" s="76" t="s">
        <v>1631</v>
      </c>
      <c r="I875" s="96" t="s">
        <v>514</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145"/>
        <v>3</v>
      </c>
      <c r="D876" s="73"/>
      <c r="E876" s="70"/>
      <c r="F876" s="70" t="s">
        <v>1632</v>
      </c>
      <c r="G876" s="73"/>
      <c r="H876" s="76" t="s">
        <v>1633</v>
      </c>
      <c r="I876" s="96" t="s">
        <v>514</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145"/>
        <v>3</v>
      </c>
      <c r="D877" s="73"/>
      <c r="E877" s="70"/>
      <c r="F877" s="70" t="s">
        <v>1634</v>
      </c>
      <c r="G877" s="73"/>
      <c r="H877" s="76" t="s">
        <v>1635</v>
      </c>
      <c r="I877" s="96" t="s">
        <v>514</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145"/>
        <v>3</v>
      </c>
      <c r="D878" s="73"/>
      <c r="E878" s="70"/>
      <c r="F878" s="70" t="s">
        <v>1636</v>
      </c>
      <c r="G878" s="73"/>
      <c r="H878" s="76" t="s">
        <v>1637</v>
      </c>
      <c r="I878" s="96" t="s">
        <v>514</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145"/>
        <v>3</v>
      </c>
      <c r="D879" s="73"/>
      <c r="E879" s="70"/>
      <c r="F879" s="70" t="s">
        <v>1638</v>
      </c>
      <c r="G879" s="73"/>
      <c r="H879" s="76" t="s">
        <v>1504</v>
      </c>
      <c r="I879" s="96" t="s">
        <v>514</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145"/>
        <v>3</v>
      </c>
      <c r="D880" s="73"/>
      <c r="E880" s="70"/>
      <c r="F880" s="70" t="s">
        <v>1639</v>
      </c>
      <c r="G880" s="73"/>
      <c r="H880" s="76" t="s">
        <v>1506</v>
      </c>
      <c r="I880" s="96" t="s">
        <v>514</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145"/>
        <v>3</v>
      </c>
      <c r="D881" s="73"/>
      <c r="E881" s="70"/>
      <c r="F881" s="70" t="s">
        <v>1640</v>
      </c>
      <c r="G881" s="73"/>
      <c r="H881" s="76" t="s">
        <v>1508</v>
      </c>
      <c r="I881" s="96" t="s">
        <v>514</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145"/>
        <v>3</v>
      </c>
      <c r="D882" s="73"/>
      <c r="E882" s="70"/>
      <c r="F882" s="70" t="s">
        <v>1641</v>
      </c>
      <c r="G882" s="73"/>
      <c r="H882" s="76" t="s">
        <v>1510</v>
      </c>
      <c r="I882" s="96" t="s">
        <v>514</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145"/>
        <v>3</v>
      </c>
      <c r="D883" s="73"/>
      <c r="E883" s="70"/>
      <c r="F883" s="70" t="s">
        <v>2529</v>
      </c>
      <c r="G883" s="73"/>
      <c r="H883" s="76" t="s">
        <v>1504</v>
      </c>
      <c r="I883" s="96" t="s">
        <v>514</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45"/>
        <v>3</v>
      </c>
      <c r="D884" s="73"/>
      <c r="E884" s="70"/>
      <c r="F884" s="70" t="s">
        <v>2530</v>
      </c>
      <c r="G884" s="73"/>
      <c r="H884" s="76" t="s">
        <v>1506</v>
      </c>
      <c r="I884" s="96" t="s">
        <v>514</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45"/>
        <v>3</v>
      </c>
      <c r="D885" s="73"/>
      <c r="E885" s="70"/>
      <c r="F885" s="70" t="s">
        <v>2531</v>
      </c>
      <c r="G885" s="73"/>
      <c r="H885" s="76" t="s">
        <v>1508</v>
      </c>
      <c r="I885" s="96" t="s">
        <v>514</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45"/>
        <v>3</v>
      </c>
      <c r="D886" s="73"/>
      <c r="E886" s="70"/>
      <c r="F886" s="70" t="s">
        <v>2532</v>
      </c>
      <c r="G886" s="73"/>
      <c r="H886" s="76" t="s">
        <v>1510</v>
      </c>
      <c r="I886" s="96" t="s">
        <v>514</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35">
      <c r="A887" s="45"/>
      <c r="B887" s="54"/>
      <c r="C887" s="47">
        <f t="shared" si="145"/>
        <v>3</v>
      </c>
      <c r="D887" s="73"/>
      <c r="E887" s="70"/>
      <c r="F887" s="70" t="s">
        <v>2533</v>
      </c>
      <c r="G887" s="73"/>
      <c r="H887" s="76" t="s">
        <v>1504</v>
      </c>
      <c r="I887" s="96" t="s">
        <v>514</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35">
      <c r="A888" s="45"/>
      <c r="B888" s="54"/>
      <c r="C888" s="47">
        <f t="shared" si="145"/>
        <v>3</v>
      </c>
      <c r="D888" s="73"/>
      <c r="E888" s="70"/>
      <c r="F888" s="70" t="s">
        <v>2534</v>
      </c>
      <c r="G888" s="73"/>
      <c r="H888" s="76" t="s">
        <v>1506</v>
      </c>
      <c r="I888" s="96" t="s">
        <v>514</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35">
      <c r="A889" s="45"/>
      <c r="B889" s="54"/>
      <c r="C889" s="47">
        <f t="shared" si="145"/>
        <v>3</v>
      </c>
      <c r="D889" s="73"/>
      <c r="E889" s="70"/>
      <c r="F889" s="70" t="s">
        <v>2535</v>
      </c>
      <c r="G889" s="73"/>
      <c r="H889" s="76" t="s">
        <v>1508</v>
      </c>
      <c r="I889" s="96" t="s">
        <v>514</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35">
      <c r="A890" s="45"/>
      <c r="B890" s="54"/>
      <c r="C890" s="47">
        <f t="shared" si="145"/>
        <v>3</v>
      </c>
      <c r="D890" s="73"/>
      <c r="E890" s="70"/>
      <c r="F890" s="70" t="s">
        <v>2536</v>
      </c>
      <c r="G890" s="73"/>
      <c r="H890" s="76" t="s">
        <v>1510</v>
      </c>
      <c r="I890" s="96" t="s">
        <v>514</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2" x14ac:dyDescent="0.35">
      <c r="A891" s="45"/>
      <c r="B891" s="54"/>
      <c r="C891" s="47">
        <f t="shared" si="145"/>
        <v>3</v>
      </c>
      <c r="D891" s="73"/>
      <c r="E891" s="70"/>
      <c r="F891" s="70" t="s">
        <v>2537</v>
      </c>
      <c r="G891" s="73"/>
      <c r="H891" s="76" t="s">
        <v>2739</v>
      </c>
      <c r="I891" s="96" t="s">
        <v>514</v>
      </c>
      <c r="J891" s="96"/>
      <c r="K891" s="76"/>
      <c r="L891" s="76"/>
      <c r="M891" s="76"/>
      <c r="N891" s="76"/>
      <c r="O891" s="76"/>
      <c r="P891" s="76"/>
      <c r="Q891" s="76"/>
      <c r="R891" s="76"/>
      <c r="S891" s="76"/>
      <c r="T891" s="76"/>
      <c r="U891" s="76">
        <v>0</v>
      </c>
      <c r="V891" s="76">
        <v>0</v>
      </c>
      <c r="W891" s="76">
        <v>0</v>
      </c>
      <c r="X891" s="76">
        <v>0</v>
      </c>
      <c r="Y891" s="76">
        <v>0</v>
      </c>
      <c r="Z891" s="76">
        <v>0</v>
      </c>
      <c r="AA891" s="76">
        <v>0</v>
      </c>
      <c r="AB891" s="76">
        <v>0</v>
      </c>
      <c r="AC891" s="76"/>
      <c r="AD891" s="76"/>
      <c r="AE891" s="76"/>
      <c r="AF891" s="76">
        <v>1</v>
      </c>
      <c r="AG891" s="76">
        <v>1</v>
      </c>
      <c r="AH891" s="73"/>
      <c r="AI891" s="57"/>
      <c r="AJ891" s="45"/>
      <c r="AK891" s="45"/>
      <c r="AL891" s="45"/>
    </row>
    <row r="892" spans="1:38" hidden="1" outlineLevel="2" x14ac:dyDescent="0.35">
      <c r="A892" s="45"/>
      <c r="B892" s="54"/>
      <c r="C892" s="47">
        <f t="shared" si="145"/>
        <v>3</v>
      </c>
      <c r="D892" s="73"/>
      <c r="E892" s="70"/>
      <c r="F892" s="70" t="s">
        <v>2538</v>
      </c>
      <c r="G892" s="73"/>
      <c r="H892" s="76" t="s">
        <v>2741</v>
      </c>
      <c r="I892" s="96" t="s">
        <v>514</v>
      </c>
      <c r="J892" s="96"/>
      <c r="K892" s="76"/>
      <c r="L892" s="76"/>
      <c r="M892" s="76"/>
      <c r="N892" s="76"/>
      <c r="O892" s="76"/>
      <c r="P892" s="76"/>
      <c r="Q892" s="76"/>
      <c r="R892" s="76"/>
      <c r="S892" s="76"/>
      <c r="T892" s="76"/>
      <c r="U892" s="97">
        <v>0</v>
      </c>
      <c r="V892" s="97">
        <v>0</v>
      </c>
      <c r="W892" s="97">
        <v>0</v>
      </c>
      <c r="X892" s="262">
        <f t="shared" ref="X892:AB894" si="149">W892</f>
        <v>0</v>
      </c>
      <c r="Y892" s="262">
        <f t="shared" si="149"/>
        <v>0</v>
      </c>
      <c r="Z892" s="262">
        <f t="shared" si="149"/>
        <v>0</v>
      </c>
      <c r="AA892" s="262">
        <f t="shared" si="149"/>
        <v>0</v>
      </c>
      <c r="AB892" s="262">
        <f t="shared" si="149"/>
        <v>0</v>
      </c>
      <c r="AC892" s="76"/>
      <c r="AD892" s="76"/>
      <c r="AE892" s="76"/>
      <c r="AF892" s="76">
        <v>1</v>
      </c>
      <c r="AG892" s="76">
        <v>1</v>
      </c>
      <c r="AH892" s="73"/>
      <c r="AI892" s="57"/>
      <c r="AJ892" s="45"/>
      <c r="AK892" s="45"/>
      <c r="AL892" s="45"/>
    </row>
    <row r="893" spans="1:38" hidden="1" outlineLevel="2" x14ac:dyDescent="0.35">
      <c r="A893" s="45"/>
      <c r="B893" s="54"/>
      <c r="C893" s="47">
        <f t="shared" si="145"/>
        <v>3</v>
      </c>
      <c r="D893" s="73"/>
      <c r="E893" s="70"/>
      <c r="F893" s="70" t="s">
        <v>2539</v>
      </c>
      <c r="G893" s="73"/>
      <c r="H893" s="76" t="s">
        <v>2740</v>
      </c>
      <c r="I893" s="96" t="s">
        <v>514</v>
      </c>
      <c r="J893" s="96"/>
      <c r="K893" s="76"/>
      <c r="L893" s="76"/>
      <c r="M893" s="76"/>
      <c r="N893" s="76"/>
      <c r="O893" s="76"/>
      <c r="P893" s="76"/>
      <c r="Q893" s="76"/>
      <c r="R893" s="76"/>
      <c r="S893" s="76"/>
      <c r="T893" s="76"/>
      <c r="U893" s="97">
        <v>0</v>
      </c>
      <c r="V893" s="97">
        <v>0</v>
      </c>
      <c r="W893" s="97">
        <v>0</v>
      </c>
      <c r="X893" s="262">
        <f t="shared" si="149"/>
        <v>0</v>
      </c>
      <c r="Y893" s="262">
        <f t="shared" si="149"/>
        <v>0</v>
      </c>
      <c r="Z893" s="262">
        <f t="shared" si="149"/>
        <v>0</v>
      </c>
      <c r="AA893" s="262">
        <f t="shared" si="149"/>
        <v>0</v>
      </c>
      <c r="AB893" s="262">
        <f t="shared" si="149"/>
        <v>0</v>
      </c>
      <c r="AC893" s="76"/>
      <c r="AD893" s="76"/>
      <c r="AE893" s="76"/>
      <c r="AF893" s="76">
        <v>1</v>
      </c>
      <c r="AG893" s="76">
        <v>1</v>
      </c>
      <c r="AH893" s="73"/>
      <c r="AI893" s="57"/>
      <c r="AJ893" s="45"/>
      <c r="AK893" s="45"/>
      <c r="AL893" s="45"/>
    </row>
    <row r="894" spans="1:38" hidden="1" outlineLevel="2" x14ac:dyDescent="0.35">
      <c r="A894" s="45"/>
      <c r="B894" s="54"/>
      <c r="C894" s="47">
        <f t="shared" si="145"/>
        <v>3</v>
      </c>
      <c r="D894" s="73"/>
      <c r="E894" s="70"/>
      <c r="F894" s="70" t="s">
        <v>2540</v>
      </c>
      <c r="G894" s="73"/>
      <c r="H894" s="76" t="s">
        <v>2742</v>
      </c>
      <c r="I894" s="96" t="s">
        <v>514</v>
      </c>
      <c r="J894" s="96"/>
      <c r="K894" s="76"/>
      <c r="L894" s="76"/>
      <c r="M894" s="76"/>
      <c r="N894" s="76"/>
      <c r="O894" s="76"/>
      <c r="P894" s="76"/>
      <c r="Q894" s="76"/>
      <c r="R894" s="76"/>
      <c r="S894" s="76"/>
      <c r="T894" s="76"/>
      <c r="U894" s="97">
        <v>0</v>
      </c>
      <c r="V894" s="97">
        <v>0</v>
      </c>
      <c r="W894" s="97">
        <v>0</v>
      </c>
      <c r="X894" s="262">
        <f t="shared" si="149"/>
        <v>0</v>
      </c>
      <c r="Y894" s="262">
        <f t="shared" si="149"/>
        <v>0</v>
      </c>
      <c r="Z894" s="262">
        <f t="shared" si="149"/>
        <v>0</v>
      </c>
      <c r="AA894" s="262">
        <f t="shared" si="149"/>
        <v>0</v>
      </c>
      <c r="AB894" s="262">
        <f t="shared" si="149"/>
        <v>0</v>
      </c>
      <c r="AC894" s="76"/>
      <c r="AD894" s="76"/>
      <c r="AE894" s="76"/>
      <c r="AF894" s="76">
        <v>1</v>
      </c>
      <c r="AG894" s="76">
        <v>1</v>
      </c>
      <c r="AH894" s="73"/>
      <c r="AI894" s="57"/>
      <c r="AJ894" s="45"/>
      <c r="AK894" s="45"/>
      <c r="AL894" s="45"/>
    </row>
    <row r="895" spans="1:38" hidden="1" outlineLevel="2" x14ac:dyDescent="0.35">
      <c r="A895" s="45"/>
      <c r="B895" s="54"/>
      <c r="C895" s="47">
        <f t="shared" si="145"/>
        <v>3</v>
      </c>
      <c r="D895" s="73"/>
      <c r="E895" s="70"/>
      <c r="F895" s="70" t="s">
        <v>2541</v>
      </c>
      <c r="G895" s="73"/>
      <c r="H895" s="76" t="s">
        <v>2793</v>
      </c>
      <c r="I895" s="96" t="s">
        <v>514</v>
      </c>
      <c r="J895" s="96"/>
      <c r="K895" s="76"/>
      <c r="L895" s="76"/>
      <c r="M895" s="76"/>
      <c r="N895" s="76"/>
      <c r="O895" s="76"/>
      <c r="P895" s="76"/>
      <c r="Q895" s="76"/>
      <c r="R895" s="76"/>
      <c r="S895" s="76"/>
      <c r="T895" s="76"/>
      <c r="U895" s="76">
        <v>-100</v>
      </c>
      <c r="V895" s="76">
        <v>-100</v>
      </c>
      <c r="W895" s="76">
        <v>-100</v>
      </c>
      <c r="X895" s="76">
        <v>-100</v>
      </c>
      <c r="Y895" s="76">
        <v>-100</v>
      </c>
      <c r="Z895" s="76">
        <v>-100</v>
      </c>
      <c r="AA895" s="76">
        <v>-100</v>
      </c>
      <c r="AB895" s="76">
        <v>-100</v>
      </c>
      <c r="AC895" s="76"/>
      <c r="AD895" s="76" t="s">
        <v>2804</v>
      </c>
      <c r="AE895" s="76"/>
      <c r="AF895" s="76">
        <v>1</v>
      </c>
      <c r="AG895" s="76">
        <v>1</v>
      </c>
      <c r="AH895" s="73"/>
      <c r="AI895" s="57"/>
      <c r="AJ895" s="45"/>
      <c r="AK895" s="45"/>
      <c r="AL895" s="45"/>
    </row>
    <row r="896" spans="1:38" hidden="1" outlineLevel="2" x14ac:dyDescent="0.35">
      <c r="A896" s="45"/>
      <c r="B896" s="54"/>
      <c r="C896" s="47">
        <f t="shared" si="145"/>
        <v>3</v>
      </c>
      <c r="D896" s="73"/>
      <c r="E896" s="70"/>
      <c r="F896" s="70" t="s">
        <v>2542</v>
      </c>
      <c r="G896" s="73"/>
      <c r="H896" s="76" t="s">
        <v>2741</v>
      </c>
      <c r="I896" s="96" t="s">
        <v>514</v>
      </c>
      <c r="J896" s="96"/>
      <c r="K896" s="76"/>
      <c r="L896" s="76"/>
      <c r="M896" s="76"/>
      <c r="N896" s="76"/>
      <c r="O896" s="76"/>
      <c r="P896" s="76"/>
      <c r="Q896" s="76"/>
      <c r="R896" s="76"/>
      <c r="S896" s="76"/>
      <c r="T896" s="76"/>
      <c r="U896" s="97">
        <f>Y896-(-0.4)</f>
        <v>0</v>
      </c>
      <c r="V896" s="262">
        <f t="shared" ref="V896:W898" si="150">U896</f>
        <v>0</v>
      </c>
      <c r="W896" s="262">
        <f t="shared" si="150"/>
        <v>0</v>
      </c>
      <c r="X896" s="262">
        <f>Y896</f>
        <v>-0.4</v>
      </c>
      <c r="Y896" s="97">
        <f>-(0.4)</f>
        <v>-0.4</v>
      </c>
      <c r="Z896" s="262">
        <f t="shared" ref="Z896:AB898" si="151">Y896</f>
        <v>-0.4</v>
      </c>
      <c r="AA896" s="262">
        <f t="shared" si="151"/>
        <v>-0.4</v>
      </c>
      <c r="AB896" s="262">
        <f t="shared" si="151"/>
        <v>-0.4</v>
      </c>
      <c r="AC896" s="76"/>
      <c r="AD896" s="97" t="s">
        <v>2844</v>
      </c>
      <c r="AE896" s="76"/>
      <c r="AF896" s="97">
        <v>1</v>
      </c>
      <c r="AG896" s="97">
        <v>1</v>
      </c>
      <c r="AH896" s="73"/>
      <c r="AI896" s="57"/>
      <c r="AJ896" s="45"/>
      <c r="AK896" s="45"/>
      <c r="AL896" s="45"/>
    </row>
    <row r="897" spans="1:38" hidden="1" outlineLevel="2" x14ac:dyDescent="0.35">
      <c r="A897" s="45"/>
      <c r="B897" s="54"/>
      <c r="C897" s="47">
        <f t="shared" si="145"/>
        <v>3</v>
      </c>
      <c r="D897" s="73"/>
      <c r="E897" s="70"/>
      <c r="F897" s="70" t="s">
        <v>2543</v>
      </c>
      <c r="G897" s="73"/>
      <c r="H897" s="76" t="s">
        <v>2740</v>
      </c>
      <c r="I897" s="96" t="s">
        <v>514</v>
      </c>
      <c r="J897" s="96"/>
      <c r="K897" s="76"/>
      <c r="L897" s="76"/>
      <c r="M897" s="76"/>
      <c r="N897" s="76"/>
      <c r="O897" s="76"/>
      <c r="P897" s="76"/>
      <c r="Q897" s="76"/>
      <c r="R897" s="76"/>
      <c r="S897" s="76"/>
      <c r="T897" s="76"/>
      <c r="U897" s="97">
        <f>Y897-(-0.55)</f>
        <v>0.55000000000000004</v>
      </c>
      <c r="V897" s="262">
        <f t="shared" si="150"/>
        <v>0.55000000000000004</v>
      </c>
      <c r="W897" s="262">
        <f t="shared" si="150"/>
        <v>0.55000000000000004</v>
      </c>
      <c r="X897" s="262">
        <f>Y897</f>
        <v>0</v>
      </c>
      <c r="Y897" s="97">
        <v>0</v>
      </c>
      <c r="Z897" s="262">
        <f t="shared" si="151"/>
        <v>0</v>
      </c>
      <c r="AA897" s="262">
        <f t="shared" si="151"/>
        <v>0</v>
      </c>
      <c r="AB897" s="262">
        <f t="shared" si="151"/>
        <v>0</v>
      </c>
      <c r="AC897" s="76"/>
      <c r="AD897" s="76"/>
      <c r="AE897" s="76"/>
      <c r="AF897" s="97">
        <v>1</v>
      </c>
      <c r="AG897" s="97">
        <v>1</v>
      </c>
      <c r="AH897" s="73"/>
      <c r="AI897" s="57"/>
      <c r="AJ897" s="45"/>
      <c r="AK897" s="45"/>
      <c r="AL897" s="45"/>
    </row>
    <row r="898" spans="1:38" hidden="1" outlineLevel="2" x14ac:dyDescent="0.35">
      <c r="A898" s="45"/>
      <c r="B898" s="54"/>
      <c r="C898" s="47">
        <f t="shared" si="145"/>
        <v>3</v>
      </c>
      <c r="D898" s="73"/>
      <c r="E898" s="70"/>
      <c r="F898" s="70" t="s">
        <v>2544</v>
      </c>
      <c r="G898" s="73"/>
      <c r="H898" s="76" t="s">
        <v>2742</v>
      </c>
      <c r="I898" s="96" t="s">
        <v>514</v>
      </c>
      <c r="J898" s="96"/>
      <c r="K898" s="76"/>
      <c r="L898" s="76"/>
      <c r="M898" s="76"/>
      <c r="N898" s="76"/>
      <c r="O898" s="76"/>
      <c r="P898" s="76"/>
      <c r="Q898" s="76"/>
      <c r="R898" s="76"/>
      <c r="S898" s="76"/>
      <c r="T898" s="76"/>
      <c r="U898" s="97">
        <f>Y898-(-1.1573)</f>
        <v>1.8119000000000001</v>
      </c>
      <c r="V898" s="262">
        <f t="shared" si="150"/>
        <v>1.8119000000000001</v>
      </c>
      <c r="W898" s="262">
        <f t="shared" si="150"/>
        <v>1.8119000000000001</v>
      </c>
      <c r="X898" s="262">
        <f>Y898</f>
        <v>0.65459999999999996</v>
      </c>
      <c r="Y898" s="97">
        <f>-(-0.6546)</f>
        <v>0.65459999999999996</v>
      </c>
      <c r="Z898" s="262">
        <f t="shared" si="151"/>
        <v>0.65459999999999996</v>
      </c>
      <c r="AA898" s="262">
        <f t="shared" si="151"/>
        <v>0.65459999999999996</v>
      </c>
      <c r="AB898" s="262">
        <f t="shared" si="151"/>
        <v>0.65459999999999996</v>
      </c>
      <c r="AC898" s="76"/>
      <c r="AD898" s="76"/>
      <c r="AE898" s="76"/>
      <c r="AF898" s="97">
        <v>1</v>
      </c>
      <c r="AG898" s="97">
        <v>1</v>
      </c>
      <c r="AH898" s="73"/>
      <c r="AI898" s="57"/>
      <c r="AJ898" s="45"/>
      <c r="AK898" s="45"/>
      <c r="AL898" s="45"/>
    </row>
    <row r="899" spans="1:38" hidden="1" outlineLevel="2" x14ac:dyDescent="0.35">
      <c r="A899" s="45"/>
      <c r="B899" s="54"/>
      <c r="C899" s="47">
        <f t="shared" si="145"/>
        <v>3</v>
      </c>
      <c r="D899" s="73"/>
      <c r="E899" s="70"/>
      <c r="F899" s="70" t="s">
        <v>2545</v>
      </c>
      <c r="G899" s="73"/>
      <c r="H899" s="76" t="s">
        <v>2553</v>
      </c>
      <c r="I899" s="96" t="s">
        <v>514</v>
      </c>
      <c r="J899" s="96"/>
      <c r="K899" s="76"/>
      <c r="L899" s="76"/>
      <c r="M899" s="76"/>
      <c r="N899" s="76"/>
      <c r="O899" s="76"/>
      <c r="P899" s="76"/>
      <c r="Q899" s="76"/>
      <c r="R899" s="76"/>
      <c r="S899" s="76"/>
      <c r="T899" s="76"/>
      <c r="U899" s="76">
        <v>0</v>
      </c>
      <c r="V899" s="76">
        <v>0</v>
      </c>
      <c r="W899" s="76">
        <v>0</v>
      </c>
      <c r="X899" s="76">
        <v>0</v>
      </c>
      <c r="Y899" s="76">
        <v>0</v>
      </c>
      <c r="Z899" s="76">
        <v>0</v>
      </c>
      <c r="AA899" s="76">
        <v>0</v>
      </c>
      <c r="AB899" s="76">
        <v>0</v>
      </c>
      <c r="AC899" s="76"/>
      <c r="AD899" s="271" t="s">
        <v>2561</v>
      </c>
      <c r="AE899" s="76"/>
      <c r="AF899" s="76">
        <v>1</v>
      </c>
      <c r="AG899" s="76">
        <v>1</v>
      </c>
      <c r="AH899" s="73"/>
      <c r="AI899" s="57"/>
      <c r="AJ899" s="45"/>
      <c r="AK899" s="45"/>
      <c r="AL899" s="45"/>
    </row>
    <row r="900" spans="1:38" hidden="1" outlineLevel="2" x14ac:dyDescent="0.35">
      <c r="A900" s="45"/>
      <c r="B900" s="54"/>
      <c r="C900" s="47">
        <f t="shared" si="145"/>
        <v>3</v>
      </c>
      <c r="D900" s="73"/>
      <c r="E900" s="70"/>
      <c r="F900" s="70" t="s">
        <v>2546</v>
      </c>
      <c r="G900" s="73"/>
      <c r="H900" s="76" t="s">
        <v>1515</v>
      </c>
      <c r="I900" s="96" t="s">
        <v>514</v>
      </c>
      <c r="J900" s="96"/>
      <c r="K900" s="76"/>
      <c r="L900" s="76"/>
      <c r="M900" s="76"/>
      <c r="N900" s="76"/>
      <c r="O900" s="76"/>
      <c r="P900" s="76"/>
      <c r="Q900" s="76"/>
      <c r="R900" s="76"/>
      <c r="S900" s="76"/>
      <c r="T900" s="76"/>
      <c r="U900" s="97">
        <v>2.2589999999999999</v>
      </c>
      <c r="V900" s="262">
        <f>U900</f>
        <v>2.2589999999999999</v>
      </c>
      <c r="W900" s="262">
        <f t="shared" ref="V900:W903" si="152">V900</f>
        <v>2.2589999999999999</v>
      </c>
      <c r="X900" s="262">
        <f t="shared" ref="X900:X906" si="153">Y900</f>
        <v>1.962</v>
      </c>
      <c r="Y900" s="97">
        <v>1.962</v>
      </c>
      <c r="Z900" s="262">
        <f t="shared" ref="Z900:AB906" si="154">Y900</f>
        <v>1.962</v>
      </c>
      <c r="AA900" s="262">
        <f t="shared" si="154"/>
        <v>1.962</v>
      </c>
      <c r="AB900" s="262">
        <f t="shared" si="154"/>
        <v>1.962</v>
      </c>
      <c r="AC900" s="76"/>
      <c r="AD900" s="97" t="s">
        <v>2557</v>
      </c>
      <c r="AE900" s="76"/>
      <c r="AF900" s="97">
        <v>1</v>
      </c>
      <c r="AG900" s="97">
        <v>1</v>
      </c>
      <c r="AH900" s="73"/>
      <c r="AI900" s="57"/>
      <c r="AJ900" s="45"/>
      <c r="AK900" s="45"/>
      <c r="AL900" s="45"/>
    </row>
    <row r="901" spans="1:38" hidden="1" outlineLevel="2" x14ac:dyDescent="0.35">
      <c r="A901" s="45"/>
      <c r="B901" s="54"/>
      <c r="C901" s="47">
        <f t="shared" si="145"/>
        <v>3</v>
      </c>
      <c r="D901" s="73"/>
      <c r="E901" s="70"/>
      <c r="F901" s="70" t="s">
        <v>2547</v>
      </c>
      <c r="G901" s="73"/>
      <c r="H901" s="76" t="s">
        <v>1519</v>
      </c>
      <c r="I901" s="96" t="s">
        <v>514</v>
      </c>
      <c r="J901" s="96"/>
      <c r="K901" s="76"/>
      <c r="L901" s="76"/>
      <c r="M901" s="76"/>
      <c r="N901" s="76"/>
      <c r="O901" s="76"/>
      <c r="P901" s="76"/>
      <c r="Q901" s="76"/>
      <c r="R901" s="76"/>
      <c r="S901" s="76"/>
      <c r="T901" s="76"/>
      <c r="U901" s="97">
        <v>6</v>
      </c>
      <c r="V901" s="262">
        <f>U901</f>
        <v>6</v>
      </c>
      <c r="W901" s="262">
        <f t="shared" si="152"/>
        <v>6</v>
      </c>
      <c r="X901" s="262">
        <f t="shared" si="153"/>
        <v>5.6980000000000004</v>
      </c>
      <c r="Y901" s="97">
        <v>5.6980000000000004</v>
      </c>
      <c r="Z901" s="262">
        <f t="shared" si="154"/>
        <v>5.6980000000000004</v>
      </c>
      <c r="AA901" s="262">
        <f t="shared" si="154"/>
        <v>5.6980000000000004</v>
      </c>
      <c r="AB901" s="262">
        <f t="shared" si="154"/>
        <v>5.6980000000000004</v>
      </c>
      <c r="AC901" s="76"/>
      <c r="AD901" s="76"/>
      <c r="AE901" s="76"/>
      <c r="AF901" s="97">
        <v>1</v>
      </c>
      <c r="AG901" s="97">
        <v>1</v>
      </c>
      <c r="AH901" s="73"/>
      <c r="AI901" s="57"/>
      <c r="AJ901" s="45"/>
      <c r="AK901" s="45"/>
      <c r="AL901" s="45"/>
    </row>
    <row r="902" spans="1:38" hidden="1" outlineLevel="2" x14ac:dyDescent="0.35">
      <c r="A902" s="45"/>
      <c r="B902" s="54"/>
      <c r="C902" s="47">
        <f t="shared" si="145"/>
        <v>3</v>
      </c>
      <c r="D902" s="73"/>
      <c r="E902" s="70"/>
      <c r="F902" s="70" t="s">
        <v>2548</v>
      </c>
      <c r="G902" s="73"/>
      <c r="H902" s="76" t="s">
        <v>1521</v>
      </c>
      <c r="I902" s="96" t="s">
        <v>514</v>
      </c>
      <c r="J902" s="96"/>
      <c r="K902" s="76"/>
      <c r="L902" s="76"/>
      <c r="M902" s="76"/>
      <c r="N902" s="76"/>
      <c r="O902" s="76"/>
      <c r="P902" s="76"/>
      <c r="Q902" s="76"/>
      <c r="R902" s="76"/>
      <c r="S902" s="76"/>
      <c r="T902" s="76"/>
      <c r="U902" s="76">
        <v>100</v>
      </c>
      <c r="V902" s="76">
        <f>U902</f>
        <v>100</v>
      </c>
      <c r="W902" s="76">
        <f t="shared" si="152"/>
        <v>100</v>
      </c>
      <c r="X902" s="76">
        <f t="shared" si="153"/>
        <v>100</v>
      </c>
      <c r="Y902" s="76">
        <v>100</v>
      </c>
      <c r="Z902" s="76">
        <f t="shared" si="154"/>
        <v>100</v>
      </c>
      <c r="AA902" s="76">
        <f t="shared" si="154"/>
        <v>100</v>
      </c>
      <c r="AB902" s="76">
        <f t="shared" si="154"/>
        <v>100</v>
      </c>
      <c r="AC902" s="76"/>
      <c r="AD902" s="271" t="s">
        <v>2560</v>
      </c>
      <c r="AE902" s="76"/>
      <c r="AF902" s="76">
        <v>1</v>
      </c>
      <c r="AG902" s="76">
        <v>1</v>
      </c>
      <c r="AH902" s="73"/>
      <c r="AI902" s="57"/>
      <c r="AJ902" s="45"/>
      <c r="AK902" s="45"/>
      <c r="AL902" s="45"/>
    </row>
    <row r="903" spans="1:38" hidden="1" outlineLevel="2" x14ac:dyDescent="0.35">
      <c r="A903" s="45"/>
      <c r="B903" s="54"/>
      <c r="C903" s="47">
        <f t="shared" si="145"/>
        <v>3</v>
      </c>
      <c r="D903" s="73"/>
      <c r="E903" s="70"/>
      <c r="F903" s="70" t="s">
        <v>2549</v>
      </c>
      <c r="G903" s="73"/>
      <c r="H903" s="76" t="s">
        <v>2614</v>
      </c>
      <c r="I903" s="96" t="s">
        <v>514</v>
      </c>
      <c r="J903" s="96"/>
      <c r="K903" s="76"/>
      <c r="L903" s="76"/>
      <c r="M903" s="76"/>
      <c r="N903" s="76"/>
      <c r="O903" s="76"/>
      <c r="P903" s="76"/>
      <c r="Q903" s="76"/>
      <c r="R903" s="76"/>
      <c r="S903" s="76"/>
      <c r="T903" s="76"/>
      <c r="U903" s="97">
        <v>1.302</v>
      </c>
      <c r="V903" s="262">
        <f t="shared" si="152"/>
        <v>1.302</v>
      </c>
      <c r="W903" s="262">
        <f t="shared" si="152"/>
        <v>1.302</v>
      </c>
      <c r="X903" s="262">
        <f t="shared" si="153"/>
        <v>0.64400000000000002</v>
      </c>
      <c r="Y903" s="97">
        <v>0.64400000000000002</v>
      </c>
      <c r="Z903" s="262">
        <f t="shared" si="154"/>
        <v>0.64400000000000002</v>
      </c>
      <c r="AA903" s="262">
        <f t="shared" si="154"/>
        <v>0.64400000000000002</v>
      </c>
      <c r="AB903" s="262">
        <f t="shared" si="154"/>
        <v>0.64400000000000002</v>
      </c>
      <c r="AC903" s="76"/>
      <c r="AD903" s="97" t="s">
        <v>2774</v>
      </c>
      <c r="AE903" s="76"/>
      <c r="AF903" s="76">
        <v>1</v>
      </c>
      <c r="AG903" s="76">
        <v>1</v>
      </c>
      <c r="AH903" s="73"/>
      <c r="AI903" s="57"/>
      <c r="AJ903" s="45"/>
      <c r="AK903" s="45"/>
      <c r="AL903" s="45"/>
    </row>
    <row r="904" spans="1:38" hidden="1" outlineLevel="2" x14ac:dyDescent="0.35">
      <c r="A904" s="45"/>
      <c r="B904" s="54"/>
      <c r="C904" s="47">
        <f t="shared" si="145"/>
        <v>3</v>
      </c>
      <c r="D904" s="73"/>
      <c r="E904" s="70"/>
      <c r="F904" s="70" t="s">
        <v>2550</v>
      </c>
      <c r="G904" s="73"/>
      <c r="H904" s="76" t="s">
        <v>2554</v>
      </c>
      <c r="I904" s="96" t="s">
        <v>514</v>
      </c>
      <c r="J904" s="96"/>
      <c r="K904" s="76"/>
      <c r="L904" s="76"/>
      <c r="M904" s="76"/>
      <c r="N904" s="76"/>
      <c r="O904" s="76"/>
      <c r="P904" s="76"/>
      <c r="Q904" s="76"/>
      <c r="R904" s="76"/>
      <c r="S904" s="76"/>
      <c r="T904" s="76"/>
      <c r="U904" s="97">
        <v>4.9800000000000004</v>
      </c>
      <c r="V904" s="262">
        <f t="shared" ref="V904:W906" si="155">U904</f>
        <v>4.9800000000000004</v>
      </c>
      <c r="W904" s="262">
        <f t="shared" si="155"/>
        <v>4.9800000000000004</v>
      </c>
      <c r="X904" s="262">
        <f t="shared" si="153"/>
        <v>3.1459999999999999</v>
      </c>
      <c r="Y904" s="97">
        <v>3.1459999999999999</v>
      </c>
      <c r="Z904" s="262">
        <f t="shared" si="154"/>
        <v>3.1459999999999999</v>
      </c>
      <c r="AA904" s="262">
        <f t="shared" si="154"/>
        <v>3.1459999999999999</v>
      </c>
      <c r="AB904" s="262">
        <f t="shared" si="154"/>
        <v>3.1459999999999999</v>
      </c>
      <c r="AC904" s="76"/>
      <c r="AD904" s="76"/>
      <c r="AE904" s="76"/>
      <c r="AF904" s="97">
        <v>1</v>
      </c>
      <c r="AG904" s="97">
        <v>1</v>
      </c>
      <c r="AH904" s="73"/>
      <c r="AI904" s="57"/>
      <c r="AJ904" s="45"/>
      <c r="AK904" s="45"/>
      <c r="AL904" s="45"/>
    </row>
    <row r="905" spans="1:38" hidden="1" outlineLevel="2" x14ac:dyDescent="0.35">
      <c r="A905" s="45"/>
      <c r="B905" s="54"/>
      <c r="C905" s="47">
        <f t="shared" si="145"/>
        <v>3</v>
      </c>
      <c r="D905" s="73"/>
      <c r="E905" s="70"/>
      <c r="F905" s="70" t="s">
        <v>2551</v>
      </c>
      <c r="G905" s="73"/>
      <c r="H905" s="76" t="s">
        <v>2555</v>
      </c>
      <c r="I905" s="96" t="s">
        <v>514</v>
      </c>
      <c r="J905" s="96"/>
      <c r="K905" s="76"/>
      <c r="L905" s="76"/>
      <c r="M905" s="76"/>
      <c r="N905" s="76"/>
      <c r="O905" s="76"/>
      <c r="P905" s="76"/>
      <c r="Q905" s="76"/>
      <c r="R905" s="76"/>
      <c r="S905" s="76"/>
      <c r="T905" s="76"/>
      <c r="U905" s="97">
        <v>7.9349999999999996</v>
      </c>
      <c r="V905" s="262">
        <f t="shared" si="155"/>
        <v>7.9349999999999996</v>
      </c>
      <c r="W905" s="262">
        <f t="shared" si="155"/>
        <v>7.9349999999999996</v>
      </c>
      <c r="X905" s="262">
        <f t="shared" si="153"/>
        <v>6.0309999999999997</v>
      </c>
      <c r="Y905" s="97">
        <v>6.0309999999999997</v>
      </c>
      <c r="Z905" s="262">
        <f t="shared" si="154"/>
        <v>6.0309999999999997</v>
      </c>
      <c r="AA905" s="262">
        <f t="shared" si="154"/>
        <v>6.0309999999999997</v>
      </c>
      <c r="AB905" s="262">
        <f t="shared" si="154"/>
        <v>6.0309999999999997</v>
      </c>
      <c r="AC905" s="76"/>
      <c r="AD905" s="97" t="s">
        <v>2807</v>
      </c>
      <c r="AE905" s="76"/>
      <c r="AF905" s="97">
        <v>1</v>
      </c>
      <c r="AG905" s="97">
        <v>1</v>
      </c>
      <c r="AH905" s="73"/>
      <c r="AI905" s="57"/>
      <c r="AJ905" s="45"/>
      <c r="AK905" s="45"/>
      <c r="AL905" s="45"/>
    </row>
    <row r="906" spans="1:38" hidden="1" outlineLevel="2" x14ac:dyDescent="0.35">
      <c r="A906" s="45"/>
      <c r="B906" s="54"/>
      <c r="C906" s="47">
        <f t="shared" si="145"/>
        <v>3</v>
      </c>
      <c r="D906" s="73"/>
      <c r="E906" s="70"/>
      <c r="F906" s="70" t="s">
        <v>2552</v>
      </c>
      <c r="G906" s="73"/>
      <c r="H906" s="76" t="s">
        <v>2556</v>
      </c>
      <c r="I906" s="96" t="s">
        <v>514</v>
      </c>
      <c r="J906" s="96"/>
      <c r="K906" s="76"/>
      <c r="L906" s="76"/>
      <c r="M906" s="76"/>
      <c r="N906" s="76"/>
      <c r="O906" s="76"/>
      <c r="P906" s="76"/>
      <c r="Q906" s="76"/>
      <c r="R906" s="76"/>
      <c r="S906" s="76"/>
      <c r="T906" s="76"/>
      <c r="U906" s="76">
        <v>100</v>
      </c>
      <c r="V906" s="76">
        <f t="shared" si="155"/>
        <v>100</v>
      </c>
      <c r="W906" s="76">
        <f t="shared" si="155"/>
        <v>100</v>
      </c>
      <c r="X906" s="76">
        <f t="shared" si="153"/>
        <v>100</v>
      </c>
      <c r="Y906" s="76">
        <v>100</v>
      </c>
      <c r="Z906" s="76">
        <f t="shared" si="154"/>
        <v>100</v>
      </c>
      <c r="AA906" s="76">
        <f t="shared" si="154"/>
        <v>100</v>
      </c>
      <c r="AB906" s="76">
        <f t="shared" si="154"/>
        <v>100</v>
      </c>
      <c r="AC906" s="76"/>
      <c r="AD906" s="271" t="s">
        <v>2560</v>
      </c>
      <c r="AE906" s="76"/>
      <c r="AF906" s="76">
        <v>1</v>
      </c>
      <c r="AG906" s="76">
        <v>1</v>
      </c>
      <c r="AH906" s="73"/>
      <c r="AI906" s="57"/>
      <c r="AJ906" s="45"/>
      <c r="AK906" s="45"/>
      <c r="AL906" s="45"/>
    </row>
    <row r="907" spans="1:38" outlineLevel="1" collapsed="1" x14ac:dyDescent="0.35">
      <c r="A907" s="45"/>
      <c r="B907" s="54"/>
      <c r="C907" s="47">
        <f>INT($C$29)+1</f>
        <v>2</v>
      </c>
      <c r="D907" s="73"/>
      <c r="E907" s="70"/>
      <c r="F907" s="272" t="s">
        <v>1642</v>
      </c>
      <c r="G907" s="73"/>
      <c r="H907" s="253" t="s">
        <v>1643</v>
      </c>
      <c r="I907" s="136"/>
      <c r="J907" s="136" t="s">
        <v>1060</v>
      </c>
      <c r="K907" s="76"/>
      <c r="L907" s="76"/>
      <c r="M907" s="76"/>
      <c r="N907" s="76"/>
      <c r="O907" s="76"/>
      <c r="P907" s="76"/>
      <c r="Q907" s="76"/>
      <c r="R907" s="76"/>
      <c r="S907" s="76"/>
      <c r="T907" s="76"/>
      <c r="U907" s="79">
        <v>26</v>
      </c>
      <c r="V907" s="79">
        <v>4</v>
      </c>
      <c r="W907" s="79">
        <v>-12</v>
      </c>
      <c r="X907" s="76"/>
      <c r="Y907" s="76"/>
      <c r="Z907" s="76"/>
      <c r="AA907" s="76"/>
      <c r="AB907" s="76"/>
      <c r="AC907" s="76"/>
      <c r="AD907" s="76"/>
      <c r="AE907" s="76"/>
      <c r="AF907" s="76"/>
      <c r="AG907" s="76"/>
      <c r="AH907" s="73"/>
      <c r="AI907" s="57"/>
      <c r="AJ907" s="45"/>
      <c r="AK907" s="45"/>
      <c r="AL907" s="45"/>
    </row>
    <row r="908" spans="1:38" hidden="1" outlineLevel="2" x14ac:dyDescent="0.35">
      <c r="A908" s="45"/>
      <c r="B908" s="54"/>
      <c r="C908" s="47">
        <f>INT($C$29)+2</f>
        <v>3</v>
      </c>
      <c r="D908" s="73"/>
      <c r="E908" s="70" t="s">
        <v>804</v>
      </c>
      <c r="F908" s="70" t="s">
        <v>1644</v>
      </c>
      <c r="G908" s="73"/>
      <c r="H908" s="76" t="s">
        <v>1645</v>
      </c>
      <c r="I908" s="96" t="s">
        <v>678</v>
      </c>
      <c r="J908" s="96"/>
      <c r="K908" s="76"/>
      <c r="L908" s="76"/>
      <c r="M908" s="76"/>
      <c r="N908" s="76"/>
      <c r="O908" s="76"/>
      <c r="P908" s="76"/>
      <c r="Q908" s="76"/>
      <c r="R908" s="76" t="s">
        <v>685</v>
      </c>
      <c r="S908" s="76" t="s">
        <v>808</v>
      </c>
      <c r="T908" s="76"/>
      <c r="U908" s="76">
        <v>0</v>
      </c>
      <c r="V908" s="76">
        <v>0</v>
      </c>
      <c r="W908" s="76">
        <v>0</v>
      </c>
      <c r="X908" s="76">
        <v>0</v>
      </c>
      <c r="Y908" s="76">
        <v>0</v>
      </c>
      <c r="Z908" s="76">
        <v>0</v>
      </c>
      <c r="AA908" s="76">
        <v>0</v>
      </c>
      <c r="AB908" s="76">
        <v>0</v>
      </c>
      <c r="AC908" s="76"/>
      <c r="AD908" s="271" t="s">
        <v>1646</v>
      </c>
      <c r="AE908" s="76"/>
      <c r="AF908" s="76">
        <v>1</v>
      </c>
      <c r="AG908" s="76">
        <v>1</v>
      </c>
      <c r="AH908" s="73"/>
      <c r="AI908" s="57"/>
      <c r="AJ908" s="45"/>
      <c r="AK908" s="45"/>
      <c r="AL908" s="45"/>
    </row>
    <row r="909" spans="1:38" hidden="1" outlineLevel="2" x14ac:dyDescent="0.35">
      <c r="A909" s="45"/>
      <c r="B909" s="54"/>
      <c r="C909" s="47">
        <f>INT($C$29)+2</f>
        <v>3</v>
      </c>
      <c r="D909" s="73"/>
      <c r="E909" s="70"/>
      <c r="F909" s="70" t="s">
        <v>1647</v>
      </c>
      <c r="G909" s="73"/>
      <c r="H909" s="76" t="s">
        <v>1648</v>
      </c>
      <c r="I909" s="96" t="s">
        <v>678</v>
      </c>
      <c r="J909" s="96"/>
      <c r="K909" s="97">
        <v>0.38900000000000001</v>
      </c>
      <c r="L909" s="97">
        <v>0.48599999999999999</v>
      </c>
      <c r="M909" s="97">
        <v>0.375</v>
      </c>
      <c r="N909" s="97">
        <v>0.375</v>
      </c>
      <c r="O909" s="97">
        <v>0.375</v>
      </c>
      <c r="P909" s="97">
        <v>0.5</v>
      </c>
      <c r="Q909" s="76"/>
      <c r="R909" s="76" t="s">
        <v>685</v>
      </c>
      <c r="S909" s="76" t="s">
        <v>808</v>
      </c>
      <c r="T909" s="76"/>
      <c r="U909" s="260">
        <f t="shared" ref="U909:AB911" si="156">INDEX($K909:$Q909,1,U$43)</f>
        <v>0.38900000000000001</v>
      </c>
      <c r="V909" s="260">
        <f t="shared" si="156"/>
        <v>0.38900000000000001</v>
      </c>
      <c r="W909" s="260">
        <f t="shared" si="156"/>
        <v>0.38900000000000001</v>
      </c>
      <c r="X909" s="260">
        <f t="shared" si="156"/>
        <v>0.48599999999999999</v>
      </c>
      <c r="Y909" s="260">
        <f t="shared" si="156"/>
        <v>0.48599999999999999</v>
      </c>
      <c r="Z909" s="260">
        <f t="shared" si="156"/>
        <v>0.48599999999999999</v>
      </c>
      <c r="AA909" s="260">
        <f t="shared" si="156"/>
        <v>0.48599999999999999</v>
      </c>
      <c r="AB909" s="260">
        <f t="shared" si="156"/>
        <v>0.48599999999999999</v>
      </c>
      <c r="AC909" s="76"/>
      <c r="AD909" s="76"/>
      <c r="AE909" s="76"/>
      <c r="AF909" s="97">
        <v>1</v>
      </c>
      <c r="AG909" s="97">
        <v>1</v>
      </c>
      <c r="AH909" s="73"/>
      <c r="AI909" s="57"/>
      <c r="AJ909" s="45"/>
      <c r="AK909" s="45"/>
      <c r="AL909" s="45"/>
    </row>
    <row r="910" spans="1:38" hidden="1" outlineLevel="2" x14ac:dyDescent="0.35">
      <c r="A910" s="45"/>
      <c r="B910" s="54"/>
      <c r="C910" s="47">
        <f>INT($C$29)+2</f>
        <v>3</v>
      </c>
      <c r="D910" s="73"/>
      <c r="E910" s="70"/>
      <c r="F910" s="70" t="s">
        <v>1644</v>
      </c>
      <c r="G910" s="73"/>
      <c r="H910" s="76" t="s">
        <v>1649</v>
      </c>
      <c r="I910" s="96" t="s">
        <v>678</v>
      </c>
      <c r="J910" s="96"/>
      <c r="K910" s="97">
        <v>0.622</v>
      </c>
      <c r="L910" s="97">
        <v>0.77800000000000002</v>
      </c>
      <c r="M910" s="76"/>
      <c r="N910" s="76"/>
      <c r="O910" s="76"/>
      <c r="P910" s="76"/>
      <c r="Q910" s="76"/>
      <c r="R910" s="76" t="s">
        <v>685</v>
      </c>
      <c r="S910" s="76" t="s">
        <v>808</v>
      </c>
      <c r="T910" s="76"/>
      <c r="U910" s="260">
        <f t="shared" si="156"/>
        <v>0.622</v>
      </c>
      <c r="V910" s="260">
        <f t="shared" si="156"/>
        <v>0.622</v>
      </c>
      <c r="W910" s="260">
        <f t="shared" si="156"/>
        <v>0.622</v>
      </c>
      <c r="X910" s="260">
        <f t="shared" si="156"/>
        <v>0.77800000000000002</v>
      </c>
      <c r="Y910" s="260">
        <f t="shared" si="156"/>
        <v>0.77800000000000002</v>
      </c>
      <c r="Z910" s="260">
        <f t="shared" si="156"/>
        <v>0.77800000000000002</v>
      </c>
      <c r="AA910" s="260">
        <f t="shared" si="156"/>
        <v>0.77800000000000002</v>
      </c>
      <c r="AB910" s="260">
        <f t="shared" si="156"/>
        <v>0.77800000000000002</v>
      </c>
      <c r="AC910" s="76"/>
      <c r="AD910" s="76"/>
      <c r="AE910" s="76"/>
      <c r="AF910" s="97">
        <v>1</v>
      </c>
      <c r="AG910" s="97">
        <v>1</v>
      </c>
      <c r="AH910" s="73"/>
      <c r="AI910" s="57"/>
      <c r="AJ910" s="45"/>
      <c r="AK910" s="45"/>
      <c r="AL910" s="45"/>
    </row>
    <row r="911" spans="1:38" hidden="1" outlineLevel="2" collapsed="1" x14ac:dyDescent="0.35">
      <c r="A911" s="45"/>
      <c r="B911" s="54"/>
      <c r="C911" s="47">
        <f>INT($C$29)+2</f>
        <v>3</v>
      </c>
      <c r="D911" s="73"/>
      <c r="E911" s="70"/>
      <c r="F911" s="70" t="s">
        <v>1650</v>
      </c>
      <c r="G911" s="73"/>
      <c r="H911" s="76" t="s">
        <v>1651</v>
      </c>
      <c r="I911" s="96" t="s">
        <v>678</v>
      </c>
      <c r="J911" s="96"/>
      <c r="K911" s="97">
        <v>0.746</v>
      </c>
      <c r="L911" s="97">
        <v>0.93400000000000005</v>
      </c>
      <c r="M911" s="76"/>
      <c r="N911" s="76"/>
      <c r="O911" s="76"/>
      <c r="P911" s="76"/>
      <c r="Q911" s="76"/>
      <c r="R911" s="76" t="s">
        <v>685</v>
      </c>
      <c r="S911" s="76" t="s">
        <v>808</v>
      </c>
      <c r="T911" s="76"/>
      <c r="U911" s="260">
        <f t="shared" si="156"/>
        <v>0.746</v>
      </c>
      <c r="V911" s="260">
        <f t="shared" si="156"/>
        <v>0.746</v>
      </c>
      <c r="W911" s="260">
        <f t="shared" si="156"/>
        <v>0.746</v>
      </c>
      <c r="X911" s="260">
        <f t="shared" si="156"/>
        <v>0.93400000000000005</v>
      </c>
      <c r="Y911" s="260">
        <f t="shared" si="156"/>
        <v>0.93400000000000005</v>
      </c>
      <c r="Z911" s="260">
        <f t="shared" si="156"/>
        <v>0.93400000000000005</v>
      </c>
      <c r="AA911" s="260">
        <f t="shared" si="156"/>
        <v>0.93400000000000005</v>
      </c>
      <c r="AB911" s="260">
        <f t="shared" si="156"/>
        <v>0.93400000000000005</v>
      </c>
      <c r="AC911" s="76"/>
      <c r="AD911" s="76"/>
      <c r="AE911" s="76"/>
      <c r="AF911" s="97">
        <v>1</v>
      </c>
      <c r="AG911" s="97">
        <v>1</v>
      </c>
      <c r="AH911" s="73"/>
      <c r="AI911" s="57"/>
      <c r="AJ911" s="45"/>
      <c r="AK911" s="45"/>
      <c r="AL911" s="45"/>
    </row>
    <row r="912" spans="1:38" hidden="1" outlineLevel="3" x14ac:dyDescent="0.35">
      <c r="A912" s="45"/>
      <c r="B912" s="54"/>
      <c r="C912" s="47">
        <f t="shared" ref="C912:C975" si="157">INT($C$29)+3</f>
        <v>4</v>
      </c>
      <c r="D912" s="73"/>
      <c r="E912" s="70"/>
      <c r="F912" s="70" t="s">
        <v>1652</v>
      </c>
      <c r="G912" s="73"/>
      <c r="H912" s="76" t="s">
        <v>1504</v>
      </c>
      <c r="I912" s="96" t="s">
        <v>514</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157"/>
        <v>4</v>
      </c>
      <c r="D913" s="73"/>
      <c r="E913" s="70"/>
      <c r="F913" s="70" t="s">
        <v>1653</v>
      </c>
      <c r="G913" s="73"/>
      <c r="H913" s="76" t="s">
        <v>1506</v>
      </c>
      <c r="I913" s="96" t="s">
        <v>514</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157"/>
        <v>4</v>
      </c>
      <c r="D914" s="73"/>
      <c r="E914" s="70"/>
      <c r="F914" s="70" t="s">
        <v>1654</v>
      </c>
      <c r="G914" s="73"/>
      <c r="H914" s="76" t="s">
        <v>1508</v>
      </c>
      <c r="I914" s="96" t="s">
        <v>514</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157"/>
        <v>4</v>
      </c>
      <c r="D915" s="73"/>
      <c r="E915" s="70"/>
      <c r="F915" s="70" t="s">
        <v>1655</v>
      </c>
      <c r="G915" s="73"/>
      <c r="H915" s="76" t="s">
        <v>1510</v>
      </c>
      <c r="I915" s="96" t="s">
        <v>514</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157"/>
        <v>4</v>
      </c>
      <c r="D916" s="73"/>
      <c r="E916" s="70"/>
      <c r="F916" s="70" t="s">
        <v>1656</v>
      </c>
      <c r="G916" s="73"/>
      <c r="H916" s="76" t="s">
        <v>1504</v>
      </c>
      <c r="I916" s="96" t="s">
        <v>514</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157"/>
        <v>4</v>
      </c>
      <c r="D917" s="73"/>
      <c r="E917" s="70"/>
      <c r="F917" s="70" t="s">
        <v>1657</v>
      </c>
      <c r="G917" s="73"/>
      <c r="H917" s="76" t="s">
        <v>1506</v>
      </c>
      <c r="I917" s="96" t="s">
        <v>514</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157"/>
        <v>4</v>
      </c>
      <c r="D918" s="73"/>
      <c r="E918" s="70"/>
      <c r="F918" s="70" t="s">
        <v>1658</v>
      </c>
      <c r="G918" s="73"/>
      <c r="H918" s="76" t="s">
        <v>1508</v>
      </c>
      <c r="I918" s="96" t="s">
        <v>514</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157"/>
        <v>4</v>
      </c>
      <c r="D919" s="73"/>
      <c r="E919" s="70"/>
      <c r="F919" s="70" t="s">
        <v>1659</v>
      </c>
      <c r="G919" s="73"/>
      <c r="H919" s="76" t="s">
        <v>1510</v>
      </c>
      <c r="I919" s="96" t="s">
        <v>514</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157"/>
        <v>4</v>
      </c>
      <c r="D920" s="73"/>
      <c r="E920" s="70"/>
      <c r="F920" s="70" t="s">
        <v>1660</v>
      </c>
      <c r="G920" s="73"/>
      <c r="H920" s="76" t="s">
        <v>1504</v>
      </c>
      <c r="I920" s="96" t="s">
        <v>514</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157"/>
        <v>4</v>
      </c>
      <c r="D921" s="73"/>
      <c r="E921" s="70"/>
      <c r="F921" s="70" t="s">
        <v>1661</v>
      </c>
      <c r="G921" s="73"/>
      <c r="H921" s="76" t="s">
        <v>1506</v>
      </c>
      <c r="I921" s="96" t="s">
        <v>514</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157"/>
        <v>4</v>
      </c>
      <c r="D922" s="73"/>
      <c r="E922" s="70"/>
      <c r="F922" s="70" t="s">
        <v>1662</v>
      </c>
      <c r="G922" s="73"/>
      <c r="H922" s="76" t="s">
        <v>1508</v>
      </c>
      <c r="I922" s="96" t="s">
        <v>514</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157"/>
        <v>4</v>
      </c>
      <c r="D923" s="73"/>
      <c r="E923" s="70"/>
      <c r="F923" s="70" t="s">
        <v>1663</v>
      </c>
      <c r="G923" s="73"/>
      <c r="H923" s="76" t="s">
        <v>1510</v>
      </c>
      <c r="I923" s="96" t="s">
        <v>514</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157"/>
        <v>4</v>
      </c>
      <c r="D924" s="73"/>
      <c r="E924" s="70"/>
      <c r="F924" s="70" t="s">
        <v>1664</v>
      </c>
      <c r="G924" s="73"/>
      <c r="H924" s="76" t="s">
        <v>1504</v>
      </c>
      <c r="I924" s="96" t="s">
        <v>514</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57"/>
        <v>4</v>
      </c>
      <c r="D925" s="73"/>
      <c r="E925" s="70"/>
      <c r="F925" s="70" t="s">
        <v>1665</v>
      </c>
      <c r="G925" s="73"/>
      <c r="H925" s="76" t="s">
        <v>1506</v>
      </c>
      <c r="I925" s="96" t="s">
        <v>514</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57"/>
        <v>4</v>
      </c>
      <c r="D926" s="73"/>
      <c r="E926" s="70"/>
      <c r="F926" s="70" t="s">
        <v>1666</v>
      </c>
      <c r="G926" s="73"/>
      <c r="H926" s="76" t="s">
        <v>1508</v>
      </c>
      <c r="I926" s="96" t="s">
        <v>514</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57"/>
        <v>4</v>
      </c>
      <c r="D927" s="73"/>
      <c r="E927" s="70"/>
      <c r="F927" s="70" t="s">
        <v>1667</v>
      </c>
      <c r="G927" s="73"/>
      <c r="H927" s="76" t="s">
        <v>1510</v>
      </c>
      <c r="I927" s="96" t="s">
        <v>514</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57"/>
        <v>4</v>
      </c>
      <c r="D928" s="73"/>
      <c r="E928" s="70"/>
      <c r="F928" s="70" t="s">
        <v>1668</v>
      </c>
      <c r="G928" s="73"/>
      <c r="H928" s="76" t="s">
        <v>1504</v>
      </c>
      <c r="I928" s="96" t="s">
        <v>514</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57"/>
        <v>4</v>
      </c>
      <c r="D929" s="73"/>
      <c r="E929" s="70"/>
      <c r="F929" s="70" t="s">
        <v>1669</v>
      </c>
      <c r="G929" s="73"/>
      <c r="H929" s="76" t="s">
        <v>1506</v>
      </c>
      <c r="I929" s="96" t="s">
        <v>514</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57"/>
        <v>4</v>
      </c>
      <c r="D930" s="73"/>
      <c r="E930" s="70"/>
      <c r="F930" s="70" t="s">
        <v>1670</v>
      </c>
      <c r="G930" s="73"/>
      <c r="H930" s="76" t="s">
        <v>1508</v>
      </c>
      <c r="I930" s="96" t="s">
        <v>514</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57"/>
        <v>4</v>
      </c>
      <c r="D931" s="73"/>
      <c r="E931" s="70"/>
      <c r="F931" s="70" t="s">
        <v>1671</v>
      </c>
      <c r="G931" s="73"/>
      <c r="H931" s="76" t="s">
        <v>1510</v>
      </c>
      <c r="I931" s="96" t="s">
        <v>514</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57"/>
        <v>4</v>
      </c>
      <c r="D932" s="73"/>
      <c r="E932" s="70"/>
      <c r="F932" s="70" t="s">
        <v>1672</v>
      </c>
      <c r="G932" s="73"/>
      <c r="H932" s="76" t="s">
        <v>1504</v>
      </c>
      <c r="I932" s="96" t="s">
        <v>514</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57"/>
        <v>4</v>
      </c>
      <c r="D933" s="73"/>
      <c r="E933" s="70"/>
      <c r="F933" s="70" t="s">
        <v>1673</v>
      </c>
      <c r="G933" s="73"/>
      <c r="H933" s="76" t="s">
        <v>1506</v>
      </c>
      <c r="I933" s="96" t="s">
        <v>514</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57"/>
        <v>4</v>
      </c>
      <c r="D934" s="73"/>
      <c r="E934" s="70"/>
      <c r="F934" s="70" t="s">
        <v>1674</v>
      </c>
      <c r="G934" s="73"/>
      <c r="H934" s="76" t="s">
        <v>1508</v>
      </c>
      <c r="I934" s="96" t="s">
        <v>514</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57"/>
        <v>4</v>
      </c>
      <c r="D935" s="73"/>
      <c r="E935" s="70"/>
      <c r="F935" s="70" t="s">
        <v>1675</v>
      </c>
      <c r="G935" s="73"/>
      <c r="H935" s="76" t="s">
        <v>1510</v>
      </c>
      <c r="I935" s="96" t="s">
        <v>514</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57"/>
        <v>4</v>
      </c>
      <c r="D936" s="73"/>
      <c r="E936" s="70"/>
      <c r="F936" s="70" t="s">
        <v>1676</v>
      </c>
      <c r="G936" s="73"/>
      <c r="H936" s="76" t="s">
        <v>1504</v>
      </c>
      <c r="I936" s="96" t="s">
        <v>514</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57"/>
        <v>4</v>
      </c>
      <c r="D937" s="73"/>
      <c r="E937" s="70"/>
      <c r="F937" s="70" t="s">
        <v>1677</v>
      </c>
      <c r="G937" s="73"/>
      <c r="H937" s="76" t="s">
        <v>1506</v>
      </c>
      <c r="I937" s="96" t="s">
        <v>514</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57"/>
        <v>4</v>
      </c>
      <c r="D938" s="73"/>
      <c r="E938" s="70"/>
      <c r="F938" s="70" t="s">
        <v>1678</v>
      </c>
      <c r="G938" s="73"/>
      <c r="H938" s="76" t="s">
        <v>1508</v>
      </c>
      <c r="I938" s="96" t="s">
        <v>514</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57"/>
        <v>4</v>
      </c>
      <c r="D939" s="73"/>
      <c r="E939" s="70"/>
      <c r="F939" s="70" t="s">
        <v>1679</v>
      </c>
      <c r="G939" s="73"/>
      <c r="H939" s="76" t="s">
        <v>1510</v>
      </c>
      <c r="I939" s="96" t="s">
        <v>514</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57"/>
        <v>4</v>
      </c>
      <c r="D940" s="73"/>
      <c r="E940" s="70"/>
      <c r="F940" s="70" t="s">
        <v>1680</v>
      </c>
      <c r="G940" s="73"/>
      <c r="H940" s="76" t="s">
        <v>1504</v>
      </c>
      <c r="I940" s="96" t="s">
        <v>514</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57"/>
        <v>4</v>
      </c>
      <c r="D941" s="73"/>
      <c r="E941" s="70"/>
      <c r="F941" s="70" t="s">
        <v>1681</v>
      </c>
      <c r="G941" s="73"/>
      <c r="H941" s="76" t="s">
        <v>1506</v>
      </c>
      <c r="I941" s="96" t="s">
        <v>514</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57"/>
        <v>4</v>
      </c>
      <c r="D942" s="73"/>
      <c r="E942" s="70"/>
      <c r="F942" s="70" t="s">
        <v>1682</v>
      </c>
      <c r="G942" s="73"/>
      <c r="H942" s="76" t="s">
        <v>1508</v>
      </c>
      <c r="I942" s="96" t="s">
        <v>514</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57"/>
        <v>4</v>
      </c>
      <c r="D943" s="73"/>
      <c r="E943" s="70"/>
      <c r="F943" s="70" t="s">
        <v>1683</v>
      </c>
      <c r="G943" s="73"/>
      <c r="H943" s="76" t="s">
        <v>1510</v>
      </c>
      <c r="I943" s="96" t="s">
        <v>514</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57"/>
        <v>4</v>
      </c>
      <c r="D944" s="73"/>
      <c r="E944" s="70"/>
      <c r="F944" s="70" t="s">
        <v>1684</v>
      </c>
      <c r="G944" s="73"/>
      <c r="H944" s="76" t="s">
        <v>1504</v>
      </c>
      <c r="I944" s="96" t="s">
        <v>514</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57"/>
        <v>4</v>
      </c>
      <c r="D945" s="73"/>
      <c r="E945" s="70"/>
      <c r="F945" s="70" t="s">
        <v>1685</v>
      </c>
      <c r="G945" s="73"/>
      <c r="H945" s="76" t="s">
        <v>1506</v>
      </c>
      <c r="I945" s="96" t="s">
        <v>514</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57"/>
        <v>4</v>
      </c>
      <c r="D946" s="73"/>
      <c r="E946" s="70"/>
      <c r="F946" s="70" t="s">
        <v>1686</v>
      </c>
      <c r="G946" s="73"/>
      <c r="H946" s="76" t="s">
        <v>1508</v>
      </c>
      <c r="I946" s="96" t="s">
        <v>514</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57"/>
        <v>4</v>
      </c>
      <c r="D947" s="73"/>
      <c r="E947" s="70"/>
      <c r="F947" s="70" t="s">
        <v>1687</v>
      </c>
      <c r="G947" s="73"/>
      <c r="H947" s="76" t="s">
        <v>1510</v>
      </c>
      <c r="I947" s="96" t="s">
        <v>514</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157"/>
        <v>4</v>
      </c>
      <c r="D948" s="73"/>
      <c r="E948" s="70"/>
      <c r="F948" s="70" t="s">
        <v>1688</v>
      </c>
      <c r="G948" s="73"/>
      <c r="H948" s="76" t="s">
        <v>1504</v>
      </c>
      <c r="I948" s="96" t="s">
        <v>514</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157"/>
        <v>4</v>
      </c>
      <c r="D949" s="73"/>
      <c r="E949" s="70"/>
      <c r="F949" s="70" t="s">
        <v>1689</v>
      </c>
      <c r="G949" s="73"/>
      <c r="H949" s="76" t="s">
        <v>1506</v>
      </c>
      <c r="I949" s="96" t="s">
        <v>514</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157"/>
        <v>4</v>
      </c>
      <c r="D950" s="73"/>
      <c r="E950" s="70"/>
      <c r="F950" s="70" t="s">
        <v>1690</v>
      </c>
      <c r="G950" s="73"/>
      <c r="H950" s="76" t="s">
        <v>1508</v>
      </c>
      <c r="I950" s="96" t="s">
        <v>514</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157"/>
        <v>4</v>
      </c>
      <c r="D951" s="73"/>
      <c r="E951" s="70"/>
      <c r="F951" s="70" t="s">
        <v>1691</v>
      </c>
      <c r="G951" s="73"/>
      <c r="H951" s="76" t="s">
        <v>1510</v>
      </c>
      <c r="I951" s="96" t="s">
        <v>514</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157"/>
        <v>4</v>
      </c>
      <c r="D952" s="73"/>
      <c r="E952" s="70"/>
      <c r="F952" s="70" t="s">
        <v>1692</v>
      </c>
      <c r="G952" s="73"/>
      <c r="H952" s="76" t="s">
        <v>1504</v>
      </c>
      <c r="I952" s="96" t="s">
        <v>514</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157"/>
        <v>4</v>
      </c>
      <c r="D953" s="73"/>
      <c r="E953" s="70"/>
      <c r="F953" s="70" t="s">
        <v>1693</v>
      </c>
      <c r="G953" s="73"/>
      <c r="H953" s="76" t="s">
        <v>1506</v>
      </c>
      <c r="I953" s="96" t="s">
        <v>514</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157"/>
        <v>4</v>
      </c>
      <c r="D954" s="73"/>
      <c r="E954" s="70"/>
      <c r="F954" s="70" t="s">
        <v>1694</v>
      </c>
      <c r="G954" s="73"/>
      <c r="H954" s="76" t="s">
        <v>1508</v>
      </c>
      <c r="I954" s="96" t="s">
        <v>514</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157"/>
        <v>4</v>
      </c>
      <c r="D955" s="73"/>
      <c r="E955" s="70"/>
      <c r="F955" s="70" t="s">
        <v>1695</v>
      </c>
      <c r="G955" s="73"/>
      <c r="H955" s="76" t="s">
        <v>1510</v>
      </c>
      <c r="I955" s="96" t="s">
        <v>514</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157"/>
        <v>4</v>
      </c>
      <c r="D956" s="73"/>
      <c r="E956" s="70"/>
      <c r="F956" s="70" t="s">
        <v>1696</v>
      </c>
      <c r="G956" s="73"/>
      <c r="H956" s="76" t="s">
        <v>1592</v>
      </c>
      <c r="I956" s="96" t="s">
        <v>514</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57"/>
        <v>4</v>
      </c>
      <c r="D957" s="73"/>
      <c r="E957" s="70"/>
      <c r="F957" s="70" t="s">
        <v>1697</v>
      </c>
      <c r="G957" s="73"/>
      <c r="H957" s="76" t="s">
        <v>1506</v>
      </c>
      <c r="I957" s="96" t="s">
        <v>514</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57"/>
        <v>4</v>
      </c>
      <c r="D958" s="73"/>
      <c r="E958" s="70"/>
      <c r="F958" s="70" t="s">
        <v>1698</v>
      </c>
      <c r="G958" s="73"/>
      <c r="H958" s="76" t="s">
        <v>1508</v>
      </c>
      <c r="I958" s="96" t="s">
        <v>514</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57"/>
        <v>4</v>
      </c>
      <c r="D959" s="73"/>
      <c r="E959" s="70"/>
      <c r="F959" s="70" t="s">
        <v>1699</v>
      </c>
      <c r="G959" s="73"/>
      <c r="H959" s="76" t="s">
        <v>1510</v>
      </c>
      <c r="I959" s="96" t="s">
        <v>514</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57"/>
        <v>4</v>
      </c>
      <c r="D960" s="73"/>
      <c r="E960" s="70"/>
      <c r="F960" s="70" t="s">
        <v>1700</v>
      </c>
      <c r="G960" s="73"/>
      <c r="H960" s="76" t="s">
        <v>1597</v>
      </c>
      <c r="I960" s="96" t="s">
        <v>514</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57"/>
        <v>4</v>
      </c>
      <c r="D961" s="73"/>
      <c r="E961" s="70"/>
      <c r="F961" s="70" t="s">
        <v>1701</v>
      </c>
      <c r="G961" s="73"/>
      <c r="H961" s="76" t="s">
        <v>1506</v>
      </c>
      <c r="I961" s="96" t="s">
        <v>514</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57"/>
        <v>4</v>
      </c>
      <c r="D962" s="73"/>
      <c r="E962" s="70"/>
      <c r="F962" s="70" t="s">
        <v>1702</v>
      </c>
      <c r="G962" s="73"/>
      <c r="H962" s="76" t="s">
        <v>1508</v>
      </c>
      <c r="I962" s="96" t="s">
        <v>514</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157"/>
        <v>4</v>
      </c>
      <c r="D963" s="73"/>
      <c r="E963" s="70"/>
      <c r="F963" s="70" t="s">
        <v>1703</v>
      </c>
      <c r="G963" s="73"/>
      <c r="H963" s="76" t="s">
        <v>1510</v>
      </c>
      <c r="I963" s="96" t="s">
        <v>514</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57"/>
        <v>4</v>
      </c>
      <c r="D964" s="73"/>
      <c r="E964" s="70"/>
      <c r="F964" s="70" t="s">
        <v>1704</v>
      </c>
      <c r="G964" s="73"/>
      <c r="H964" s="76" t="s">
        <v>1504</v>
      </c>
      <c r="I964" s="96" t="s">
        <v>514</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57"/>
        <v>4</v>
      </c>
      <c r="D965" s="73"/>
      <c r="E965" s="70"/>
      <c r="F965" s="70" t="s">
        <v>1705</v>
      </c>
      <c r="G965" s="73"/>
      <c r="H965" s="76" t="s">
        <v>1506</v>
      </c>
      <c r="I965" s="96" t="s">
        <v>514</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57"/>
        <v>4</v>
      </c>
      <c r="D966" s="73"/>
      <c r="E966" s="70"/>
      <c r="F966" s="70" t="s">
        <v>1706</v>
      </c>
      <c r="G966" s="73"/>
      <c r="H966" s="76" t="s">
        <v>1508</v>
      </c>
      <c r="I966" s="96" t="s">
        <v>514</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57"/>
        <v>4</v>
      </c>
      <c r="D967" s="73"/>
      <c r="E967" s="70"/>
      <c r="F967" s="70" t="s">
        <v>1707</v>
      </c>
      <c r="G967" s="73"/>
      <c r="H967" s="76" t="s">
        <v>1510</v>
      </c>
      <c r="I967" s="96" t="s">
        <v>514</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57"/>
        <v>4</v>
      </c>
      <c r="D968" s="73"/>
      <c r="E968" s="70"/>
      <c r="F968" s="70" t="s">
        <v>1708</v>
      </c>
      <c r="G968" s="73"/>
      <c r="H968" s="76" t="s">
        <v>1504</v>
      </c>
      <c r="I968" s="96" t="s">
        <v>514</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57"/>
        <v>4</v>
      </c>
      <c r="D969" s="73"/>
      <c r="E969" s="70"/>
      <c r="F969" s="70" t="s">
        <v>1709</v>
      </c>
      <c r="G969" s="73"/>
      <c r="H969" s="76" t="s">
        <v>1506</v>
      </c>
      <c r="I969" s="96" t="s">
        <v>514</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57"/>
        <v>4</v>
      </c>
      <c r="D970" s="73"/>
      <c r="E970" s="70"/>
      <c r="F970" s="70" t="s">
        <v>1710</v>
      </c>
      <c r="G970" s="73"/>
      <c r="H970" s="76" t="s">
        <v>1508</v>
      </c>
      <c r="I970" s="96" t="s">
        <v>514</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57"/>
        <v>4</v>
      </c>
      <c r="D971" s="73"/>
      <c r="E971" s="70"/>
      <c r="F971" s="70" t="s">
        <v>1711</v>
      </c>
      <c r="G971" s="73"/>
      <c r="H971" s="76" t="s">
        <v>1510</v>
      </c>
      <c r="I971" s="96" t="s">
        <v>514</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157"/>
        <v>4</v>
      </c>
      <c r="D972" s="73"/>
      <c r="E972" s="70"/>
      <c r="F972" s="70" t="s">
        <v>1712</v>
      </c>
      <c r="G972" s="73"/>
      <c r="H972" s="76" t="s">
        <v>1504</v>
      </c>
      <c r="I972" s="96" t="s">
        <v>514</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57"/>
        <v>4</v>
      </c>
      <c r="D973" s="73"/>
      <c r="E973" s="70"/>
      <c r="F973" s="70" t="s">
        <v>1713</v>
      </c>
      <c r="G973" s="73"/>
      <c r="H973" s="76" t="s">
        <v>1506</v>
      </c>
      <c r="I973" s="96" t="s">
        <v>514</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57"/>
        <v>4</v>
      </c>
      <c r="D974" s="73"/>
      <c r="E974" s="70"/>
      <c r="F974" s="70" t="s">
        <v>1714</v>
      </c>
      <c r="G974" s="73"/>
      <c r="H974" s="76" t="s">
        <v>1508</v>
      </c>
      <c r="I974" s="96" t="s">
        <v>514</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57"/>
        <v>4</v>
      </c>
      <c r="D975" s="73"/>
      <c r="E975" s="70"/>
      <c r="F975" s="70" t="s">
        <v>1715</v>
      </c>
      <c r="G975" s="73"/>
      <c r="H975" s="76" t="s">
        <v>1510</v>
      </c>
      <c r="I975" s="96" t="s">
        <v>514</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ref="C976:C983" si="158">INT($C$29)+3</f>
        <v>4</v>
      </c>
      <c r="D976" s="73"/>
      <c r="E976" s="70"/>
      <c r="F976" s="70" t="s">
        <v>1716</v>
      </c>
      <c r="G976" s="73"/>
      <c r="H976" s="76" t="s">
        <v>1626</v>
      </c>
      <c r="I976" s="96" t="s">
        <v>514</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158"/>
        <v>4</v>
      </c>
      <c r="D977" s="73"/>
      <c r="E977" s="70"/>
      <c r="F977" s="70" t="s">
        <v>1717</v>
      </c>
      <c r="G977" s="73"/>
      <c r="H977" s="76" t="s">
        <v>1506</v>
      </c>
      <c r="I977" s="96" t="s">
        <v>514</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58"/>
        <v>4</v>
      </c>
      <c r="D978" s="73"/>
      <c r="E978" s="70"/>
      <c r="F978" s="70" t="s">
        <v>1718</v>
      </c>
      <c r="G978" s="73"/>
      <c r="H978" s="76" t="s">
        <v>1508</v>
      </c>
      <c r="I978" s="96" t="s">
        <v>514</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58"/>
        <v>4</v>
      </c>
      <c r="D979" s="73"/>
      <c r="E979" s="70"/>
      <c r="F979" s="70" t="s">
        <v>1719</v>
      </c>
      <c r="G979" s="73"/>
      <c r="H979" s="76" t="s">
        <v>1510</v>
      </c>
      <c r="I979" s="96" t="s">
        <v>514</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158"/>
        <v>4</v>
      </c>
      <c r="D980" s="73"/>
      <c r="E980" s="70"/>
      <c r="F980" s="70" t="s">
        <v>1720</v>
      </c>
      <c r="G980" s="73"/>
      <c r="H980" s="76" t="s">
        <v>1631</v>
      </c>
      <c r="I980" s="96" t="s">
        <v>514</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158"/>
        <v>4</v>
      </c>
      <c r="D981" s="73"/>
      <c r="E981" s="70"/>
      <c r="F981" s="70" t="s">
        <v>1721</v>
      </c>
      <c r="G981" s="73"/>
      <c r="H981" s="76" t="s">
        <v>1633</v>
      </c>
      <c r="I981" s="96" t="s">
        <v>514</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158"/>
        <v>4</v>
      </c>
      <c r="D982" s="73"/>
      <c r="E982" s="70"/>
      <c r="F982" s="70" t="s">
        <v>1722</v>
      </c>
      <c r="G982" s="73"/>
      <c r="H982" s="76" t="s">
        <v>1635</v>
      </c>
      <c r="I982" s="96" t="s">
        <v>514</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158"/>
        <v>4</v>
      </c>
      <c r="D983" s="73"/>
      <c r="E983" s="70"/>
      <c r="F983" s="70" t="s">
        <v>1723</v>
      </c>
      <c r="G983" s="73"/>
      <c r="H983" s="76" t="s">
        <v>1637</v>
      </c>
      <c r="I983" s="96" t="s">
        <v>514</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2" x14ac:dyDescent="0.35">
      <c r="A984" s="45"/>
      <c r="B984" s="54"/>
      <c r="C984" s="47">
        <f>INT($C$29)+2</f>
        <v>3</v>
      </c>
      <c r="D984" s="73"/>
      <c r="E984" s="70" t="s">
        <v>1724</v>
      </c>
      <c r="F984" s="70" t="s">
        <v>1725</v>
      </c>
      <c r="G984" s="73"/>
      <c r="H984" s="76" t="s">
        <v>1726</v>
      </c>
      <c r="I984" s="96" t="s">
        <v>514</v>
      </c>
      <c r="J984" s="96"/>
      <c r="K984" s="76"/>
      <c r="L984" s="76"/>
      <c r="M984" s="76"/>
      <c r="N984" s="76"/>
      <c r="O984" s="76"/>
      <c r="P984" s="76"/>
      <c r="Q984" s="76"/>
      <c r="R984" s="76"/>
      <c r="S984" s="76"/>
      <c r="T984" s="76"/>
      <c r="U984" s="76">
        <v>0</v>
      </c>
      <c r="V984" s="76">
        <v>0</v>
      </c>
      <c r="W984" s="76">
        <v>0</v>
      </c>
      <c r="X984" s="76">
        <v>0</v>
      </c>
      <c r="Y984" s="76">
        <v>0</v>
      </c>
      <c r="Z984" s="76">
        <v>0</v>
      </c>
      <c r="AA984" s="76">
        <v>0</v>
      </c>
      <c r="AB984" s="76">
        <v>0</v>
      </c>
      <c r="AC984" s="76"/>
      <c r="AD984" s="271" t="s">
        <v>1727</v>
      </c>
      <c r="AE984" s="76"/>
      <c r="AF984" s="76">
        <v>1</v>
      </c>
      <c r="AG984" s="76">
        <v>1</v>
      </c>
      <c r="AH984" s="73"/>
      <c r="AI984" s="57"/>
      <c r="AJ984" s="45"/>
      <c r="AK984" s="45"/>
      <c r="AL984" s="45"/>
    </row>
    <row r="985" spans="1:38" hidden="1" outlineLevel="2" x14ac:dyDescent="0.35">
      <c r="A985" s="45"/>
      <c r="B985" s="54"/>
      <c r="C985" s="47">
        <f>INT($C$29)+2</f>
        <v>3</v>
      </c>
      <c r="D985" s="73"/>
      <c r="E985" s="70"/>
      <c r="F985" s="70" t="s">
        <v>1728</v>
      </c>
      <c r="G985" s="73"/>
      <c r="H985" s="76" t="s">
        <v>1729</v>
      </c>
      <c r="I985" s="96" t="s">
        <v>514</v>
      </c>
      <c r="J985" s="96"/>
      <c r="K985" s="97">
        <v>0.52400000000000002</v>
      </c>
      <c r="L985" s="97">
        <v>0.65500000000000003</v>
      </c>
      <c r="M985" s="97">
        <v>0.41599999999999998</v>
      </c>
      <c r="N985" s="97">
        <v>0.41599999999999998</v>
      </c>
      <c r="O985" s="97">
        <v>0.41599999999999998</v>
      </c>
      <c r="P985" s="97">
        <v>0.57699999999999996</v>
      </c>
      <c r="Q985" s="76"/>
      <c r="R985" s="76" t="s">
        <v>562</v>
      </c>
      <c r="S985" s="76" t="s">
        <v>562</v>
      </c>
      <c r="T985" s="76"/>
      <c r="U985" s="260">
        <f t="shared" ref="U985:AB987" si="159">INDEX($K985:$Q985,1,U$43)</f>
        <v>0.52400000000000002</v>
      </c>
      <c r="V985" s="260">
        <f t="shared" si="159"/>
        <v>0.52400000000000002</v>
      </c>
      <c r="W985" s="260">
        <f t="shared" si="159"/>
        <v>0.52400000000000002</v>
      </c>
      <c r="X985" s="260">
        <f t="shared" si="159"/>
        <v>0.65500000000000003</v>
      </c>
      <c r="Y985" s="260">
        <f t="shared" si="159"/>
        <v>0.65500000000000003</v>
      </c>
      <c r="Z985" s="260">
        <f t="shared" si="159"/>
        <v>0.65500000000000003</v>
      </c>
      <c r="AA985" s="260">
        <f t="shared" si="159"/>
        <v>0.65500000000000003</v>
      </c>
      <c r="AB985" s="260">
        <f t="shared" si="159"/>
        <v>0.65500000000000003</v>
      </c>
      <c r="AC985" s="76"/>
      <c r="AD985" s="76"/>
      <c r="AE985" s="76"/>
      <c r="AF985" s="97">
        <v>1</v>
      </c>
      <c r="AG985" s="97">
        <v>1</v>
      </c>
      <c r="AH985" s="73"/>
      <c r="AI985" s="57"/>
      <c r="AJ985" s="45"/>
      <c r="AK985" s="45"/>
      <c r="AL985" s="45"/>
    </row>
    <row r="986" spans="1:38" hidden="1" outlineLevel="2" x14ac:dyDescent="0.35">
      <c r="A986" s="45"/>
      <c r="B986" s="54"/>
      <c r="C986" s="47">
        <f>INT($C$29)+2</f>
        <v>3</v>
      </c>
      <c r="D986" s="73"/>
      <c r="E986" s="70"/>
      <c r="F986" s="70" t="s">
        <v>1730</v>
      </c>
      <c r="G986" s="73"/>
      <c r="H986" s="76" t="s">
        <v>1731</v>
      </c>
      <c r="I986" s="96" t="s">
        <v>514</v>
      </c>
      <c r="J986" s="96"/>
      <c r="K986" s="97">
        <v>0.70699999999999996</v>
      </c>
      <c r="L986" s="97">
        <v>0.88400000000000001</v>
      </c>
      <c r="M986" s="76"/>
      <c r="N986" s="76"/>
      <c r="O986" s="76"/>
      <c r="P986" s="76"/>
      <c r="Q986" s="76"/>
      <c r="R986" s="76" t="s">
        <v>562</v>
      </c>
      <c r="S986" s="76"/>
      <c r="T986" s="76"/>
      <c r="U986" s="260">
        <f t="shared" si="159"/>
        <v>0.70699999999999996</v>
      </c>
      <c r="V986" s="260">
        <f t="shared" si="159"/>
        <v>0.70699999999999996</v>
      </c>
      <c r="W986" s="260">
        <f t="shared" si="159"/>
        <v>0.70699999999999996</v>
      </c>
      <c r="X986" s="260">
        <f t="shared" si="159"/>
        <v>0.88400000000000001</v>
      </c>
      <c r="Y986" s="260">
        <f t="shared" si="159"/>
        <v>0.88400000000000001</v>
      </c>
      <c r="Z986" s="260">
        <f t="shared" si="159"/>
        <v>0.88400000000000001</v>
      </c>
      <c r="AA986" s="260">
        <f t="shared" si="159"/>
        <v>0.88400000000000001</v>
      </c>
      <c r="AB986" s="260">
        <f t="shared" si="159"/>
        <v>0.88400000000000001</v>
      </c>
      <c r="AC986" s="76"/>
      <c r="AD986" s="76"/>
      <c r="AE986" s="76"/>
      <c r="AF986" s="97">
        <v>1</v>
      </c>
      <c r="AG986" s="97">
        <v>1</v>
      </c>
      <c r="AH986" s="73"/>
      <c r="AI986" s="57"/>
      <c r="AJ986" s="45"/>
      <c r="AK986" s="45"/>
      <c r="AL986" s="45"/>
    </row>
    <row r="987" spans="1:38" hidden="1" outlineLevel="2" x14ac:dyDescent="0.35">
      <c r="A987" s="45"/>
      <c r="B987" s="54"/>
      <c r="C987" s="47">
        <f>INT($C$29)+2</f>
        <v>3</v>
      </c>
      <c r="D987" s="73"/>
      <c r="E987" s="70"/>
      <c r="F987" s="70" t="s">
        <v>1732</v>
      </c>
      <c r="G987" s="73"/>
      <c r="H987" s="76" t="s">
        <v>1733</v>
      </c>
      <c r="I987" s="96" t="s">
        <v>514</v>
      </c>
      <c r="J987" s="96"/>
      <c r="K987" s="97">
        <v>0.89100000000000001</v>
      </c>
      <c r="L987" s="97">
        <v>1.1140000000000001</v>
      </c>
      <c r="M987" s="76"/>
      <c r="N987" s="76"/>
      <c r="O987" s="76"/>
      <c r="P987" s="76"/>
      <c r="Q987" s="76"/>
      <c r="R987" s="76" t="s">
        <v>562</v>
      </c>
      <c r="S987" s="76"/>
      <c r="T987" s="76"/>
      <c r="U987" s="260">
        <f t="shared" si="159"/>
        <v>0.89100000000000001</v>
      </c>
      <c r="V987" s="260">
        <f t="shared" si="159"/>
        <v>0.89100000000000001</v>
      </c>
      <c r="W987" s="260">
        <f t="shared" si="159"/>
        <v>0.89100000000000001</v>
      </c>
      <c r="X987" s="260">
        <f t="shared" si="159"/>
        <v>1.1140000000000001</v>
      </c>
      <c r="Y987" s="260">
        <f t="shared" si="159"/>
        <v>1.1140000000000001</v>
      </c>
      <c r="Z987" s="260">
        <f t="shared" si="159"/>
        <v>1.1140000000000001</v>
      </c>
      <c r="AA987" s="260">
        <f t="shared" si="159"/>
        <v>1.1140000000000001</v>
      </c>
      <c r="AB987" s="260">
        <f t="shared" si="159"/>
        <v>1.1140000000000001</v>
      </c>
      <c r="AC987" s="76"/>
      <c r="AD987" s="76"/>
      <c r="AE987" s="76"/>
      <c r="AF987" s="97">
        <v>1</v>
      </c>
      <c r="AG987" s="97">
        <v>1</v>
      </c>
      <c r="AH987" s="73"/>
      <c r="AI987" s="57"/>
      <c r="AJ987" s="45"/>
      <c r="AK987" s="45"/>
      <c r="AL987" s="45"/>
    </row>
    <row r="988" spans="1:38" hidden="1" outlineLevel="3" x14ac:dyDescent="0.35">
      <c r="A988" s="45"/>
      <c r="B988" s="54"/>
      <c r="C988" s="47">
        <f t="shared" ref="C988:C1011" si="160">INT($C$29)+3</f>
        <v>4</v>
      </c>
      <c r="D988" s="73"/>
      <c r="E988" s="70"/>
      <c r="F988" s="70" t="s">
        <v>2563</v>
      </c>
      <c r="G988" s="73"/>
      <c r="H988" s="76" t="s">
        <v>1504</v>
      </c>
      <c r="I988" s="96" t="s">
        <v>514</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160"/>
        <v>4</v>
      </c>
      <c r="D989" s="73"/>
      <c r="E989" s="70"/>
      <c r="F989" s="70" t="s">
        <v>2564</v>
      </c>
      <c r="G989" s="73"/>
      <c r="H989" s="76" t="s">
        <v>1506</v>
      </c>
      <c r="I989" s="96" t="s">
        <v>514</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60"/>
        <v>4</v>
      </c>
      <c r="D990" s="73"/>
      <c r="E990" s="70"/>
      <c r="F990" s="70" t="s">
        <v>2565</v>
      </c>
      <c r="G990" s="73"/>
      <c r="H990" s="76" t="s">
        <v>1508</v>
      </c>
      <c r="I990" s="96" t="s">
        <v>514</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60"/>
        <v>4</v>
      </c>
      <c r="D991" s="73"/>
      <c r="E991" s="70"/>
      <c r="F991" s="70" t="s">
        <v>2566</v>
      </c>
      <c r="G991" s="73"/>
      <c r="H991" s="76" t="s">
        <v>1510</v>
      </c>
      <c r="I991" s="96" t="s">
        <v>514</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60"/>
        <v>4</v>
      </c>
      <c r="D992" s="73"/>
      <c r="E992" s="70"/>
      <c r="F992" s="70" t="s">
        <v>2567</v>
      </c>
      <c r="G992" s="73"/>
      <c r="H992" s="76" t="s">
        <v>1504</v>
      </c>
      <c r="I992" s="96" t="s">
        <v>514</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60"/>
        <v>4</v>
      </c>
      <c r="D993" s="73"/>
      <c r="E993" s="70"/>
      <c r="F993" s="70" t="s">
        <v>2568</v>
      </c>
      <c r="G993" s="73"/>
      <c r="H993" s="76" t="s">
        <v>1506</v>
      </c>
      <c r="I993" s="96" t="s">
        <v>514</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60"/>
        <v>4</v>
      </c>
      <c r="D994" s="73"/>
      <c r="E994" s="70"/>
      <c r="F994" s="70" t="s">
        <v>2569</v>
      </c>
      <c r="G994" s="73"/>
      <c r="H994" s="76" t="s">
        <v>1508</v>
      </c>
      <c r="I994" s="96" t="s">
        <v>514</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60"/>
        <v>4</v>
      </c>
      <c r="D995" s="73"/>
      <c r="E995" s="70"/>
      <c r="F995" s="70" t="s">
        <v>2570</v>
      </c>
      <c r="G995" s="73"/>
      <c r="H995" s="76" t="s">
        <v>1510</v>
      </c>
      <c r="I995" s="96" t="s">
        <v>514</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160"/>
        <v>4</v>
      </c>
      <c r="D996" s="73"/>
      <c r="E996" s="70"/>
      <c r="F996" s="70" t="s">
        <v>2571</v>
      </c>
      <c r="G996" s="73"/>
      <c r="H996" s="76" t="s">
        <v>1504</v>
      </c>
      <c r="I996" s="96" t="s">
        <v>514</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160"/>
        <v>4</v>
      </c>
      <c r="D997" s="73"/>
      <c r="E997" s="70"/>
      <c r="F997" s="70" t="s">
        <v>2572</v>
      </c>
      <c r="G997" s="73"/>
      <c r="H997" s="76" t="s">
        <v>1506</v>
      </c>
      <c r="I997" s="96" t="s">
        <v>514</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160"/>
        <v>4</v>
      </c>
      <c r="D998" s="73"/>
      <c r="E998" s="70"/>
      <c r="F998" s="70" t="s">
        <v>2573</v>
      </c>
      <c r="G998" s="73"/>
      <c r="H998" s="76" t="s">
        <v>1508</v>
      </c>
      <c r="I998" s="96" t="s">
        <v>514</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160"/>
        <v>4</v>
      </c>
      <c r="D999" s="73"/>
      <c r="E999" s="70"/>
      <c r="F999" s="70" t="s">
        <v>2574</v>
      </c>
      <c r="G999" s="73"/>
      <c r="H999" s="76" t="s">
        <v>1510</v>
      </c>
      <c r="I999" s="96" t="s">
        <v>514</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160"/>
        <v>4</v>
      </c>
      <c r="D1000" s="73"/>
      <c r="E1000" s="70"/>
      <c r="F1000" s="70" t="s">
        <v>2575</v>
      </c>
      <c r="G1000" s="73"/>
      <c r="H1000" s="76" t="s">
        <v>1504</v>
      </c>
      <c r="I1000" s="96" t="s">
        <v>514</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60"/>
        <v>4</v>
      </c>
      <c r="D1001" s="73"/>
      <c r="E1001" s="70"/>
      <c r="F1001" s="70" t="s">
        <v>2576</v>
      </c>
      <c r="G1001" s="73"/>
      <c r="H1001" s="76" t="s">
        <v>1506</v>
      </c>
      <c r="I1001" s="96" t="s">
        <v>514</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60"/>
        <v>4</v>
      </c>
      <c r="D1002" s="73"/>
      <c r="E1002" s="70"/>
      <c r="F1002" s="70" t="s">
        <v>2577</v>
      </c>
      <c r="G1002" s="73"/>
      <c r="H1002" s="76" t="s">
        <v>1508</v>
      </c>
      <c r="I1002" s="96" t="s">
        <v>514</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60"/>
        <v>4</v>
      </c>
      <c r="D1003" s="73"/>
      <c r="E1003" s="70"/>
      <c r="F1003" s="70" t="s">
        <v>2578</v>
      </c>
      <c r="G1003" s="73"/>
      <c r="H1003" s="76" t="s">
        <v>1510</v>
      </c>
      <c r="I1003" s="96" t="s">
        <v>514</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60"/>
        <v>4</v>
      </c>
      <c r="D1004" s="73"/>
      <c r="E1004" s="70"/>
      <c r="F1004" s="70" t="s">
        <v>2579</v>
      </c>
      <c r="G1004" s="73"/>
      <c r="H1004" s="76" t="s">
        <v>1504</v>
      </c>
      <c r="I1004" s="96" t="s">
        <v>514</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60"/>
        <v>4</v>
      </c>
      <c r="D1005" s="73"/>
      <c r="E1005" s="70"/>
      <c r="F1005" s="70" t="s">
        <v>2580</v>
      </c>
      <c r="G1005" s="73"/>
      <c r="H1005" s="76" t="s">
        <v>1506</v>
      </c>
      <c r="I1005" s="96" t="s">
        <v>514</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60"/>
        <v>4</v>
      </c>
      <c r="D1006" s="73"/>
      <c r="E1006" s="70"/>
      <c r="F1006" s="70" t="s">
        <v>2581</v>
      </c>
      <c r="G1006" s="73"/>
      <c r="H1006" s="76" t="s">
        <v>1508</v>
      </c>
      <c r="I1006" s="96" t="s">
        <v>514</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60"/>
        <v>4</v>
      </c>
      <c r="D1007" s="73"/>
      <c r="E1007" s="70"/>
      <c r="F1007" s="70" t="s">
        <v>2582</v>
      </c>
      <c r="G1007" s="73"/>
      <c r="H1007" s="76" t="s">
        <v>1510</v>
      </c>
      <c r="I1007" s="96" t="s">
        <v>514</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si="160"/>
        <v>4</v>
      </c>
      <c r="D1008" s="73"/>
      <c r="E1008" s="70"/>
      <c r="F1008" s="70" t="s">
        <v>2583</v>
      </c>
      <c r="G1008" s="73"/>
      <c r="H1008" s="76" t="s">
        <v>1504</v>
      </c>
      <c r="I1008" s="96" t="s">
        <v>514</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160"/>
        <v>4</v>
      </c>
      <c r="D1009" s="73"/>
      <c r="E1009" s="70"/>
      <c r="F1009" s="70" t="s">
        <v>2584</v>
      </c>
      <c r="G1009" s="73"/>
      <c r="H1009" s="76" t="s">
        <v>1506</v>
      </c>
      <c r="I1009" s="96" t="s">
        <v>514</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160"/>
        <v>4</v>
      </c>
      <c r="D1010" s="73"/>
      <c r="E1010" s="70"/>
      <c r="F1010" s="70" t="s">
        <v>2585</v>
      </c>
      <c r="G1010" s="73"/>
      <c r="H1010" s="76" t="s">
        <v>1508</v>
      </c>
      <c r="I1010" s="96" t="s">
        <v>514</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160"/>
        <v>4</v>
      </c>
      <c r="D1011" s="73"/>
      <c r="E1011" s="70"/>
      <c r="F1011" s="70" t="s">
        <v>2586</v>
      </c>
      <c r="G1011" s="73"/>
      <c r="H1011" s="76" t="s">
        <v>1510</v>
      </c>
      <c r="I1011" s="96" t="s">
        <v>514</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1" collapsed="1" x14ac:dyDescent="0.35">
      <c r="A1012" s="45"/>
      <c r="B1012" s="54"/>
      <c r="C1012" s="47">
        <f>INT($C$29)+1</f>
        <v>2</v>
      </c>
      <c r="D1012" s="73"/>
      <c r="E1012" s="70"/>
      <c r="F1012" s="272" t="s">
        <v>1734</v>
      </c>
      <c r="G1012" s="73"/>
      <c r="H1012" s="253" t="s">
        <v>1735</v>
      </c>
      <c r="I1012" s="96"/>
      <c r="J1012" s="96" t="s">
        <v>531</v>
      </c>
      <c r="K1012" s="76"/>
      <c r="L1012" s="76"/>
      <c r="M1012" s="76"/>
      <c r="N1012" s="76"/>
      <c r="O1012" s="76"/>
      <c r="P1012" s="76"/>
      <c r="Q1012" s="76"/>
      <c r="R1012" s="76"/>
      <c r="S1012" s="76"/>
      <c r="T1012" s="76"/>
      <c r="U1012" s="79">
        <v>5</v>
      </c>
      <c r="V1012" s="76"/>
      <c r="W1012" s="79">
        <v>0</v>
      </c>
      <c r="X1012" s="76"/>
      <c r="Y1012" s="76"/>
      <c r="Z1012" s="76"/>
      <c r="AA1012" s="76"/>
      <c r="AB1012" s="76"/>
      <c r="AC1012" s="76"/>
      <c r="AD1012" s="76"/>
      <c r="AE1012" s="76"/>
      <c r="AF1012" s="76"/>
      <c r="AG1012" s="76"/>
      <c r="AH1012" s="73"/>
      <c r="AI1012" s="57"/>
      <c r="AJ1012" s="45"/>
      <c r="AK1012" s="45"/>
      <c r="AL1012" s="45"/>
    </row>
    <row r="1013" spans="1:38" hidden="1" outlineLevel="2" x14ac:dyDescent="0.35">
      <c r="A1013" s="45"/>
      <c r="B1013" s="54"/>
      <c r="C1013" s="47">
        <f>INT($C$29)+2</f>
        <v>3</v>
      </c>
      <c r="D1013" s="73"/>
      <c r="E1013" s="70" t="s">
        <v>1736</v>
      </c>
      <c r="F1013" s="70" t="s">
        <v>1737</v>
      </c>
      <c r="G1013" s="73"/>
      <c r="H1013" s="76" t="s">
        <v>1738</v>
      </c>
      <c r="I1013" s="76"/>
      <c r="J1013" s="76"/>
      <c r="K1013" s="97">
        <v>0.99704199999999998</v>
      </c>
      <c r="L1013" s="97">
        <v>0.99704199999999998</v>
      </c>
      <c r="M1013" s="76"/>
      <c r="N1013" s="76"/>
      <c r="O1013" s="76"/>
      <c r="P1013" s="76"/>
      <c r="Q1013" s="76"/>
      <c r="R1013" s="76"/>
      <c r="S1013" s="76"/>
      <c r="T1013" s="76"/>
      <c r="U1013" s="260">
        <f t="shared" ref="U1013:AB1013" si="161">INDEX($K1013:$Q1013,1,U$43)</f>
        <v>0.99704199999999998</v>
      </c>
      <c r="V1013" s="260">
        <f t="shared" si="161"/>
        <v>0.99704199999999998</v>
      </c>
      <c r="W1013" s="260">
        <f t="shared" si="161"/>
        <v>0.99704199999999998</v>
      </c>
      <c r="X1013" s="260">
        <f t="shared" si="161"/>
        <v>0.99704199999999998</v>
      </c>
      <c r="Y1013" s="260">
        <f t="shared" si="161"/>
        <v>0.99704199999999998</v>
      </c>
      <c r="Z1013" s="260">
        <f t="shared" si="161"/>
        <v>0.99704199999999998</v>
      </c>
      <c r="AA1013" s="260">
        <f t="shared" si="161"/>
        <v>0.99704199999999998</v>
      </c>
      <c r="AB1013" s="260">
        <f t="shared" si="161"/>
        <v>0.99704199999999998</v>
      </c>
      <c r="AC1013" s="76"/>
      <c r="AD1013" s="76"/>
      <c r="AE1013" s="76"/>
      <c r="AF1013" s="97">
        <v>1</v>
      </c>
      <c r="AG1013" s="97">
        <v>1</v>
      </c>
      <c r="AH1013" s="73"/>
      <c r="AI1013" s="57"/>
      <c r="AJ1013" s="45"/>
      <c r="AK1013" s="45"/>
      <c r="AL1013" s="45"/>
    </row>
    <row r="1014" spans="1:38" hidden="1" outlineLevel="2" x14ac:dyDescent="0.35">
      <c r="A1014" s="45"/>
      <c r="B1014" s="54"/>
      <c r="C1014" s="47">
        <f>INT($C$29)+2</f>
        <v>3</v>
      </c>
      <c r="D1014" s="73"/>
      <c r="E1014" s="70"/>
      <c r="F1014" s="70" t="s">
        <v>1739</v>
      </c>
      <c r="G1014" s="73"/>
      <c r="H1014" s="136" t="s">
        <v>2806</v>
      </c>
      <c r="I1014" s="96"/>
      <c r="J1014" s="96"/>
      <c r="K1014" s="76"/>
      <c r="L1014" s="76"/>
      <c r="M1014" s="76"/>
      <c r="N1014" s="76"/>
      <c r="O1014" s="76"/>
      <c r="P1014" s="76"/>
      <c r="Q1014" s="76"/>
      <c r="R1014" s="76"/>
      <c r="S1014" s="76"/>
      <c r="T1014" s="76"/>
      <c r="U1014" s="273">
        <v>0.19</v>
      </c>
      <c r="V1014" s="273">
        <v>0.19</v>
      </c>
      <c r="W1014" s="273">
        <v>0.19</v>
      </c>
      <c r="X1014" s="273">
        <v>0.25</v>
      </c>
      <c r="Y1014" s="273">
        <v>0.25</v>
      </c>
      <c r="Z1014" s="273">
        <v>0.25</v>
      </c>
      <c r="AA1014" s="273">
        <v>0.25</v>
      </c>
      <c r="AB1014" s="273">
        <v>0.25</v>
      </c>
      <c r="AC1014" s="76"/>
      <c r="AD1014" s="97" t="s">
        <v>1741</v>
      </c>
      <c r="AE1014" s="76"/>
      <c r="AF1014" s="97">
        <v>1</v>
      </c>
      <c r="AG1014" s="97">
        <v>1</v>
      </c>
      <c r="AH1014" s="73"/>
      <c r="AI1014" s="57"/>
      <c r="AJ1014" s="45"/>
      <c r="AK1014" s="45"/>
      <c r="AL1014" s="45"/>
    </row>
    <row r="1015" spans="1:38" hidden="1" outlineLevel="2" x14ac:dyDescent="0.35">
      <c r="A1015" s="45"/>
      <c r="B1015" s="54"/>
      <c r="C1015" s="47">
        <f>INT($C$29)+2</f>
        <v>3</v>
      </c>
      <c r="D1015" s="73"/>
      <c r="E1015" s="70"/>
      <c r="F1015" s="70" t="s">
        <v>1742</v>
      </c>
      <c r="G1015" s="73"/>
      <c r="H1015" s="76" t="s">
        <v>1743</v>
      </c>
      <c r="I1015" s="76"/>
      <c r="J1015" s="76"/>
      <c r="K1015" s="76"/>
      <c r="L1015" s="76"/>
      <c r="M1015" s="76"/>
      <c r="N1015" s="76"/>
      <c r="O1015" s="76"/>
      <c r="P1015" s="76"/>
      <c r="Q1015" s="76"/>
      <c r="R1015" s="76"/>
      <c r="S1015" s="76"/>
      <c r="T1015" s="76"/>
      <c r="U1015" s="97">
        <v>0.13739999999999999</v>
      </c>
      <c r="V1015" s="97">
        <v>0.13739999999999999</v>
      </c>
      <c r="W1015" s="97">
        <v>0.13739999999999999</v>
      </c>
      <c r="X1015" s="262">
        <f t="shared" ref="X1015:AB1017" si="162">W1015</f>
        <v>0.13739999999999999</v>
      </c>
      <c r="Y1015" s="262">
        <f t="shared" si="162"/>
        <v>0.13739999999999999</v>
      </c>
      <c r="Z1015" s="262">
        <f t="shared" si="162"/>
        <v>0.13739999999999999</v>
      </c>
      <c r="AA1015" s="262">
        <f t="shared" si="162"/>
        <v>0.13739999999999999</v>
      </c>
      <c r="AB1015" s="262">
        <f t="shared" si="162"/>
        <v>0.13739999999999999</v>
      </c>
      <c r="AC1015" s="76"/>
      <c r="AD1015" s="76"/>
      <c r="AE1015" s="76"/>
      <c r="AF1015" s="97">
        <v>1</v>
      </c>
      <c r="AG1015" s="97">
        <v>1</v>
      </c>
      <c r="AH1015" s="73"/>
      <c r="AI1015" s="57"/>
      <c r="AJ1015" s="45"/>
      <c r="AK1015" s="45"/>
      <c r="AL1015" s="45"/>
    </row>
    <row r="1016" spans="1:38" hidden="1" outlineLevel="2" x14ac:dyDescent="0.35">
      <c r="A1016" s="45"/>
      <c r="B1016" s="54"/>
      <c r="C1016" s="47">
        <f>INT($C$29)+2</f>
        <v>3</v>
      </c>
      <c r="D1016" s="73"/>
      <c r="E1016" s="70"/>
      <c r="F1016" s="70" t="s">
        <v>1744</v>
      </c>
      <c r="G1016" s="73"/>
      <c r="H1016" s="76" t="s">
        <v>1745</v>
      </c>
      <c r="I1016" s="76"/>
      <c r="J1016" s="76"/>
      <c r="K1016" s="76"/>
      <c r="L1016" s="76"/>
      <c r="M1016" s="76"/>
      <c r="N1016" s="76"/>
      <c r="O1016" s="76"/>
      <c r="P1016" s="76"/>
      <c r="Q1016" s="76"/>
      <c r="R1016" s="76"/>
      <c r="S1016" s="76"/>
      <c r="T1016" s="76"/>
      <c r="U1016" s="97">
        <v>0.16700000000000001</v>
      </c>
      <c r="V1016" s="97">
        <v>0.16700000000000001</v>
      </c>
      <c r="W1016" s="97">
        <v>0.16700000000000001</v>
      </c>
      <c r="X1016" s="262">
        <f t="shared" si="162"/>
        <v>0.16700000000000001</v>
      </c>
      <c r="Y1016" s="262">
        <f t="shared" si="162"/>
        <v>0.16700000000000001</v>
      </c>
      <c r="Z1016" s="262">
        <f t="shared" si="162"/>
        <v>0.16700000000000001</v>
      </c>
      <c r="AA1016" s="262">
        <f t="shared" si="162"/>
        <v>0.16700000000000001</v>
      </c>
      <c r="AB1016" s="262">
        <f t="shared" si="162"/>
        <v>0.16700000000000001</v>
      </c>
      <c r="AC1016" s="76"/>
      <c r="AD1016" s="76"/>
      <c r="AE1016" s="76"/>
      <c r="AF1016" s="97">
        <v>1</v>
      </c>
      <c r="AG1016" s="97">
        <v>1</v>
      </c>
      <c r="AH1016" s="73"/>
      <c r="AI1016" s="57"/>
      <c r="AJ1016" s="45"/>
      <c r="AK1016" s="45"/>
      <c r="AL1016" s="45"/>
    </row>
    <row r="1017" spans="1:38" hidden="1" outlineLevel="2" x14ac:dyDescent="0.35">
      <c r="A1017" s="45"/>
      <c r="B1017" s="54"/>
      <c r="C1017" s="47">
        <f>INT($C$29)+2</f>
        <v>3</v>
      </c>
      <c r="D1017" s="73"/>
      <c r="E1017" s="70"/>
      <c r="F1017" s="70" t="s">
        <v>1746</v>
      </c>
      <c r="G1017" s="73"/>
      <c r="H1017" s="76" t="s">
        <v>1747</v>
      </c>
      <c r="I1017" s="76"/>
      <c r="J1017" s="76"/>
      <c r="K1017" s="76"/>
      <c r="L1017" s="76"/>
      <c r="M1017" s="76"/>
      <c r="N1017" s="76"/>
      <c r="O1017" s="76"/>
      <c r="P1017" s="76"/>
      <c r="Q1017" s="76"/>
      <c r="R1017" s="76"/>
      <c r="S1017" s="76"/>
      <c r="T1017" s="76"/>
      <c r="U1017" s="97">
        <v>0.08</v>
      </c>
      <c r="V1017" s="97">
        <v>0.08</v>
      </c>
      <c r="W1017" s="97">
        <v>0.08</v>
      </c>
      <c r="X1017" s="262">
        <f t="shared" si="162"/>
        <v>0.08</v>
      </c>
      <c r="Y1017" s="262">
        <f t="shared" si="162"/>
        <v>0.08</v>
      </c>
      <c r="Z1017" s="262">
        <f t="shared" si="162"/>
        <v>0.08</v>
      </c>
      <c r="AA1017" s="262">
        <f t="shared" si="162"/>
        <v>0.08</v>
      </c>
      <c r="AB1017" s="262">
        <f t="shared" si="162"/>
        <v>0.08</v>
      </c>
      <c r="AC1017" s="76"/>
      <c r="AD1017" s="76"/>
      <c r="AE1017" s="76"/>
      <c r="AF1017" s="97">
        <v>1</v>
      </c>
      <c r="AG1017" s="97">
        <v>1</v>
      </c>
      <c r="AH1017" s="73"/>
      <c r="AI1017" s="57"/>
      <c r="AJ1017" s="45"/>
      <c r="AK1017" s="45"/>
      <c r="AL1017" s="45"/>
    </row>
    <row r="1018" spans="1:38" outlineLevel="1" collapsed="1" x14ac:dyDescent="0.35">
      <c r="A1018" s="45"/>
      <c r="B1018" s="54"/>
      <c r="C1018" s="47">
        <f>INT($C$29)+1</f>
        <v>2</v>
      </c>
      <c r="D1018" s="73"/>
      <c r="E1018" s="70"/>
      <c r="F1018" s="272" t="s">
        <v>1734</v>
      </c>
      <c r="G1018" s="73"/>
      <c r="H1018" s="274" t="s">
        <v>1748</v>
      </c>
      <c r="I1018" s="136"/>
      <c r="J1018" s="136" t="s">
        <v>1060</v>
      </c>
      <c r="K1018" s="76"/>
      <c r="L1018" s="76"/>
      <c r="M1018" s="76"/>
      <c r="N1018" s="76"/>
      <c r="O1018" s="76"/>
      <c r="P1018" s="76"/>
      <c r="Q1018" s="76"/>
      <c r="R1018" s="76"/>
      <c r="S1018" s="76"/>
      <c r="T1018" s="76"/>
      <c r="U1018" s="79">
        <v>19</v>
      </c>
      <c r="V1018" s="79">
        <v>8</v>
      </c>
      <c r="W1018" s="79">
        <v>0</v>
      </c>
      <c r="X1018" s="76"/>
      <c r="Y1018" s="76"/>
      <c r="Z1018" s="76"/>
      <c r="AA1018" s="76"/>
      <c r="AB1018" s="76"/>
      <c r="AC1018" s="76"/>
      <c r="AD1018" s="76"/>
      <c r="AE1018" s="76"/>
      <c r="AF1018" s="76"/>
      <c r="AG1018" s="76"/>
      <c r="AH1018" s="73"/>
      <c r="AI1018" s="57"/>
      <c r="AJ1018" s="45"/>
      <c r="AK1018" s="45"/>
      <c r="AL1018" s="45"/>
    </row>
    <row r="1019" spans="1:38" hidden="1" outlineLevel="3" x14ac:dyDescent="0.35">
      <c r="A1019" s="45"/>
      <c r="B1019" s="54"/>
      <c r="C1019" s="47">
        <f>INT($C$29)+2</f>
        <v>3</v>
      </c>
      <c r="D1019" s="73"/>
      <c r="E1019" s="70"/>
      <c r="F1019" s="70" t="s">
        <v>1749</v>
      </c>
      <c r="G1019" s="73"/>
      <c r="H1019" s="76" t="s">
        <v>1750</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ref="C1020:C1026" si="163">INT($C$29)+2</f>
        <v>3</v>
      </c>
      <c r="D1020" s="73"/>
      <c r="E1020" s="70"/>
      <c r="F1020" s="70" t="s">
        <v>1751</v>
      </c>
      <c r="G1020" s="73"/>
      <c r="H1020" s="76" t="s">
        <v>1752</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163"/>
        <v>3</v>
      </c>
      <c r="D1021" s="73"/>
      <c r="E1021" s="70"/>
      <c r="F1021" s="70" t="s">
        <v>1753</v>
      </c>
      <c r="G1021" s="73"/>
      <c r="H1021" s="76" t="s">
        <v>1754</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163"/>
        <v>3</v>
      </c>
      <c r="D1022" s="73"/>
      <c r="E1022" s="70"/>
      <c r="F1022" s="70" t="s">
        <v>1755</v>
      </c>
      <c r="G1022" s="73"/>
      <c r="H1022" s="76" t="s">
        <v>1756</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si="163"/>
        <v>3</v>
      </c>
      <c r="D1023" s="73"/>
      <c r="E1023" s="70"/>
      <c r="F1023" s="70" t="s">
        <v>1757</v>
      </c>
      <c r="G1023" s="73"/>
      <c r="H1023" s="76" t="s">
        <v>1758</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163"/>
        <v>3</v>
      </c>
      <c r="D1024" s="73"/>
      <c r="E1024" s="70"/>
      <c r="F1024" s="70" t="s">
        <v>1759</v>
      </c>
      <c r="G1024" s="73"/>
      <c r="H1024" s="76" t="s">
        <v>1760</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163"/>
        <v>3</v>
      </c>
      <c r="D1025" s="73"/>
      <c r="E1025" s="70"/>
      <c r="F1025" s="70" t="s">
        <v>1761</v>
      </c>
      <c r="G1025" s="73"/>
      <c r="H1025" s="76" t="s">
        <v>1762</v>
      </c>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163"/>
        <v>3</v>
      </c>
      <c r="D1026" s="73"/>
      <c r="E1026" s="70"/>
      <c r="F1026" s="70" t="s">
        <v>1763</v>
      </c>
      <c r="G1026" s="73"/>
      <c r="H1026" s="76" t="s">
        <v>1764</v>
      </c>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ref="C1027:C1090" si="164">INT($C$29)+3</f>
        <v>4</v>
      </c>
      <c r="D1027" s="73"/>
      <c r="E1027" s="70"/>
      <c r="F1027" s="70" t="s">
        <v>1765</v>
      </c>
      <c r="G1027" s="73"/>
      <c r="H1027" s="76" t="s">
        <v>616</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164"/>
        <v>4</v>
      </c>
      <c r="D1028" s="73"/>
      <c r="E1028" s="70"/>
      <c r="F1028" s="70" t="s">
        <v>1766</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164"/>
        <v>4</v>
      </c>
      <c r="D1029" s="73"/>
      <c r="E1029" s="70"/>
      <c r="F1029" s="70" t="s">
        <v>1767</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164"/>
        <v>4</v>
      </c>
      <c r="D1030" s="73"/>
      <c r="E1030" s="70"/>
      <c r="F1030" s="70" t="s">
        <v>1768</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164"/>
        <v>4</v>
      </c>
      <c r="D1031" s="73"/>
      <c r="E1031" s="70"/>
      <c r="F1031" s="70" t="s">
        <v>1769</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164"/>
        <v>4</v>
      </c>
      <c r="D1032" s="73"/>
      <c r="E1032" s="70"/>
      <c r="F1032" s="70" t="s">
        <v>1770</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64"/>
        <v>4</v>
      </c>
      <c r="D1033" s="73"/>
      <c r="E1033" s="70"/>
      <c r="F1033" s="70" t="s">
        <v>1771</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64"/>
        <v>4</v>
      </c>
      <c r="D1034" s="73"/>
      <c r="E1034" s="70"/>
      <c r="F1034" s="70" t="s">
        <v>1772</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64"/>
        <v>4</v>
      </c>
      <c r="D1035" s="73"/>
      <c r="E1035" s="70"/>
      <c r="F1035" s="70" t="s">
        <v>1773</v>
      </c>
      <c r="G1035" s="73"/>
      <c r="H1035" s="76" t="s">
        <v>616</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64"/>
        <v>4</v>
      </c>
      <c r="D1036" s="73"/>
      <c r="E1036" s="70"/>
      <c r="F1036" s="70" t="s">
        <v>1774</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64"/>
        <v>4</v>
      </c>
      <c r="D1037" s="73"/>
      <c r="E1037" s="70"/>
      <c r="F1037" s="70" t="s">
        <v>1775</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64"/>
        <v>4</v>
      </c>
      <c r="D1038" s="73"/>
      <c r="E1038" s="70"/>
      <c r="F1038" s="70" t="s">
        <v>1776</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164"/>
        <v>4</v>
      </c>
      <c r="D1039" s="73"/>
      <c r="E1039" s="70"/>
      <c r="F1039" s="70" t="s">
        <v>1777</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64"/>
        <v>4</v>
      </c>
      <c r="D1040" s="73"/>
      <c r="E1040" s="70"/>
      <c r="F1040" s="70" t="s">
        <v>1778</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64"/>
        <v>4</v>
      </c>
      <c r="D1041" s="73"/>
      <c r="E1041" s="70"/>
      <c r="F1041" s="70" t="s">
        <v>1779</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64"/>
        <v>4</v>
      </c>
      <c r="D1042" s="73"/>
      <c r="E1042" s="70"/>
      <c r="F1042" s="70" t="s">
        <v>1780</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64"/>
        <v>4</v>
      </c>
      <c r="D1043" s="73"/>
      <c r="E1043" s="70"/>
      <c r="F1043" s="70" t="s">
        <v>1781</v>
      </c>
      <c r="G1043" s="73"/>
      <c r="H1043" s="76" t="s">
        <v>616</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64"/>
        <v>4</v>
      </c>
      <c r="D1044" s="73"/>
      <c r="E1044" s="70"/>
      <c r="F1044" s="70" t="s">
        <v>1782</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64"/>
        <v>4</v>
      </c>
      <c r="D1045" s="73"/>
      <c r="E1045" s="70"/>
      <c r="F1045" s="70" t="s">
        <v>1783</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64"/>
        <v>4</v>
      </c>
      <c r="D1046" s="73"/>
      <c r="E1046" s="70"/>
      <c r="F1046" s="70" t="s">
        <v>1784</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64"/>
        <v>4</v>
      </c>
      <c r="D1047" s="73"/>
      <c r="E1047" s="70"/>
      <c r="F1047" s="70" t="s">
        <v>1785</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64"/>
        <v>4</v>
      </c>
      <c r="D1048" s="73"/>
      <c r="E1048" s="70"/>
      <c r="F1048" s="70" t="s">
        <v>1786</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64"/>
        <v>4</v>
      </c>
      <c r="D1049" s="73"/>
      <c r="E1049" s="70"/>
      <c r="F1049" s="70" t="s">
        <v>1787</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64"/>
        <v>4</v>
      </c>
      <c r="D1050" s="73"/>
      <c r="E1050" s="70"/>
      <c r="F1050" s="70" t="s">
        <v>1788</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164"/>
        <v>4</v>
      </c>
      <c r="D1051" s="73"/>
      <c r="E1051" s="70"/>
      <c r="F1051" s="70" t="s">
        <v>1789</v>
      </c>
      <c r="G1051" s="73"/>
      <c r="H1051" s="76" t="s">
        <v>616</v>
      </c>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164"/>
        <v>4</v>
      </c>
      <c r="D1052" s="73"/>
      <c r="E1052" s="70"/>
      <c r="F1052" s="70" t="s">
        <v>1790</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164"/>
        <v>4</v>
      </c>
      <c r="D1053" s="73"/>
      <c r="E1053" s="70"/>
      <c r="F1053" s="70" t="s">
        <v>1791</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164"/>
        <v>4</v>
      </c>
      <c r="D1054" s="73"/>
      <c r="E1054" s="70"/>
      <c r="F1054" s="70" t="s">
        <v>1792</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164"/>
        <v>4</v>
      </c>
      <c r="D1055" s="73"/>
      <c r="E1055" s="70"/>
      <c r="F1055" s="70" t="s">
        <v>1793</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164"/>
        <v>4</v>
      </c>
      <c r="D1056" s="73"/>
      <c r="E1056" s="70"/>
      <c r="F1056" s="70" t="s">
        <v>1794</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164"/>
        <v>4</v>
      </c>
      <c r="D1057" s="73"/>
      <c r="E1057" s="70"/>
      <c r="F1057" s="70" t="s">
        <v>1795</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164"/>
        <v>4</v>
      </c>
      <c r="D1058" s="73"/>
      <c r="E1058" s="70"/>
      <c r="F1058" s="70" t="s">
        <v>1796</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164"/>
        <v>4</v>
      </c>
      <c r="D1059" s="73"/>
      <c r="E1059" s="70"/>
      <c r="F1059" s="70" t="s">
        <v>1797</v>
      </c>
      <c r="G1059" s="73"/>
      <c r="H1059" s="76" t="s">
        <v>616</v>
      </c>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164"/>
        <v>4</v>
      </c>
      <c r="D1060" s="73"/>
      <c r="E1060" s="70"/>
      <c r="F1060" s="70" t="s">
        <v>1798</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164"/>
        <v>4</v>
      </c>
      <c r="D1061" s="73"/>
      <c r="E1061" s="70"/>
      <c r="F1061" s="70" t="s">
        <v>1799</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164"/>
        <v>4</v>
      </c>
      <c r="D1062" s="73"/>
      <c r="E1062" s="70"/>
      <c r="F1062" s="70" t="s">
        <v>1800</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164"/>
        <v>4</v>
      </c>
      <c r="D1063" s="73"/>
      <c r="E1063" s="70"/>
      <c r="F1063" s="70" t="s">
        <v>1801</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164"/>
        <v>4</v>
      </c>
      <c r="D1064" s="73"/>
      <c r="E1064" s="70"/>
      <c r="F1064" s="70" t="s">
        <v>1802</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164"/>
        <v>4</v>
      </c>
      <c r="D1065" s="73"/>
      <c r="E1065" s="70"/>
      <c r="F1065" s="70" t="s">
        <v>1803</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164"/>
        <v>4</v>
      </c>
      <c r="D1066" s="73"/>
      <c r="E1066" s="70"/>
      <c r="F1066" s="70" t="s">
        <v>1804</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164"/>
        <v>4</v>
      </c>
      <c r="D1067" s="73"/>
      <c r="E1067" s="70"/>
      <c r="F1067" s="70" t="s">
        <v>1805</v>
      </c>
      <c r="G1067" s="73"/>
      <c r="H1067" s="76" t="s">
        <v>616</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64"/>
        <v>4</v>
      </c>
      <c r="D1068" s="73"/>
      <c r="E1068" s="70"/>
      <c r="F1068" s="70" t="s">
        <v>1806</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64"/>
        <v>4</v>
      </c>
      <c r="D1069" s="73"/>
      <c r="E1069" s="70"/>
      <c r="F1069" s="70" t="s">
        <v>1807</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64"/>
        <v>4</v>
      </c>
      <c r="D1070" s="73"/>
      <c r="E1070" s="70"/>
      <c r="F1070" s="70" t="s">
        <v>1808</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64"/>
        <v>4</v>
      </c>
      <c r="D1071" s="73"/>
      <c r="E1071" s="70"/>
      <c r="F1071" s="70" t="s">
        <v>1809</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64"/>
        <v>4</v>
      </c>
      <c r="D1072" s="73"/>
      <c r="E1072" s="70"/>
      <c r="F1072" s="70" t="s">
        <v>1810</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64"/>
        <v>4</v>
      </c>
      <c r="D1073" s="73"/>
      <c r="E1073" s="70"/>
      <c r="F1073" s="70" t="s">
        <v>1811</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64"/>
        <v>4</v>
      </c>
      <c r="D1074" s="73"/>
      <c r="E1074" s="70"/>
      <c r="F1074" s="70" t="s">
        <v>1812</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64"/>
        <v>4</v>
      </c>
      <c r="D1075" s="73"/>
      <c r="E1075" s="70"/>
      <c r="F1075" s="70" t="s">
        <v>1813</v>
      </c>
      <c r="G1075" s="73"/>
      <c r="H1075" s="76" t="s">
        <v>616</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64"/>
        <v>4</v>
      </c>
      <c r="D1076" s="73"/>
      <c r="E1076" s="70"/>
      <c r="F1076" s="70" t="s">
        <v>1814</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64"/>
        <v>4</v>
      </c>
      <c r="D1077" s="73"/>
      <c r="E1077" s="70"/>
      <c r="F1077" s="70" t="s">
        <v>1815</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64"/>
        <v>4</v>
      </c>
      <c r="D1078" s="73"/>
      <c r="E1078" s="70"/>
      <c r="F1078" s="70" t="s">
        <v>1816</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64"/>
        <v>4</v>
      </c>
      <c r="D1079" s="73"/>
      <c r="E1079" s="70"/>
      <c r="F1079" s="70" t="s">
        <v>1817</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64"/>
        <v>4</v>
      </c>
      <c r="D1080" s="73"/>
      <c r="E1080" s="70"/>
      <c r="F1080" s="70" t="s">
        <v>1818</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64"/>
        <v>4</v>
      </c>
      <c r="D1081" s="73"/>
      <c r="E1081" s="70"/>
      <c r="F1081" s="70" t="s">
        <v>1819</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64"/>
        <v>4</v>
      </c>
      <c r="D1082" s="73"/>
      <c r="E1082" s="70"/>
      <c r="F1082" s="70" t="s">
        <v>1820</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164"/>
        <v>4</v>
      </c>
      <c r="D1083" s="73"/>
      <c r="E1083" s="70"/>
      <c r="F1083" s="70" t="s">
        <v>1821</v>
      </c>
      <c r="G1083" s="73"/>
      <c r="H1083" s="76" t="s">
        <v>616</v>
      </c>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164"/>
        <v>4</v>
      </c>
      <c r="D1084" s="73"/>
      <c r="E1084" s="70"/>
      <c r="F1084" s="70" t="s">
        <v>1822</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164"/>
        <v>4</v>
      </c>
      <c r="D1085" s="73"/>
      <c r="E1085" s="70"/>
      <c r="F1085" s="70" t="s">
        <v>1823</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164"/>
        <v>4</v>
      </c>
      <c r="D1086" s="73"/>
      <c r="E1086" s="70"/>
      <c r="F1086" s="70" t="s">
        <v>1824</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si="164"/>
        <v>4</v>
      </c>
      <c r="D1087" s="73"/>
      <c r="E1087" s="70"/>
      <c r="F1087" s="70" t="s">
        <v>1825</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164"/>
        <v>4</v>
      </c>
      <c r="D1088" s="73"/>
      <c r="E1088" s="70"/>
      <c r="F1088" s="70" t="s">
        <v>1826</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164"/>
        <v>4</v>
      </c>
      <c r="D1089" s="73"/>
      <c r="E1089" s="70"/>
      <c r="F1089" s="70" t="s">
        <v>1827</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164"/>
        <v>4</v>
      </c>
      <c r="D1090" s="73"/>
      <c r="E1090" s="70"/>
      <c r="F1090" s="70" t="s">
        <v>1828</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ref="C1091:C1114" si="165">INT($C$29)+3</f>
        <v>4</v>
      </c>
      <c r="D1091" s="73"/>
      <c r="E1091" s="70"/>
      <c r="F1091" s="70" t="s">
        <v>1829</v>
      </c>
      <c r="G1091" s="73"/>
      <c r="H1091" s="76" t="s">
        <v>616</v>
      </c>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165"/>
        <v>4</v>
      </c>
      <c r="D1092" s="73"/>
      <c r="E1092" s="70"/>
      <c r="F1092" s="70" t="s">
        <v>1830</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165"/>
        <v>4</v>
      </c>
      <c r="D1093" s="73"/>
      <c r="E1093" s="70"/>
      <c r="F1093" s="70" t="s">
        <v>1831</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165"/>
        <v>4</v>
      </c>
      <c r="D1094" s="73"/>
      <c r="E1094" s="70"/>
      <c r="F1094" s="70" t="s">
        <v>1832</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165"/>
        <v>4</v>
      </c>
      <c r="D1095" s="73"/>
      <c r="E1095" s="70"/>
      <c r="F1095" s="70" t="s">
        <v>1833</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165"/>
        <v>4</v>
      </c>
      <c r="D1096" s="73"/>
      <c r="E1096" s="70"/>
      <c r="F1096" s="70" t="s">
        <v>1834</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165"/>
        <v>4</v>
      </c>
      <c r="D1097" s="73"/>
      <c r="E1097" s="70"/>
      <c r="F1097" s="70" t="s">
        <v>1835</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165"/>
        <v>4</v>
      </c>
      <c r="D1098" s="73"/>
      <c r="E1098" s="70"/>
      <c r="F1098" s="70" t="s">
        <v>1836</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165"/>
        <v>4</v>
      </c>
      <c r="D1099" s="73"/>
      <c r="E1099" s="70"/>
      <c r="F1099" s="70" t="s">
        <v>1837</v>
      </c>
      <c r="G1099" s="73"/>
      <c r="H1099" s="76" t="s">
        <v>616</v>
      </c>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165"/>
        <v>4</v>
      </c>
      <c r="D1100" s="73"/>
      <c r="E1100" s="70"/>
      <c r="F1100" s="70" t="s">
        <v>1838</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165"/>
        <v>4</v>
      </c>
      <c r="D1101" s="73"/>
      <c r="E1101" s="70"/>
      <c r="F1101" s="70" t="s">
        <v>1839</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165"/>
        <v>4</v>
      </c>
      <c r="D1102" s="73"/>
      <c r="E1102" s="70"/>
      <c r="F1102" s="70" t="s">
        <v>1840</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165"/>
        <v>4</v>
      </c>
      <c r="D1103" s="73"/>
      <c r="E1103" s="70"/>
      <c r="F1103" s="70" t="s">
        <v>1841</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165"/>
        <v>4</v>
      </c>
      <c r="D1104" s="73"/>
      <c r="E1104" s="70"/>
      <c r="F1104" s="70" t="s">
        <v>1842</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165"/>
        <v>4</v>
      </c>
      <c r="D1105" s="73"/>
      <c r="E1105" s="70"/>
      <c r="F1105" s="70" t="s">
        <v>1843</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165"/>
        <v>4</v>
      </c>
      <c r="D1106" s="73"/>
      <c r="E1106" s="70"/>
      <c r="F1106" s="70" t="s">
        <v>1844</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165"/>
        <v>4</v>
      </c>
      <c r="D1107" s="73"/>
      <c r="E1107" s="70"/>
      <c r="F1107" s="70" t="s">
        <v>1845</v>
      </c>
      <c r="G1107" s="73"/>
      <c r="H1107" s="76" t="s">
        <v>616</v>
      </c>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165"/>
        <v>4</v>
      </c>
      <c r="D1108" s="73"/>
      <c r="E1108" s="70"/>
      <c r="F1108" s="70" t="s">
        <v>1846</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65"/>
        <v>4</v>
      </c>
      <c r="D1109" s="73"/>
      <c r="E1109" s="70"/>
      <c r="F1109" s="70" t="s">
        <v>1847</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65"/>
        <v>4</v>
      </c>
      <c r="D1110" s="73"/>
      <c r="E1110" s="70"/>
      <c r="F1110" s="70" t="s">
        <v>1848</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35">
      <c r="A1111" s="45"/>
      <c r="B1111" s="54"/>
      <c r="C1111" s="47">
        <f t="shared" si="165"/>
        <v>4</v>
      </c>
      <c r="D1111" s="73"/>
      <c r="E1111" s="70"/>
      <c r="F1111" s="70" t="s">
        <v>1849</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35">
      <c r="A1112" s="45"/>
      <c r="B1112" s="54"/>
      <c r="C1112" s="47">
        <f t="shared" si="165"/>
        <v>4</v>
      </c>
      <c r="D1112" s="73"/>
      <c r="E1112" s="70"/>
      <c r="F1112" s="70" t="s">
        <v>1850</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165"/>
        <v>4</v>
      </c>
      <c r="D1113" s="73"/>
      <c r="E1113" s="70"/>
      <c r="F1113" s="70" t="s">
        <v>1851</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165"/>
        <v>4</v>
      </c>
      <c r="D1114" s="73"/>
      <c r="E1114" s="70"/>
      <c r="F1114" s="70" t="s">
        <v>1852</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2" x14ac:dyDescent="0.35">
      <c r="A1115" s="45"/>
      <c r="B1115" s="54"/>
      <c r="C1115" s="47">
        <f t="shared" ref="C1115:C1170" si="166">INT($C$29)+2</f>
        <v>3</v>
      </c>
      <c r="D1115" s="73"/>
      <c r="E1115" s="70"/>
      <c r="F1115" s="70" t="s">
        <v>1853</v>
      </c>
      <c r="G1115" s="73"/>
      <c r="H1115" s="76" t="s">
        <v>1854</v>
      </c>
      <c r="I1115" s="96" t="s">
        <v>2187</v>
      </c>
      <c r="J1115" s="96"/>
      <c r="K1115" s="76"/>
      <c r="L1115" s="76"/>
      <c r="M1115" s="76"/>
      <c r="N1115" s="76"/>
      <c r="O1115" s="76"/>
      <c r="P1115" s="76"/>
      <c r="Q1115" s="76"/>
      <c r="R1115" s="76"/>
      <c r="S1115" s="76"/>
      <c r="T1115" s="76"/>
      <c r="U1115" s="97">
        <v>1.2E-2</v>
      </c>
      <c r="V1115" s="97">
        <v>1.2E-2</v>
      </c>
      <c r="W1115" s="97">
        <v>1.2E-2</v>
      </c>
      <c r="X1115" s="262">
        <f>W1115</f>
        <v>1.2E-2</v>
      </c>
      <c r="Y1115" s="262">
        <f>X1115</f>
        <v>1.2E-2</v>
      </c>
      <c r="Z1115" s="262">
        <f>Y1115</f>
        <v>1.2E-2</v>
      </c>
      <c r="AA1115" s="262">
        <f>Z1115</f>
        <v>1.2E-2</v>
      </c>
      <c r="AB1115" s="262">
        <f>AA1115</f>
        <v>1.2E-2</v>
      </c>
      <c r="AC1115" s="76"/>
      <c r="AD1115" s="97" t="s">
        <v>1855</v>
      </c>
      <c r="AE1115" s="76"/>
      <c r="AF1115" s="97">
        <v>1</v>
      </c>
      <c r="AG1115" s="97">
        <v>1</v>
      </c>
      <c r="AH1115" s="73"/>
      <c r="AI1115" s="57"/>
      <c r="AJ1115" s="45"/>
      <c r="AK1115" s="45"/>
      <c r="AL1115" s="45"/>
    </row>
    <row r="1116" spans="1:38" hidden="1" outlineLevel="2" x14ac:dyDescent="0.35">
      <c r="A1116" s="45"/>
      <c r="B1116" s="54"/>
      <c r="C1116" s="47">
        <f t="shared" si="166"/>
        <v>3</v>
      </c>
      <c r="D1116" s="73"/>
      <c r="E1116" s="70"/>
      <c r="F1116" s="70" t="s">
        <v>1856</v>
      </c>
      <c r="G1116" s="73"/>
      <c r="H1116" s="76" t="s">
        <v>1857</v>
      </c>
      <c r="I1116" s="96"/>
      <c r="J1116" s="96"/>
      <c r="K1116" s="76"/>
      <c r="L1116" s="76"/>
      <c r="M1116" s="76"/>
      <c r="N1116" s="76"/>
      <c r="O1116" s="76"/>
      <c r="P1116" s="76"/>
      <c r="Q1116" s="76"/>
      <c r="R1116" s="76"/>
      <c r="S1116" s="76"/>
      <c r="T1116" s="76"/>
      <c r="U1116" s="287">
        <f>U1117</f>
        <v>9.9999999999999985E-3</v>
      </c>
      <c r="V1116" s="260">
        <f t="shared" ref="V1116:AB1116" si="167">V1117</f>
        <v>9.9999999999999985E-3</v>
      </c>
      <c r="W1116" s="260">
        <f t="shared" si="167"/>
        <v>9.9999999999999985E-3</v>
      </c>
      <c r="X1116" s="260">
        <f t="shared" si="167"/>
        <v>9.9999999999999985E-3</v>
      </c>
      <c r="Y1116" s="260">
        <f t="shared" si="167"/>
        <v>9.9999999999999985E-3</v>
      </c>
      <c r="Z1116" s="260">
        <f t="shared" si="167"/>
        <v>9.9999999999999985E-3</v>
      </c>
      <c r="AA1116" s="260">
        <f t="shared" si="167"/>
        <v>9.9999999999999985E-3</v>
      </c>
      <c r="AB1116" s="260">
        <f t="shared" si="167"/>
        <v>9.9999999999999985E-3</v>
      </c>
      <c r="AC1116" s="76"/>
      <c r="AD1116" s="76"/>
      <c r="AE1116" s="76"/>
      <c r="AF1116" s="260">
        <f>AF1117</f>
        <v>1</v>
      </c>
      <c r="AG1116" s="260">
        <f>AG1117</f>
        <v>1</v>
      </c>
      <c r="AH1116" s="73"/>
      <c r="AI1116" s="57"/>
      <c r="AJ1116" s="45"/>
      <c r="AK1116" s="45"/>
      <c r="AL1116" s="45"/>
    </row>
    <row r="1117" spans="1:38" hidden="1" outlineLevel="2" x14ac:dyDescent="0.35">
      <c r="A1117" s="45"/>
      <c r="B1117" s="54"/>
      <c r="C1117" s="47">
        <f t="shared" si="166"/>
        <v>3</v>
      </c>
      <c r="D1117" s="73"/>
      <c r="E1117" s="70"/>
      <c r="F1117" s="70" t="s">
        <v>1858</v>
      </c>
      <c r="G1117" s="73"/>
      <c r="H1117" s="76" t="s">
        <v>1859</v>
      </c>
      <c r="I1117" s="96" t="s">
        <v>2186</v>
      </c>
      <c r="J1117" s="96"/>
      <c r="K1117" s="76"/>
      <c r="L1117" s="76"/>
      <c r="M1117" s="76"/>
      <c r="N1117" s="76"/>
      <c r="O1117" s="76"/>
      <c r="P1117" s="76"/>
      <c r="Q1117" s="76"/>
      <c r="R1117" s="76"/>
      <c r="S1117" s="76"/>
      <c r="T1117" s="76"/>
      <c r="U1117" s="288">
        <f>0.022-U$1115</f>
        <v>9.9999999999999985E-3</v>
      </c>
      <c r="V1117" s="97">
        <f>0.022-V$1115</f>
        <v>9.9999999999999985E-3</v>
      </c>
      <c r="W1117" s="97">
        <f>0.022-W$1115</f>
        <v>9.9999999999999985E-3</v>
      </c>
      <c r="X1117" s="262">
        <f t="shared" ref="X1117:AB1118" si="168">W1117</f>
        <v>9.9999999999999985E-3</v>
      </c>
      <c r="Y1117" s="262">
        <f t="shared" si="168"/>
        <v>9.9999999999999985E-3</v>
      </c>
      <c r="Z1117" s="262">
        <f t="shared" si="168"/>
        <v>9.9999999999999985E-3</v>
      </c>
      <c r="AA1117" s="262">
        <f t="shared" si="168"/>
        <v>9.9999999999999985E-3</v>
      </c>
      <c r="AB1117" s="262">
        <f t="shared" si="168"/>
        <v>9.9999999999999985E-3</v>
      </c>
      <c r="AC1117" s="76"/>
      <c r="AD1117" s="76"/>
      <c r="AE1117" s="76"/>
      <c r="AF1117" s="97">
        <v>1</v>
      </c>
      <c r="AG1117" s="97">
        <v>1</v>
      </c>
      <c r="AH1117" s="73"/>
      <c r="AI1117" s="57"/>
      <c r="AJ1117" s="45"/>
      <c r="AK1117" s="45"/>
      <c r="AL1117" s="45"/>
    </row>
    <row r="1118" spans="1:38" hidden="1" outlineLevel="2" collapsed="1" x14ac:dyDescent="0.35">
      <c r="A1118" s="45"/>
      <c r="B1118" s="54"/>
      <c r="C1118" s="47">
        <f t="shared" si="166"/>
        <v>3</v>
      </c>
      <c r="D1118" s="73"/>
      <c r="E1118" s="70"/>
      <c r="F1118" s="70" t="s">
        <v>1860</v>
      </c>
      <c r="G1118" s="73"/>
      <c r="H1118" s="76" t="s">
        <v>1861</v>
      </c>
      <c r="I1118" s="96" t="s">
        <v>2186</v>
      </c>
      <c r="J1118" s="96"/>
      <c r="K1118" s="76"/>
      <c r="L1118" s="76"/>
      <c r="M1118" s="76"/>
      <c r="N1118" s="76"/>
      <c r="O1118" s="76"/>
      <c r="P1118" s="76"/>
      <c r="Q1118" s="76"/>
      <c r="R1118" s="76"/>
      <c r="S1118" s="76"/>
      <c r="T1118" s="76"/>
      <c r="U1118" s="288">
        <f>0.021-U$1115</f>
        <v>9.0000000000000011E-3</v>
      </c>
      <c r="V1118" s="97">
        <f>0.021-V$1115</f>
        <v>9.0000000000000011E-3</v>
      </c>
      <c r="W1118" s="97">
        <f>0.021-W$1115</f>
        <v>9.0000000000000011E-3</v>
      </c>
      <c r="X1118" s="262">
        <f t="shared" si="168"/>
        <v>9.0000000000000011E-3</v>
      </c>
      <c r="Y1118" s="262">
        <f t="shared" si="168"/>
        <v>9.0000000000000011E-3</v>
      </c>
      <c r="Z1118" s="262">
        <f t="shared" si="168"/>
        <v>9.0000000000000011E-3</v>
      </c>
      <c r="AA1118" s="262">
        <f t="shared" si="168"/>
        <v>9.0000000000000011E-3</v>
      </c>
      <c r="AB1118" s="262">
        <f t="shared" si="168"/>
        <v>9.0000000000000011E-3</v>
      </c>
      <c r="AC1118" s="76"/>
      <c r="AD1118" s="76"/>
      <c r="AE1118" s="76"/>
      <c r="AF1118" s="97">
        <v>1</v>
      </c>
      <c r="AG1118" s="97">
        <v>1</v>
      </c>
      <c r="AH1118" s="73"/>
      <c r="AI1118" s="57"/>
      <c r="AJ1118" s="45"/>
      <c r="AK1118" s="45"/>
      <c r="AL1118" s="45"/>
    </row>
    <row r="1119" spans="1:38" hidden="1" outlineLevel="3" x14ac:dyDescent="0.35">
      <c r="A1119" s="45"/>
      <c r="B1119" s="54"/>
      <c r="C1119" s="47">
        <f>INT($C$29)+3</f>
        <v>4</v>
      </c>
      <c r="D1119" s="73"/>
      <c r="E1119" s="70"/>
      <c r="F1119" s="70" t="s">
        <v>1862</v>
      </c>
      <c r="G1119" s="73"/>
      <c r="H1119" s="76" t="s">
        <v>1863</v>
      </c>
      <c r="I1119" s="76"/>
      <c r="J1119" s="76"/>
      <c r="K1119" s="76"/>
      <c r="L1119" s="76"/>
      <c r="M1119" s="76"/>
      <c r="N1119" s="76"/>
      <c r="O1119" s="76"/>
      <c r="P1119" s="76"/>
      <c r="Q1119" s="76"/>
      <c r="R1119" s="76"/>
      <c r="S1119" s="76"/>
      <c r="T1119" s="76"/>
      <c r="U1119" s="76">
        <v>0</v>
      </c>
      <c r="V1119" s="76">
        <v>0</v>
      </c>
      <c r="W1119" s="76">
        <v>0</v>
      </c>
      <c r="X1119" s="76">
        <v>0</v>
      </c>
      <c r="Y1119" s="76">
        <v>0</v>
      </c>
      <c r="Z1119" s="76">
        <v>0</v>
      </c>
      <c r="AA1119" s="76">
        <v>0</v>
      </c>
      <c r="AB1119" s="76">
        <v>0</v>
      </c>
      <c r="AC1119" s="76"/>
      <c r="AD1119" s="76"/>
      <c r="AE1119" s="76"/>
      <c r="AF1119" s="76">
        <v>1</v>
      </c>
      <c r="AG1119" s="76">
        <v>1</v>
      </c>
      <c r="AH1119" s="73"/>
      <c r="AI1119" s="57"/>
      <c r="AJ1119" s="45"/>
      <c r="AK1119" s="45"/>
      <c r="AL1119" s="45"/>
    </row>
    <row r="1120" spans="1:38" hidden="1" outlineLevel="3" x14ac:dyDescent="0.35">
      <c r="A1120" s="45"/>
      <c r="B1120" s="54"/>
      <c r="C1120" s="47">
        <f>INT($C$29)+3</f>
        <v>4</v>
      </c>
      <c r="D1120" s="73"/>
      <c r="E1120" s="70"/>
      <c r="F1120" s="70" t="s">
        <v>1864</v>
      </c>
      <c r="G1120" s="73"/>
      <c r="H1120" s="76" t="s">
        <v>1865</v>
      </c>
      <c r="I1120" s="76"/>
      <c r="J1120" s="76"/>
      <c r="K1120" s="76"/>
      <c r="L1120" s="76"/>
      <c r="M1120" s="76"/>
      <c r="N1120" s="76"/>
      <c r="O1120" s="76"/>
      <c r="P1120" s="76"/>
      <c r="Q1120" s="76"/>
      <c r="R1120" s="76"/>
      <c r="S1120" s="76"/>
      <c r="T1120" s="76"/>
      <c r="U1120" s="76">
        <v>0</v>
      </c>
      <c r="V1120" s="76">
        <v>0</v>
      </c>
      <c r="W1120" s="76">
        <v>0</v>
      </c>
      <c r="X1120" s="76">
        <v>0</v>
      </c>
      <c r="Y1120" s="76">
        <v>0</v>
      </c>
      <c r="Z1120" s="76">
        <v>0</v>
      </c>
      <c r="AA1120" s="76">
        <v>0</v>
      </c>
      <c r="AB1120" s="76">
        <v>0</v>
      </c>
      <c r="AC1120" s="76"/>
      <c r="AD1120" s="76"/>
      <c r="AE1120" s="76"/>
      <c r="AF1120" s="76">
        <v>1</v>
      </c>
      <c r="AG1120" s="76">
        <v>1</v>
      </c>
      <c r="AH1120" s="73"/>
      <c r="AI1120" s="57"/>
      <c r="AJ1120" s="45"/>
      <c r="AK1120" s="45"/>
      <c r="AL1120" s="45"/>
    </row>
    <row r="1121" spans="1:38" hidden="1" outlineLevel="3" x14ac:dyDescent="0.35">
      <c r="A1121" s="45"/>
      <c r="B1121" s="54"/>
      <c r="C1121" s="47">
        <f>INT($C$29)+3</f>
        <v>4</v>
      </c>
      <c r="D1121" s="73"/>
      <c r="E1121" s="70"/>
      <c r="F1121" s="70" t="s">
        <v>1866</v>
      </c>
      <c r="G1121" s="73"/>
      <c r="H1121" s="76" t="s">
        <v>1867</v>
      </c>
      <c r="I1121" s="76"/>
      <c r="J1121" s="76"/>
      <c r="K1121" s="76"/>
      <c r="L1121" s="76"/>
      <c r="M1121" s="76"/>
      <c r="N1121" s="76"/>
      <c r="O1121" s="76"/>
      <c r="P1121" s="76"/>
      <c r="Q1121" s="76"/>
      <c r="R1121" s="76"/>
      <c r="S1121" s="76"/>
      <c r="T1121" s="76"/>
      <c r="U1121" s="76">
        <v>0</v>
      </c>
      <c r="V1121" s="76">
        <v>0</v>
      </c>
      <c r="W1121" s="76">
        <v>0</v>
      </c>
      <c r="X1121" s="76">
        <v>0</v>
      </c>
      <c r="Y1121" s="76">
        <v>0</v>
      </c>
      <c r="Z1121" s="76">
        <v>0</v>
      </c>
      <c r="AA1121" s="76">
        <v>0</v>
      </c>
      <c r="AB1121" s="76">
        <v>0</v>
      </c>
      <c r="AC1121" s="76"/>
      <c r="AD1121" s="76"/>
      <c r="AE1121" s="76"/>
      <c r="AF1121" s="76">
        <v>1</v>
      </c>
      <c r="AG1121" s="76">
        <v>1</v>
      </c>
      <c r="AH1121" s="73"/>
      <c r="AI1121" s="57"/>
      <c r="AJ1121" s="45"/>
      <c r="AK1121" s="45"/>
      <c r="AL1121" s="45"/>
    </row>
    <row r="1122" spans="1:38" hidden="1" outlineLevel="2" x14ac:dyDescent="0.35">
      <c r="A1122" s="45"/>
      <c r="B1122" s="54"/>
      <c r="C1122" s="47">
        <f t="shared" si="166"/>
        <v>3</v>
      </c>
      <c r="D1122" s="73"/>
      <c r="E1122" s="70"/>
      <c r="F1122" s="70" t="s">
        <v>1868</v>
      </c>
      <c r="G1122" s="73"/>
      <c r="H1122" s="76" t="s">
        <v>1869</v>
      </c>
      <c r="I1122" s="76"/>
      <c r="J1122" s="76"/>
      <c r="K1122" s="76"/>
      <c r="L1122" s="76"/>
      <c r="M1122" s="76"/>
      <c r="N1122" s="76"/>
      <c r="O1122" s="76"/>
      <c r="P1122" s="76"/>
      <c r="Q1122" s="76"/>
      <c r="R1122" s="76"/>
      <c r="S1122" s="76"/>
      <c r="T1122" s="76"/>
      <c r="U1122" s="97">
        <v>0</v>
      </c>
      <c r="V1122" s="97">
        <v>0</v>
      </c>
      <c r="W1122" s="97">
        <v>0</v>
      </c>
      <c r="X1122" s="262">
        <f t="shared" ref="X1122:AB1123" si="169">W1122</f>
        <v>0</v>
      </c>
      <c r="Y1122" s="262">
        <f t="shared" si="169"/>
        <v>0</v>
      </c>
      <c r="Z1122" s="262">
        <f t="shared" si="169"/>
        <v>0</v>
      </c>
      <c r="AA1122" s="262">
        <f t="shared" si="169"/>
        <v>0</v>
      </c>
      <c r="AB1122" s="262">
        <f t="shared" si="169"/>
        <v>0</v>
      </c>
      <c r="AC1122" s="76"/>
      <c r="AD1122" s="97" t="s">
        <v>2184</v>
      </c>
      <c r="AE1122" s="76"/>
      <c r="AF1122" s="97">
        <v>1</v>
      </c>
      <c r="AG1122" s="97">
        <v>1</v>
      </c>
      <c r="AH1122" s="73"/>
      <c r="AI1122" s="57"/>
      <c r="AJ1122" s="45"/>
      <c r="AK1122" s="45"/>
      <c r="AL1122" s="45"/>
    </row>
    <row r="1123" spans="1:38" hidden="1" outlineLevel="2" x14ac:dyDescent="0.35">
      <c r="A1123" s="45"/>
      <c r="B1123" s="54"/>
      <c r="C1123" s="47">
        <f t="shared" si="166"/>
        <v>3</v>
      </c>
      <c r="D1123" s="73"/>
      <c r="E1123" s="70"/>
      <c r="F1123" s="70" t="s">
        <v>1870</v>
      </c>
      <c r="G1123" s="73"/>
      <c r="H1123" s="76" t="s">
        <v>1871</v>
      </c>
      <c r="I1123" s="96" t="s">
        <v>2189</v>
      </c>
      <c r="J1123" s="96"/>
      <c r="K1123" s="76"/>
      <c r="L1123" s="76"/>
      <c r="M1123" s="76"/>
      <c r="N1123" s="76"/>
      <c r="O1123" s="76"/>
      <c r="P1123" s="76"/>
      <c r="Q1123" s="76"/>
      <c r="R1123" s="76"/>
      <c r="S1123" s="76"/>
      <c r="T1123" s="76"/>
      <c r="U1123" s="97">
        <v>0</v>
      </c>
      <c r="V1123" s="97">
        <v>0</v>
      </c>
      <c r="W1123" s="97">
        <v>0</v>
      </c>
      <c r="X1123" s="262">
        <f t="shared" si="169"/>
        <v>0</v>
      </c>
      <c r="Y1123" s="262">
        <f t="shared" si="169"/>
        <v>0</v>
      </c>
      <c r="Z1123" s="262">
        <f t="shared" si="169"/>
        <v>0</v>
      </c>
      <c r="AA1123" s="262">
        <f t="shared" si="169"/>
        <v>0</v>
      </c>
      <c r="AB1123" s="262">
        <f t="shared" si="169"/>
        <v>0</v>
      </c>
      <c r="AC1123" s="76"/>
      <c r="AD1123" s="97" t="s">
        <v>1872</v>
      </c>
      <c r="AE1123" s="76"/>
      <c r="AF1123" s="97">
        <v>1</v>
      </c>
      <c r="AG1123" s="97">
        <v>1</v>
      </c>
      <c r="AH1123" s="73"/>
      <c r="AI1123" s="57"/>
      <c r="AJ1123" s="45"/>
      <c r="AK1123" s="45"/>
      <c r="AL1123" s="45"/>
    </row>
    <row r="1124" spans="1:38" hidden="1" outlineLevel="2" x14ac:dyDescent="0.35">
      <c r="A1124" s="45"/>
      <c r="B1124" s="54"/>
      <c r="C1124" s="47">
        <f t="shared" si="166"/>
        <v>3</v>
      </c>
      <c r="D1124" s="73"/>
      <c r="E1124" s="70"/>
      <c r="F1124" s="70" t="s">
        <v>1873</v>
      </c>
      <c r="G1124" s="73"/>
      <c r="H1124" s="76" t="s">
        <v>1874</v>
      </c>
      <c r="I1124" s="96"/>
      <c r="J1124" s="96"/>
      <c r="K1124" s="76"/>
      <c r="L1124" s="76"/>
      <c r="M1124" s="76"/>
      <c r="N1124" s="76"/>
      <c r="O1124" s="76"/>
      <c r="P1124" s="76"/>
      <c r="Q1124" s="76"/>
      <c r="R1124" s="76"/>
      <c r="S1124" s="76"/>
      <c r="T1124" s="76"/>
      <c r="U1124" s="260">
        <f t="shared" ref="U1124:AB1124" si="170">U1125</f>
        <v>-1.9E-2</v>
      </c>
      <c r="V1124" s="260">
        <f t="shared" si="170"/>
        <v>-1.9E-2</v>
      </c>
      <c r="W1124" s="260">
        <f t="shared" si="170"/>
        <v>-1.9E-2</v>
      </c>
      <c r="X1124" s="260">
        <f t="shared" si="170"/>
        <v>-1.9E-2</v>
      </c>
      <c r="Y1124" s="260">
        <f t="shared" si="170"/>
        <v>-1.9E-2</v>
      </c>
      <c r="Z1124" s="260">
        <f t="shared" si="170"/>
        <v>-1.9E-2</v>
      </c>
      <c r="AA1124" s="260">
        <f t="shared" si="170"/>
        <v>-1.9E-2</v>
      </c>
      <c r="AB1124" s="260">
        <f t="shared" si="170"/>
        <v>-1.9E-2</v>
      </c>
      <c r="AC1124" s="76"/>
      <c r="AD1124" s="76"/>
      <c r="AE1124" s="76"/>
      <c r="AF1124" s="260">
        <f>AF1125</f>
        <v>1</v>
      </c>
      <c r="AG1124" s="260">
        <f>AG1125</f>
        <v>1</v>
      </c>
      <c r="AH1124" s="73"/>
      <c r="AI1124" s="57"/>
      <c r="AJ1124" s="45"/>
      <c r="AK1124" s="45"/>
      <c r="AL1124" s="45"/>
    </row>
    <row r="1125" spans="1:38" hidden="1" outlineLevel="2" x14ac:dyDescent="0.35">
      <c r="A1125" s="45"/>
      <c r="B1125" s="54"/>
      <c r="C1125" s="47">
        <f t="shared" si="166"/>
        <v>3</v>
      </c>
      <c r="D1125" s="73"/>
      <c r="E1125" s="70"/>
      <c r="F1125" s="70" t="s">
        <v>1875</v>
      </c>
      <c r="G1125" s="73"/>
      <c r="H1125" s="76" t="s">
        <v>1876</v>
      </c>
      <c r="I1125" s="96" t="s">
        <v>2188</v>
      </c>
      <c r="J1125" s="96"/>
      <c r="K1125" s="76"/>
      <c r="L1125" s="76"/>
      <c r="M1125" s="76"/>
      <c r="N1125" s="76"/>
      <c r="O1125" s="76"/>
      <c r="P1125" s="76"/>
      <c r="Q1125" s="76"/>
      <c r="R1125" s="76"/>
      <c r="S1125" s="76"/>
      <c r="T1125" s="76"/>
      <c r="U1125" s="97">
        <f>-0.019-U$1123</f>
        <v>-1.9E-2</v>
      </c>
      <c r="V1125" s="97">
        <f>-0.019-V$1123</f>
        <v>-1.9E-2</v>
      </c>
      <c r="W1125" s="97">
        <f>-0.019-W$1123</f>
        <v>-1.9E-2</v>
      </c>
      <c r="X1125" s="262">
        <f t="shared" ref="X1125:AB1126" si="171">W1125</f>
        <v>-1.9E-2</v>
      </c>
      <c r="Y1125" s="262">
        <f t="shared" si="171"/>
        <v>-1.9E-2</v>
      </c>
      <c r="Z1125" s="262">
        <f t="shared" si="171"/>
        <v>-1.9E-2</v>
      </c>
      <c r="AA1125" s="262">
        <f t="shared" si="171"/>
        <v>-1.9E-2</v>
      </c>
      <c r="AB1125" s="262">
        <f t="shared" si="171"/>
        <v>-1.9E-2</v>
      </c>
      <c r="AC1125" s="76"/>
      <c r="AD1125" s="76"/>
      <c r="AE1125" s="76"/>
      <c r="AF1125" s="97">
        <v>1</v>
      </c>
      <c r="AG1125" s="97">
        <v>1</v>
      </c>
      <c r="AH1125" s="73"/>
      <c r="AI1125" s="57"/>
      <c r="AJ1125" s="45"/>
      <c r="AK1125" s="45"/>
      <c r="AL1125" s="45"/>
    </row>
    <row r="1126" spans="1:38" hidden="1" outlineLevel="2" collapsed="1" x14ac:dyDescent="0.35">
      <c r="A1126" s="45"/>
      <c r="B1126" s="54"/>
      <c r="C1126" s="47">
        <f t="shared" si="166"/>
        <v>3</v>
      </c>
      <c r="D1126" s="73"/>
      <c r="E1126" s="70"/>
      <c r="F1126" s="70" t="s">
        <v>1877</v>
      </c>
      <c r="G1126" s="73"/>
      <c r="H1126" s="76" t="s">
        <v>1878</v>
      </c>
      <c r="I1126" s="96" t="s">
        <v>2188</v>
      </c>
      <c r="J1126" s="96"/>
      <c r="K1126" s="76"/>
      <c r="L1126" s="76"/>
      <c r="M1126" s="76"/>
      <c r="N1126" s="76"/>
      <c r="O1126" s="76"/>
      <c r="P1126" s="76"/>
      <c r="Q1126" s="76"/>
      <c r="R1126" s="76"/>
      <c r="S1126" s="76"/>
      <c r="T1126" s="76"/>
      <c r="U1126" s="97">
        <f>-0.031-U$1123</f>
        <v>-3.1E-2</v>
      </c>
      <c r="V1126" s="97">
        <f>-0.031-V$1123</f>
        <v>-3.1E-2</v>
      </c>
      <c r="W1126" s="97">
        <f>-0.031-W$1123</f>
        <v>-3.1E-2</v>
      </c>
      <c r="X1126" s="262">
        <f t="shared" si="171"/>
        <v>-3.1E-2</v>
      </c>
      <c r="Y1126" s="262">
        <f t="shared" si="171"/>
        <v>-3.1E-2</v>
      </c>
      <c r="Z1126" s="262">
        <f t="shared" si="171"/>
        <v>-3.1E-2</v>
      </c>
      <c r="AA1126" s="262">
        <f t="shared" si="171"/>
        <v>-3.1E-2</v>
      </c>
      <c r="AB1126" s="262">
        <f t="shared" si="171"/>
        <v>-3.1E-2</v>
      </c>
      <c r="AC1126" s="76"/>
      <c r="AD1126" s="76"/>
      <c r="AE1126" s="76"/>
      <c r="AF1126" s="97">
        <v>1</v>
      </c>
      <c r="AG1126" s="97">
        <v>1</v>
      </c>
      <c r="AH1126" s="73"/>
      <c r="AI1126" s="57"/>
      <c r="AJ1126" s="45"/>
      <c r="AK1126" s="45"/>
      <c r="AL1126" s="45"/>
    </row>
    <row r="1127" spans="1:38" hidden="1" outlineLevel="3" x14ac:dyDescent="0.35">
      <c r="A1127" s="45"/>
      <c r="B1127" s="54"/>
      <c r="C1127" s="47">
        <f>INT($C$29)+3</f>
        <v>4</v>
      </c>
      <c r="D1127" s="73"/>
      <c r="E1127" s="70"/>
      <c r="F1127" s="70" t="s">
        <v>1879</v>
      </c>
      <c r="G1127" s="73"/>
      <c r="H1127" s="76" t="s">
        <v>1880</v>
      </c>
      <c r="I1127" s="76"/>
      <c r="J1127" s="76"/>
      <c r="K1127" s="76"/>
      <c r="L1127" s="76"/>
      <c r="M1127" s="76"/>
      <c r="N1127" s="76"/>
      <c r="O1127" s="76"/>
      <c r="P1127" s="76"/>
      <c r="Q1127" s="76"/>
      <c r="R1127" s="76"/>
      <c r="S1127" s="76"/>
      <c r="T1127" s="76"/>
      <c r="U1127" s="76">
        <v>0</v>
      </c>
      <c r="V1127" s="76">
        <v>0</v>
      </c>
      <c r="W1127" s="76">
        <v>0</v>
      </c>
      <c r="X1127" s="76">
        <v>0</v>
      </c>
      <c r="Y1127" s="76">
        <v>0</v>
      </c>
      <c r="Z1127" s="76">
        <v>0</v>
      </c>
      <c r="AA1127" s="76">
        <v>0</v>
      </c>
      <c r="AB1127" s="76">
        <v>0</v>
      </c>
      <c r="AC1127" s="76"/>
      <c r="AD1127" s="76"/>
      <c r="AE1127" s="76"/>
      <c r="AF1127" s="76">
        <v>1</v>
      </c>
      <c r="AG1127" s="76">
        <v>1</v>
      </c>
      <c r="AH1127" s="73"/>
      <c r="AI1127" s="57"/>
      <c r="AJ1127" s="45"/>
      <c r="AK1127" s="45"/>
      <c r="AL1127" s="45"/>
    </row>
    <row r="1128" spans="1:38" hidden="1" outlineLevel="3" x14ac:dyDescent="0.35">
      <c r="A1128" s="45"/>
      <c r="B1128" s="54"/>
      <c r="C1128" s="47">
        <f>INT($C$29)+3</f>
        <v>4</v>
      </c>
      <c r="D1128" s="73"/>
      <c r="E1128" s="70"/>
      <c r="F1128" s="70" t="s">
        <v>1881</v>
      </c>
      <c r="G1128" s="73"/>
      <c r="H1128" s="76" t="s">
        <v>1882</v>
      </c>
      <c r="I1128" s="76"/>
      <c r="J1128" s="76"/>
      <c r="K1128" s="76"/>
      <c r="L1128" s="76"/>
      <c r="M1128" s="76"/>
      <c r="N1128" s="76"/>
      <c r="O1128" s="76"/>
      <c r="P1128" s="76"/>
      <c r="Q1128" s="76"/>
      <c r="R1128" s="76"/>
      <c r="S1128" s="76"/>
      <c r="T1128" s="76"/>
      <c r="U1128" s="76">
        <v>0</v>
      </c>
      <c r="V1128" s="76">
        <v>0</v>
      </c>
      <c r="W1128" s="76">
        <v>0</v>
      </c>
      <c r="X1128" s="76">
        <v>0</v>
      </c>
      <c r="Y1128" s="76">
        <v>0</v>
      </c>
      <c r="Z1128" s="76">
        <v>0</v>
      </c>
      <c r="AA1128" s="76">
        <v>0</v>
      </c>
      <c r="AB1128" s="76">
        <v>0</v>
      </c>
      <c r="AC1128" s="76"/>
      <c r="AD1128" s="76"/>
      <c r="AE1128" s="76"/>
      <c r="AF1128" s="76">
        <v>1</v>
      </c>
      <c r="AG1128" s="76">
        <v>1</v>
      </c>
      <c r="AH1128" s="73"/>
      <c r="AI1128" s="57"/>
      <c r="AJ1128" s="45"/>
      <c r="AK1128" s="45"/>
      <c r="AL1128" s="45"/>
    </row>
    <row r="1129" spans="1:38" hidden="1" outlineLevel="3" x14ac:dyDescent="0.35">
      <c r="A1129" s="45"/>
      <c r="B1129" s="54"/>
      <c r="C1129" s="47">
        <f>INT($C$29)+3</f>
        <v>4</v>
      </c>
      <c r="D1129" s="73"/>
      <c r="E1129" s="70"/>
      <c r="F1129" s="70" t="s">
        <v>1883</v>
      </c>
      <c r="G1129" s="73"/>
      <c r="H1129" s="76" t="s">
        <v>1884</v>
      </c>
      <c r="I1129" s="76"/>
      <c r="J1129" s="76"/>
      <c r="K1129" s="76"/>
      <c r="L1129" s="76"/>
      <c r="M1129" s="76"/>
      <c r="N1129" s="76"/>
      <c r="O1129" s="76"/>
      <c r="P1129" s="76"/>
      <c r="Q1129" s="76"/>
      <c r="R1129" s="76"/>
      <c r="S1129" s="76"/>
      <c r="T1129" s="76"/>
      <c r="U1129" s="76">
        <v>0</v>
      </c>
      <c r="V1129" s="76">
        <v>0</v>
      </c>
      <c r="W1129" s="76">
        <v>0</v>
      </c>
      <c r="X1129" s="76">
        <v>0</v>
      </c>
      <c r="Y1129" s="76">
        <v>0</v>
      </c>
      <c r="Z1129" s="76">
        <v>0</v>
      </c>
      <c r="AA1129" s="76">
        <v>0</v>
      </c>
      <c r="AB1129" s="76">
        <v>0</v>
      </c>
      <c r="AC1129" s="76"/>
      <c r="AD1129" s="76"/>
      <c r="AE1129" s="76"/>
      <c r="AF1129" s="76">
        <v>1</v>
      </c>
      <c r="AG1129" s="76">
        <v>1</v>
      </c>
      <c r="AH1129" s="73"/>
      <c r="AI1129" s="57"/>
      <c r="AJ1129" s="45"/>
      <c r="AK1129" s="45"/>
      <c r="AL1129" s="45"/>
    </row>
    <row r="1130" spans="1:38" hidden="1" outlineLevel="2" collapsed="1" x14ac:dyDescent="0.35">
      <c r="A1130" s="45"/>
      <c r="B1130" s="54"/>
      <c r="C1130" s="47">
        <f t="shared" si="166"/>
        <v>3</v>
      </c>
      <c r="D1130" s="73"/>
      <c r="E1130" s="70"/>
      <c r="F1130" s="70" t="s">
        <v>1885</v>
      </c>
      <c r="G1130" s="73"/>
      <c r="H1130" s="76" t="s">
        <v>1764</v>
      </c>
      <c r="I1130" s="76"/>
      <c r="J1130" s="76"/>
      <c r="K1130" s="76"/>
      <c r="L1130" s="76"/>
      <c r="M1130" s="76"/>
      <c r="N1130" s="76"/>
      <c r="O1130" s="76"/>
      <c r="P1130" s="76"/>
      <c r="Q1130" s="76"/>
      <c r="R1130" s="76"/>
      <c r="S1130" s="76"/>
      <c r="T1130" s="76"/>
      <c r="U1130" s="97">
        <v>0</v>
      </c>
      <c r="V1130" s="97">
        <v>0</v>
      </c>
      <c r="W1130" s="97">
        <v>0</v>
      </c>
      <c r="X1130" s="262">
        <f>W1130</f>
        <v>0</v>
      </c>
      <c r="Y1130" s="262">
        <f>X1130</f>
        <v>0</v>
      </c>
      <c r="Z1130" s="262">
        <f>Y1130</f>
        <v>0</v>
      </c>
      <c r="AA1130" s="262">
        <f>Z1130</f>
        <v>0</v>
      </c>
      <c r="AB1130" s="262">
        <f>AA1130</f>
        <v>0</v>
      </c>
      <c r="AC1130" s="76"/>
      <c r="AD1130" s="97" t="s">
        <v>2184</v>
      </c>
      <c r="AE1130" s="76"/>
      <c r="AF1130" s="97">
        <v>1</v>
      </c>
      <c r="AG1130" s="97">
        <v>1</v>
      </c>
      <c r="AH1130" s="73"/>
      <c r="AI1130" s="57"/>
      <c r="AJ1130" s="45"/>
      <c r="AK1130" s="45"/>
      <c r="AL1130" s="45"/>
    </row>
    <row r="1131" spans="1:38" hidden="1" outlineLevel="3" x14ac:dyDescent="0.35">
      <c r="A1131" s="45"/>
      <c r="B1131" s="54"/>
      <c r="C1131" s="47">
        <f t="shared" ref="C1131:C1146" si="172">INT($C$29)+3</f>
        <v>4</v>
      </c>
      <c r="D1131" s="73"/>
      <c r="E1131" s="70"/>
      <c r="F1131" s="70" t="s">
        <v>1886</v>
      </c>
      <c r="G1131" s="73"/>
      <c r="H1131" s="76" t="s">
        <v>616</v>
      </c>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f t="shared" si="172"/>
        <v>4</v>
      </c>
      <c r="D1132" s="73"/>
      <c r="E1132" s="70"/>
      <c r="F1132" s="70" t="s">
        <v>1887</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172"/>
        <v>4</v>
      </c>
      <c r="D1133" s="73"/>
      <c r="E1133" s="70"/>
      <c r="F1133" s="70" t="s">
        <v>1888</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172"/>
        <v>4</v>
      </c>
      <c r="D1134" s="73"/>
      <c r="E1134" s="70"/>
      <c r="F1134" s="70" t="s">
        <v>1889</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172"/>
        <v>4</v>
      </c>
      <c r="D1135" s="73"/>
      <c r="E1135" s="70"/>
      <c r="F1135" s="70" t="s">
        <v>1890</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172"/>
        <v>4</v>
      </c>
      <c r="D1136" s="73"/>
      <c r="E1136" s="70"/>
      <c r="F1136" s="70" t="s">
        <v>1891</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172"/>
        <v>4</v>
      </c>
      <c r="D1137" s="73"/>
      <c r="E1137" s="70"/>
      <c r="F1137" s="70" t="s">
        <v>1892</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172"/>
        <v>4</v>
      </c>
      <c r="D1138" s="73"/>
      <c r="E1138" s="70"/>
      <c r="F1138" s="70" t="s">
        <v>1893</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172"/>
        <v>4</v>
      </c>
      <c r="D1139" s="73"/>
      <c r="E1139" s="70"/>
      <c r="F1139" s="70" t="s">
        <v>1894</v>
      </c>
      <c r="G1139" s="73"/>
      <c r="H1139" s="76" t="s">
        <v>616</v>
      </c>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172"/>
        <v>4</v>
      </c>
      <c r="D1140" s="73"/>
      <c r="E1140" s="70"/>
      <c r="F1140" s="70" t="s">
        <v>1895</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172"/>
        <v>4</v>
      </c>
      <c r="D1141" s="73"/>
      <c r="E1141" s="70"/>
      <c r="F1141" s="70" t="s">
        <v>1896</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172"/>
        <v>4</v>
      </c>
      <c r="D1142" s="73"/>
      <c r="E1142" s="70"/>
      <c r="F1142" s="70" t="s">
        <v>1897</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35">
      <c r="A1143" s="45"/>
      <c r="B1143" s="54"/>
      <c r="C1143" s="47">
        <f t="shared" si="172"/>
        <v>4</v>
      </c>
      <c r="D1143" s="73"/>
      <c r="E1143" s="70"/>
      <c r="F1143" s="70" t="s">
        <v>1898</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35">
      <c r="A1144" s="45"/>
      <c r="B1144" s="54"/>
      <c r="C1144" s="47">
        <f t="shared" si="172"/>
        <v>4</v>
      </c>
      <c r="D1144" s="73"/>
      <c r="E1144" s="70"/>
      <c r="F1144" s="70" t="s">
        <v>1899</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35">
      <c r="A1145" s="45"/>
      <c r="B1145" s="54"/>
      <c r="C1145" s="47">
        <f t="shared" si="172"/>
        <v>4</v>
      </c>
      <c r="D1145" s="73"/>
      <c r="E1145" s="70"/>
      <c r="F1145" s="70" t="s">
        <v>1900</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35">
      <c r="A1146" s="45"/>
      <c r="B1146" s="54"/>
      <c r="C1146" s="47">
        <f t="shared" si="172"/>
        <v>4</v>
      </c>
      <c r="D1146" s="73"/>
      <c r="E1146" s="416"/>
      <c r="F1146" s="416" t="s">
        <v>1901</v>
      </c>
      <c r="G1146" s="73"/>
      <c r="H1146" s="109"/>
      <c r="I1146" s="109"/>
      <c r="J1146" s="109"/>
      <c r="K1146" s="109"/>
      <c r="L1146" s="109"/>
      <c r="M1146" s="109"/>
      <c r="N1146" s="109"/>
      <c r="O1146" s="109"/>
      <c r="P1146" s="109"/>
      <c r="Q1146" s="109"/>
      <c r="R1146" s="109"/>
      <c r="S1146" s="109"/>
      <c r="T1146" s="109"/>
      <c r="U1146" s="109"/>
      <c r="V1146" s="109"/>
      <c r="W1146" s="109"/>
      <c r="X1146" s="109"/>
      <c r="Y1146" s="109"/>
      <c r="Z1146" s="109"/>
      <c r="AA1146" s="109"/>
      <c r="AB1146" s="109"/>
      <c r="AC1146" s="109"/>
      <c r="AD1146" s="109"/>
      <c r="AE1146" s="109"/>
      <c r="AF1146" s="109">
        <v>1</v>
      </c>
      <c r="AG1146" s="109">
        <v>1</v>
      </c>
      <c r="AH1146" s="73"/>
      <c r="AI1146" s="57"/>
      <c r="AJ1146" s="45"/>
      <c r="AK1146" s="45"/>
      <c r="AL1146" s="45"/>
    </row>
    <row r="1147" spans="1:38" hidden="1" outlineLevel="2" x14ac:dyDescent="0.35">
      <c r="A1147" s="45"/>
      <c r="B1147" s="54"/>
      <c r="C1147" s="47">
        <f t="shared" si="166"/>
        <v>3</v>
      </c>
      <c r="D1147" s="73"/>
      <c r="E1147" s="420"/>
      <c r="F1147" s="420" t="s">
        <v>1902</v>
      </c>
      <c r="G1147" s="421"/>
      <c r="H1147" s="188" t="s">
        <v>1903</v>
      </c>
      <c r="I1147" s="158"/>
      <c r="J1147" s="158"/>
      <c r="K1147" s="188"/>
      <c r="L1147" s="188"/>
      <c r="M1147" s="188"/>
      <c r="N1147" s="188"/>
      <c r="O1147" s="188"/>
      <c r="P1147" s="188"/>
      <c r="Q1147" s="188"/>
      <c r="R1147" s="188"/>
      <c r="S1147" s="188"/>
      <c r="T1147" s="188"/>
      <c r="U1147" s="422">
        <v>3.024E-2</v>
      </c>
      <c r="V1147" s="423">
        <f>U1147</f>
        <v>3.024E-2</v>
      </c>
      <c r="W1147" s="423">
        <f>V1147</f>
        <v>3.024E-2</v>
      </c>
      <c r="X1147" s="423">
        <f>Y1147</f>
        <v>2.248E-2</v>
      </c>
      <c r="Y1147" s="422">
        <v>2.248E-2</v>
      </c>
      <c r="Z1147" s="423">
        <f>Y1147</f>
        <v>2.248E-2</v>
      </c>
      <c r="AA1147" s="423">
        <f>Z1147</f>
        <v>2.248E-2</v>
      </c>
      <c r="AB1147" s="423">
        <f>AA1147</f>
        <v>2.248E-2</v>
      </c>
      <c r="AC1147" s="188"/>
      <c r="AD1147" s="422" t="s">
        <v>1904</v>
      </c>
      <c r="AE1147" s="188"/>
      <c r="AF1147" s="422">
        <v>1</v>
      </c>
      <c r="AG1147" s="422">
        <v>1</v>
      </c>
      <c r="AH1147" s="73"/>
      <c r="AI1147" s="57"/>
      <c r="AJ1147" s="45"/>
      <c r="AK1147" s="45"/>
      <c r="AL1147" s="45"/>
    </row>
    <row r="1148" spans="1:38" hidden="1" outlineLevel="2" x14ac:dyDescent="0.35">
      <c r="A1148" s="45"/>
      <c r="B1148" s="54"/>
      <c r="C1148" s="47">
        <f t="shared" si="166"/>
        <v>3</v>
      </c>
      <c r="D1148" s="73"/>
      <c r="E1148" s="70"/>
      <c r="F1148" s="70" t="s">
        <v>1905</v>
      </c>
      <c r="G1148" s="241"/>
      <c r="H1148" s="76" t="s">
        <v>1906</v>
      </c>
      <c r="I1148" s="96"/>
      <c r="J1148" s="96"/>
      <c r="K1148" s="76"/>
      <c r="L1148" s="76"/>
      <c r="M1148" s="76"/>
      <c r="N1148" s="76"/>
      <c r="O1148" s="76"/>
      <c r="P1148" s="76"/>
      <c r="Q1148" s="76"/>
      <c r="R1148" s="76"/>
      <c r="S1148" s="76"/>
      <c r="T1148" s="76"/>
      <c r="U1148" s="260">
        <f t="shared" ref="U1148:AB1148" si="173">U1149</f>
        <v>8.5699999999999995E-3</v>
      </c>
      <c r="V1148" s="260">
        <f t="shared" si="173"/>
        <v>8.5699999999999995E-3</v>
      </c>
      <c r="W1148" s="260">
        <f t="shared" si="173"/>
        <v>8.5699999999999995E-3</v>
      </c>
      <c r="X1148" s="260">
        <f t="shared" si="173"/>
        <v>2.7799999999999999E-3</v>
      </c>
      <c r="Y1148" s="260">
        <f t="shared" si="173"/>
        <v>2.7799999999999999E-3</v>
      </c>
      <c r="Z1148" s="260">
        <f t="shared" si="173"/>
        <v>2.7799999999999999E-3</v>
      </c>
      <c r="AA1148" s="260">
        <f t="shared" si="173"/>
        <v>2.7799999999999999E-3</v>
      </c>
      <c r="AB1148" s="260">
        <f t="shared" si="173"/>
        <v>2.7799999999999999E-3</v>
      </c>
      <c r="AC1148" s="76"/>
      <c r="AD1148" s="97" t="s">
        <v>2197</v>
      </c>
      <c r="AE1148" s="76"/>
      <c r="AF1148" s="260">
        <f>AF1149</f>
        <v>1</v>
      </c>
      <c r="AG1148" s="260">
        <f>AG1149</f>
        <v>1</v>
      </c>
      <c r="AH1148" s="73"/>
      <c r="AI1148" s="57"/>
      <c r="AJ1148" s="45"/>
      <c r="AK1148" s="45"/>
      <c r="AL1148" s="45"/>
    </row>
    <row r="1149" spans="1:38" hidden="1" outlineLevel="2" x14ac:dyDescent="0.35">
      <c r="A1149" s="45"/>
      <c r="B1149" s="54"/>
      <c r="C1149" s="47">
        <f t="shared" si="166"/>
        <v>3</v>
      </c>
      <c r="D1149" s="73"/>
      <c r="E1149" s="70"/>
      <c r="F1149" s="70" t="s">
        <v>1907</v>
      </c>
      <c r="G1149" s="241"/>
      <c r="H1149" s="76" t="s">
        <v>1908</v>
      </c>
      <c r="I1149" s="96"/>
      <c r="J1149" s="96"/>
      <c r="K1149" s="76"/>
      <c r="L1149" s="76"/>
      <c r="M1149" s="76"/>
      <c r="N1149" s="76"/>
      <c r="O1149" s="76"/>
      <c r="P1149" s="76"/>
      <c r="Q1149" s="76"/>
      <c r="R1149" s="76"/>
      <c r="S1149" s="76"/>
      <c r="T1149" s="76"/>
      <c r="U1149" s="97">
        <v>8.5699999999999995E-3</v>
      </c>
      <c r="V1149" s="418">
        <f>U1149</f>
        <v>8.5699999999999995E-3</v>
      </c>
      <c r="W1149" s="418">
        <f>V1149</f>
        <v>8.5699999999999995E-3</v>
      </c>
      <c r="X1149" s="418">
        <f>Y1149</f>
        <v>2.7799999999999999E-3</v>
      </c>
      <c r="Y1149" s="97">
        <v>2.7799999999999999E-3</v>
      </c>
      <c r="Z1149" s="418">
        <f t="shared" ref="Z1149:AB1150" si="174">Y1149</f>
        <v>2.7799999999999999E-3</v>
      </c>
      <c r="AA1149" s="418">
        <f t="shared" si="174"/>
        <v>2.7799999999999999E-3</v>
      </c>
      <c r="AB1149" s="418">
        <f t="shared" si="174"/>
        <v>2.7799999999999999E-3</v>
      </c>
      <c r="AC1149" s="76"/>
      <c r="AD1149" s="76"/>
      <c r="AE1149" s="76"/>
      <c r="AF1149" s="97">
        <v>1</v>
      </c>
      <c r="AG1149" s="97">
        <v>1</v>
      </c>
      <c r="AH1149" s="73"/>
      <c r="AI1149" s="57"/>
      <c r="AJ1149" s="45"/>
      <c r="AK1149" s="45"/>
      <c r="AL1149" s="45"/>
    </row>
    <row r="1150" spans="1:38" hidden="1" outlineLevel="2" collapsed="1" x14ac:dyDescent="0.35">
      <c r="A1150" s="45"/>
      <c r="B1150" s="54"/>
      <c r="C1150" s="47">
        <f t="shared" si="166"/>
        <v>3</v>
      </c>
      <c r="D1150" s="73"/>
      <c r="E1150" s="70"/>
      <c r="F1150" s="70" t="s">
        <v>1909</v>
      </c>
      <c r="G1150" s="241"/>
      <c r="H1150" s="76" t="s">
        <v>1910</v>
      </c>
      <c r="I1150" s="96"/>
      <c r="J1150" s="96"/>
      <c r="K1150" s="76"/>
      <c r="L1150" s="76"/>
      <c r="M1150" s="76"/>
      <c r="N1150" s="76"/>
      <c r="O1150" s="76"/>
      <c r="P1150" s="76"/>
      <c r="Q1150" s="76"/>
      <c r="R1150" s="76"/>
      <c r="S1150" s="76"/>
      <c r="T1150" s="76"/>
      <c r="U1150" s="97">
        <v>1.626E-2</v>
      </c>
      <c r="V1150" s="418">
        <f>U1150</f>
        <v>1.626E-2</v>
      </c>
      <c r="W1150" s="418">
        <f>V1150</f>
        <v>1.626E-2</v>
      </c>
      <c r="X1150" s="418">
        <f>Y1150</f>
        <v>1.6129999999999999E-2</v>
      </c>
      <c r="Y1150" s="97">
        <v>1.6129999999999999E-2</v>
      </c>
      <c r="Z1150" s="418">
        <f t="shared" si="174"/>
        <v>1.6129999999999999E-2</v>
      </c>
      <c r="AA1150" s="418">
        <f t="shared" si="174"/>
        <v>1.6129999999999999E-2</v>
      </c>
      <c r="AB1150" s="418">
        <f t="shared" si="174"/>
        <v>1.6129999999999999E-2</v>
      </c>
      <c r="AC1150" s="76"/>
      <c r="AD1150" s="76"/>
      <c r="AE1150" s="76"/>
      <c r="AF1150" s="97">
        <v>1</v>
      </c>
      <c r="AG1150" s="97">
        <v>1</v>
      </c>
      <c r="AH1150" s="73"/>
      <c r="AI1150" s="57"/>
      <c r="AJ1150" s="45"/>
      <c r="AK1150" s="45"/>
      <c r="AL1150" s="45"/>
    </row>
    <row r="1151" spans="1:38" hidden="1" outlineLevel="3" x14ac:dyDescent="0.35">
      <c r="A1151" s="45"/>
      <c r="B1151" s="54"/>
      <c r="C1151" s="47">
        <f>INT($C$29)+3</f>
        <v>4</v>
      </c>
      <c r="D1151" s="73"/>
      <c r="E1151" s="70"/>
      <c r="F1151" s="70" t="s">
        <v>1911</v>
      </c>
      <c r="G1151" s="241"/>
      <c r="H1151" s="76" t="s">
        <v>1912</v>
      </c>
      <c r="I1151" s="76"/>
      <c r="J1151" s="76"/>
      <c r="K1151" s="76"/>
      <c r="L1151" s="76"/>
      <c r="M1151" s="76"/>
      <c r="N1151" s="76"/>
      <c r="O1151" s="76"/>
      <c r="P1151" s="76"/>
      <c r="Q1151" s="76"/>
      <c r="R1151" s="76"/>
      <c r="S1151" s="76"/>
      <c r="T1151" s="76"/>
      <c r="U1151" s="76">
        <v>0</v>
      </c>
      <c r="V1151" s="76">
        <v>0</v>
      </c>
      <c r="W1151" s="76">
        <v>0</v>
      </c>
      <c r="X1151" s="76">
        <v>0</v>
      </c>
      <c r="Y1151" s="76">
        <v>0</v>
      </c>
      <c r="Z1151" s="76">
        <v>0</v>
      </c>
      <c r="AA1151" s="76">
        <v>0</v>
      </c>
      <c r="AB1151" s="76">
        <v>0</v>
      </c>
      <c r="AC1151" s="76"/>
      <c r="AD1151" s="76"/>
      <c r="AE1151" s="76"/>
      <c r="AF1151" s="76">
        <v>1</v>
      </c>
      <c r="AG1151" s="76">
        <v>1</v>
      </c>
      <c r="AH1151" s="73"/>
      <c r="AI1151" s="57"/>
      <c r="AJ1151" s="45"/>
      <c r="AK1151" s="45"/>
      <c r="AL1151" s="45"/>
    </row>
    <row r="1152" spans="1:38" hidden="1" outlineLevel="3" x14ac:dyDescent="0.35">
      <c r="A1152" s="45"/>
      <c r="B1152" s="54"/>
      <c r="C1152" s="47">
        <f>INT($C$29)+3</f>
        <v>4</v>
      </c>
      <c r="D1152" s="73"/>
      <c r="E1152" s="70"/>
      <c r="F1152" s="70" t="s">
        <v>1913</v>
      </c>
      <c r="G1152" s="241"/>
      <c r="H1152" s="76" t="s">
        <v>1914</v>
      </c>
      <c r="I1152" s="76"/>
      <c r="J1152" s="76"/>
      <c r="K1152" s="76"/>
      <c r="L1152" s="76"/>
      <c r="M1152" s="76"/>
      <c r="N1152" s="76"/>
      <c r="O1152" s="76"/>
      <c r="P1152" s="76"/>
      <c r="Q1152" s="76"/>
      <c r="R1152" s="76"/>
      <c r="S1152" s="76"/>
      <c r="T1152" s="76"/>
      <c r="U1152" s="76">
        <v>0</v>
      </c>
      <c r="V1152" s="76">
        <v>0</v>
      </c>
      <c r="W1152" s="76">
        <v>0</v>
      </c>
      <c r="X1152" s="76">
        <v>0</v>
      </c>
      <c r="Y1152" s="76">
        <v>0</v>
      </c>
      <c r="Z1152" s="76">
        <v>0</v>
      </c>
      <c r="AA1152" s="76">
        <v>0</v>
      </c>
      <c r="AB1152" s="76">
        <v>0</v>
      </c>
      <c r="AC1152" s="76"/>
      <c r="AD1152" s="76"/>
      <c r="AE1152" s="76"/>
      <c r="AF1152" s="76">
        <v>1</v>
      </c>
      <c r="AG1152" s="76">
        <v>1</v>
      </c>
      <c r="AH1152" s="73"/>
      <c r="AI1152" s="57"/>
      <c r="AJ1152" s="45"/>
      <c r="AK1152" s="45"/>
      <c r="AL1152" s="45"/>
    </row>
    <row r="1153" spans="1:38" hidden="1" outlineLevel="3" x14ac:dyDescent="0.35">
      <c r="A1153" s="45"/>
      <c r="B1153" s="54"/>
      <c r="C1153" s="47">
        <f>INT($C$29)+3</f>
        <v>4</v>
      </c>
      <c r="D1153" s="73"/>
      <c r="E1153" s="70"/>
      <c r="F1153" s="70" t="s">
        <v>1915</v>
      </c>
      <c r="G1153" s="241"/>
      <c r="H1153" s="76" t="s">
        <v>1916</v>
      </c>
      <c r="I1153" s="76"/>
      <c r="J1153" s="76"/>
      <c r="K1153" s="76"/>
      <c r="L1153" s="76"/>
      <c r="M1153" s="76"/>
      <c r="N1153" s="76"/>
      <c r="O1153" s="76"/>
      <c r="P1153" s="76"/>
      <c r="Q1153" s="76"/>
      <c r="R1153" s="76"/>
      <c r="S1153" s="76"/>
      <c r="T1153" s="76"/>
      <c r="U1153" s="76">
        <v>0</v>
      </c>
      <c r="V1153" s="76">
        <v>0</v>
      </c>
      <c r="W1153" s="76">
        <v>0</v>
      </c>
      <c r="X1153" s="76">
        <v>0</v>
      </c>
      <c r="Y1153" s="76">
        <v>0</v>
      </c>
      <c r="Z1153" s="76">
        <v>0</v>
      </c>
      <c r="AA1153" s="76">
        <v>0</v>
      </c>
      <c r="AB1153" s="76">
        <v>0</v>
      </c>
      <c r="AC1153" s="76"/>
      <c r="AD1153" s="76"/>
      <c r="AE1153" s="76"/>
      <c r="AF1153" s="76">
        <v>1</v>
      </c>
      <c r="AG1153" s="76">
        <v>1</v>
      </c>
      <c r="AH1153" s="73"/>
      <c r="AI1153" s="57"/>
      <c r="AJ1153" s="45"/>
      <c r="AK1153" s="45"/>
      <c r="AL1153" s="45"/>
    </row>
    <row r="1154" spans="1:38" hidden="1" outlineLevel="2" x14ac:dyDescent="0.35">
      <c r="A1154" s="45"/>
      <c r="B1154" s="54"/>
      <c r="C1154" s="47">
        <f t="shared" si="166"/>
        <v>3</v>
      </c>
      <c r="D1154" s="73"/>
      <c r="E1154" s="424"/>
      <c r="F1154" s="424" t="s">
        <v>1917</v>
      </c>
      <c r="G1154" s="425"/>
      <c r="H1154" s="191" t="s">
        <v>1918</v>
      </c>
      <c r="I1154" s="191"/>
      <c r="J1154" s="191"/>
      <c r="K1154" s="191"/>
      <c r="L1154" s="191"/>
      <c r="M1154" s="191"/>
      <c r="N1154" s="191"/>
      <c r="O1154" s="191"/>
      <c r="P1154" s="191"/>
      <c r="Q1154" s="191"/>
      <c r="R1154" s="191"/>
      <c r="S1154" s="191"/>
      <c r="T1154" s="191"/>
      <c r="U1154" s="426">
        <v>3.496</v>
      </c>
      <c r="V1154" s="426">
        <v>3.496</v>
      </c>
      <c r="W1154" s="426">
        <v>3.496</v>
      </c>
      <c r="X1154" s="429">
        <f>Y1154</f>
        <v>4.2411000000000003</v>
      </c>
      <c r="Y1154" s="430">
        <v>4.2411000000000003</v>
      </c>
      <c r="Z1154" s="429">
        <f t="shared" ref="Z1154:AB1155" si="175">Y1154</f>
        <v>4.2411000000000003</v>
      </c>
      <c r="AA1154" s="429">
        <f t="shared" si="175"/>
        <v>4.2411000000000003</v>
      </c>
      <c r="AB1154" s="429">
        <f t="shared" si="175"/>
        <v>4.2411000000000003</v>
      </c>
      <c r="AC1154" s="191"/>
      <c r="AD1154" s="191"/>
      <c r="AE1154" s="191"/>
      <c r="AF1154" s="427">
        <v>1</v>
      </c>
      <c r="AG1154" s="427">
        <v>1</v>
      </c>
      <c r="AH1154" s="73"/>
      <c r="AI1154" s="57"/>
      <c r="AJ1154" s="45"/>
      <c r="AK1154" s="45"/>
      <c r="AL1154" s="45"/>
    </row>
    <row r="1155" spans="1:38" hidden="1" outlineLevel="2" x14ac:dyDescent="0.35">
      <c r="A1155" s="45"/>
      <c r="B1155" s="54"/>
      <c r="C1155" s="47">
        <f t="shared" si="166"/>
        <v>3</v>
      </c>
      <c r="D1155" s="73"/>
      <c r="E1155" s="417"/>
      <c r="F1155" s="417" t="s">
        <v>1919</v>
      </c>
      <c r="G1155" s="73"/>
      <c r="H1155" s="105" t="s">
        <v>1920</v>
      </c>
      <c r="I1155" s="184"/>
      <c r="J1155" s="184"/>
      <c r="K1155" s="105"/>
      <c r="L1155" s="105"/>
      <c r="M1155" s="105"/>
      <c r="N1155" s="105"/>
      <c r="O1155" s="105"/>
      <c r="P1155" s="105"/>
      <c r="Q1155" s="105"/>
      <c r="R1155" s="105"/>
      <c r="S1155" s="105"/>
      <c r="T1155" s="105"/>
      <c r="U1155" s="126">
        <v>0.18</v>
      </c>
      <c r="V1155" s="126">
        <v>0.18</v>
      </c>
      <c r="W1155" s="126">
        <v>0.18</v>
      </c>
      <c r="X1155" s="419">
        <f>Y1155</f>
        <v>0.13919999999999999</v>
      </c>
      <c r="Y1155" s="126">
        <v>0.13919999999999999</v>
      </c>
      <c r="Z1155" s="419">
        <f t="shared" si="175"/>
        <v>0.13919999999999999</v>
      </c>
      <c r="AA1155" s="419">
        <f t="shared" si="175"/>
        <v>0.13919999999999999</v>
      </c>
      <c r="AB1155" s="419">
        <f t="shared" si="175"/>
        <v>0.13919999999999999</v>
      </c>
      <c r="AC1155" s="105"/>
      <c r="AD1155" s="126" t="s">
        <v>1298</v>
      </c>
      <c r="AE1155" s="105"/>
      <c r="AF1155" s="126">
        <v>1</v>
      </c>
      <c r="AG1155" s="126">
        <v>1</v>
      </c>
      <c r="AH1155" s="73"/>
      <c r="AI1155" s="57"/>
      <c r="AJ1155" s="45"/>
      <c r="AK1155" s="45"/>
      <c r="AL1155" s="45"/>
    </row>
    <row r="1156" spans="1:38" hidden="1" outlineLevel="2" x14ac:dyDescent="0.35">
      <c r="A1156" s="45"/>
      <c r="B1156" s="54"/>
      <c r="C1156" s="47">
        <f t="shared" si="166"/>
        <v>3</v>
      </c>
      <c r="D1156" s="73"/>
      <c r="E1156" s="70"/>
      <c r="F1156" s="70" t="s">
        <v>1921</v>
      </c>
      <c r="G1156" s="73"/>
      <c r="H1156" s="76" t="s">
        <v>1922</v>
      </c>
      <c r="I1156" s="96"/>
      <c r="J1156" s="96"/>
      <c r="K1156" s="76"/>
      <c r="L1156" s="76"/>
      <c r="M1156" s="76"/>
      <c r="N1156" s="76"/>
      <c r="O1156" s="76"/>
      <c r="P1156" s="76"/>
      <c r="Q1156" s="76"/>
      <c r="R1156" s="76"/>
      <c r="S1156" s="76"/>
      <c r="T1156" s="76"/>
      <c r="U1156" s="260">
        <f t="shared" ref="U1156:AB1156" si="176">U1157</f>
        <v>0.03</v>
      </c>
      <c r="V1156" s="260">
        <f t="shared" si="176"/>
        <v>0.03</v>
      </c>
      <c r="W1156" s="260">
        <f t="shared" si="176"/>
        <v>0.03</v>
      </c>
      <c r="X1156" s="260">
        <f t="shared" si="176"/>
        <v>7.0000000000000062E-3</v>
      </c>
      <c r="Y1156" s="260">
        <f t="shared" si="176"/>
        <v>7.0000000000000062E-3</v>
      </c>
      <c r="Z1156" s="260">
        <f t="shared" si="176"/>
        <v>7.0000000000000062E-3</v>
      </c>
      <c r="AA1156" s="260">
        <f t="shared" si="176"/>
        <v>7.0000000000000062E-3</v>
      </c>
      <c r="AB1156" s="260">
        <f t="shared" si="176"/>
        <v>7.0000000000000062E-3</v>
      </c>
      <c r="AC1156" s="76"/>
      <c r="AD1156" s="97" t="s">
        <v>2197</v>
      </c>
      <c r="AE1156" s="76"/>
      <c r="AF1156" s="260">
        <f>AF1157</f>
        <v>1</v>
      </c>
      <c r="AG1156" s="260">
        <f>AG1157</f>
        <v>1</v>
      </c>
      <c r="AH1156" s="73"/>
      <c r="AI1156" s="57"/>
      <c r="AJ1156" s="45"/>
      <c r="AK1156" s="45"/>
      <c r="AL1156" s="45"/>
    </row>
    <row r="1157" spans="1:38" hidden="1" outlineLevel="2" x14ac:dyDescent="0.35">
      <c r="A1157" s="45"/>
      <c r="B1157" s="54"/>
      <c r="C1157" s="47">
        <f t="shared" si="166"/>
        <v>3</v>
      </c>
      <c r="D1157" s="73"/>
      <c r="E1157" s="70"/>
      <c r="F1157" s="70" t="s">
        <v>1923</v>
      </c>
      <c r="G1157" s="73"/>
      <c r="H1157" s="76" t="s">
        <v>1754</v>
      </c>
      <c r="I1157" s="96"/>
      <c r="J1157" s="96"/>
      <c r="K1157" s="76"/>
      <c r="L1157" s="76"/>
      <c r="M1157" s="76"/>
      <c r="N1157" s="76"/>
      <c r="O1157" s="76"/>
      <c r="P1157" s="76"/>
      <c r="Q1157" s="76"/>
      <c r="R1157" s="76"/>
      <c r="S1157" s="76"/>
      <c r="T1157" s="76"/>
      <c r="U1157" s="97">
        <f>0.21-U$1155</f>
        <v>0.03</v>
      </c>
      <c r="V1157" s="97">
        <f>0.21-V$1155</f>
        <v>0.03</v>
      </c>
      <c r="W1157" s="97">
        <f>0.21-W$1155</f>
        <v>0.03</v>
      </c>
      <c r="X1157" s="262">
        <f t="shared" ref="X1157:X1163" si="177">Y1157</f>
        <v>7.0000000000000062E-3</v>
      </c>
      <c r="Y1157" s="97">
        <f>0.1462-Y$1155</f>
        <v>7.0000000000000062E-3</v>
      </c>
      <c r="Z1157" s="262">
        <f t="shared" ref="Z1157:AB1163" si="178">Y1157</f>
        <v>7.0000000000000062E-3</v>
      </c>
      <c r="AA1157" s="262">
        <f t="shared" si="178"/>
        <v>7.0000000000000062E-3</v>
      </c>
      <c r="AB1157" s="262">
        <f t="shared" si="178"/>
        <v>7.0000000000000062E-3</v>
      </c>
      <c r="AC1157" s="76"/>
      <c r="AD1157" s="76"/>
      <c r="AE1157" s="76"/>
      <c r="AF1157" s="97">
        <v>1</v>
      </c>
      <c r="AG1157" s="97">
        <v>1</v>
      </c>
      <c r="AH1157" s="73"/>
      <c r="AI1157" s="57"/>
      <c r="AJ1157" s="45"/>
      <c r="AK1157" s="45"/>
      <c r="AL1157" s="45"/>
    </row>
    <row r="1158" spans="1:38" hidden="1" outlineLevel="2" x14ac:dyDescent="0.35">
      <c r="A1158" s="45"/>
      <c r="B1158" s="54"/>
      <c r="C1158" s="47">
        <f t="shared" si="166"/>
        <v>3</v>
      </c>
      <c r="D1158" s="73"/>
      <c r="E1158" s="70"/>
      <c r="F1158" s="70" t="s">
        <v>1924</v>
      </c>
      <c r="G1158" s="73"/>
      <c r="H1158" s="76" t="s">
        <v>1756</v>
      </c>
      <c r="I1158" s="96"/>
      <c r="J1158" s="96"/>
      <c r="K1158" s="76"/>
      <c r="L1158" s="76"/>
      <c r="M1158" s="76"/>
      <c r="N1158" s="76"/>
      <c r="O1158" s="76"/>
      <c r="P1158" s="76"/>
      <c r="Q1158" s="76"/>
      <c r="R1158" s="76"/>
      <c r="S1158" s="76"/>
      <c r="T1158" s="76"/>
      <c r="U1158" s="97">
        <f>0.14-U$1155</f>
        <v>-3.999999999999998E-2</v>
      </c>
      <c r="V1158" s="97">
        <f>0.14-V$1155</f>
        <v>-3.999999999999998E-2</v>
      </c>
      <c r="W1158" s="97">
        <f>0.14-W$1155</f>
        <v>-3.999999999999998E-2</v>
      </c>
      <c r="X1158" s="262">
        <f t="shared" si="177"/>
        <v>-3.0299999999999994E-2</v>
      </c>
      <c r="Y1158" s="97">
        <f>0.1089-Y$1155</f>
        <v>-3.0299999999999994E-2</v>
      </c>
      <c r="Z1158" s="262">
        <f t="shared" si="178"/>
        <v>-3.0299999999999994E-2</v>
      </c>
      <c r="AA1158" s="262">
        <f t="shared" si="178"/>
        <v>-3.0299999999999994E-2</v>
      </c>
      <c r="AB1158" s="262">
        <f t="shared" si="178"/>
        <v>-3.0299999999999994E-2</v>
      </c>
      <c r="AC1158" s="76"/>
      <c r="AD1158" s="76"/>
      <c r="AE1158" s="76"/>
      <c r="AF1158" s="97">
        <v>1</v>
      </c>
      <c r="AG1158" s="97">
        <v>1</v>
      </c>
      <c r="AH1158" s="73"/>
      <c r="AI1158" s="57"/>
      <c r="AJ1158" s="45"/>
      <c r="AK1158" s="45"/>
      <c r="AL1158" s="45"/>
    </row>
    <row r="1159" spans="1:38" hidden="1" outlineLevel="2" x14ac:dyDescent="0.35">
      <c r="A1159" s="45"/>
      <c r="B1159" s="54"/>
      <c r="C1159" s="47">
        <f t="shared" si="166"/>
        <v>3</v>
      </c>
      <c r="D1159" s="73"/>
      <c r="E1159" s="70"/>
      <c r="F1159" s="70" t="s">
        <v>1925</v>
      </c>
      <c r="G1159" s="73"/>
      <c r="H1159" s="76" t="s">
        <v>1758</v>
      </c>
      <c r="I1159" s="76"/>
      <c r="J1159" s="76"/>
      <c r="K1159" s="76"/>
      <c r="L1159" s="76"/>
      <c r="M1159" s="76"/>
      <c r="N1159" s="76"/>
      <c r="O1159" s="76"/>
      <c r="P1159" s="76"/>
      <c r="Q1159" s="76"/>
      <c r="R1159" s="76"/>
      <c r="S1159" s="76"/>
      <c r="T1159" s="76"/>
      <c r="U1159" s="97">
        <f>0-U$1155</f>
        <v>-0.18</v>
      </c>
      <c r="V1159" s="97">
        <f>0-V$1155</f>
        <v>-0.18</v>
      </c>
      <c r="W1159" s="97">
        <f>0-W$1155</f>
        <v>-0.18</v>
      </c>
      <c r="X1159" s="262">
        <f t="shared" si="177"/>
        <v>-0.13919999999999999</v>
      </c>
      <c r="Y1159" s="97">
        <f>0-Y$1155</f>
        <v>-0.13919999999999999</v>
      </c>
      <c r="Z1159" s="262">
        <f t="shared" si="178"/>
        <v>-0.13919999999999999</v>
      </c>
      <c r="AA1159" s="262">
        <f t="shared" si="178"/>
        <v>-0.13919999999999999</v>
      </c>
      <c r="AB1159" s="262">
        <f t="shared" si="178"/>
        <v>-0.13919999999999999</v>
      </c>
      <c r="AC1159" s="76"/>
      <c r="AD1159" s="76"/>
      <c r="AE1159" s="76"/>
      <c r="AF1159" s="97">
        <v>1</v>
      </c>
      <c r="AG1159" s="97">
        <v>1</v>
      </c>
      <c r="AH1159" s="73"/>
      <c r="AI1159" s="57"/>
      <c r="AJ1159" s="45"/>
      <c r="AK1159" s="45"/>
      <c r="AL1159" s="45"/>
    </row>
    <row r="1160" spans="1:38" hidden="1" outlineLevel="2" x14ac:dyDescent="0.35">
      <c r="A1160" s="45"/>
      <c r="B1160" s="54"/>
      <c r="C1160" s="47">
        <f t="shared" si="166"/>
        <v>3</v>
      </c>
      <c r="D1160" s="73"/>
      <c r="E1160" s="70"/>
      <c r="F1160" s="70" t="s">
        <v>1926</v>
      </c>
      <c r="G1160" s="73"/>
      <c r="H1160" s="76" t="s">
        <v>1914</v>
      </c>
      <c r="I1160" s="76"/>
      <c r="J1160" s="76"/>
      <c r="K1160" s="76"/>
      <c r="L1160" s="76"/>
      <c r="M1160" s="76"/>
      <c r="N1160" s="76"/>
      <c r="O1160" s="76"/>
      <c r="P1160" s="76"/>
      <c r="Q1160" s="76"/>
      <c r="R1160" s="76"/>
      <c r="S1160" s="76"/>
      <c r="T1160" s="76"/>
      <c r="U1160" s="97">
        <v>7.9000000000000008E-3</v>
      </c>
      <c r="V1160" s="97">
        <v>7.9000000000000008E-3</v>
      </c>
      <c r="W1160" s="97">
        <v>7.9000000000000008E-3</v>
      </c>
      <c r="X1160" s="262">
        <f t="shared" si="177"/>
        <v>0</v>
      </c>
      <c r="Y1160" s="76">
        <v>0</v>
      </c>
      <c r="Z1160" s="262">
        <f t="shared" si="178"/>
        <v>0</v>
      </c>
      <c r="AA1160" s="262">
        <f t="shared" si="178"/>
        <v>0</v>
      </c>
      <c r="AB1160" s="262">
        <f t="shared" si="178"/>
        <v>0</v>
      </c>
      <c r="AC1160" s="76"/>
      <c r="AD1160" s="76"/>
      <c r="AE1160" s="76"/>
      <c r="AF1160" s="97">
        <v>1</v>
      </c>
      <c r="AG1160" s="97">
        <v>1</v>
      </c>
      <c r="AH1160" s="73"/>
      <c r="AI1160" s="57"/>
      <c r="AJ1160" s="45"/>
      <c r="AK1160" s="45"/>
      <c r="AL1160" s="45"/>
    </row>
    <row r="1161" spans="1:38" hidden="1" outlineLevel="2" x14ac:dyDescent="0.35">
      <c r="A1161" s="45"/>
      <c r="B1161" s="54"/>
      <c r="C1161" s="47">
        <f t="shared" si="166"/>
        <v>3</v>
      </c>
      <c r="D1161" s="73"/>
      <c r="E1161" s="70"/>
      <c r="F1161" s="70" t="s">
        <v>1927</v>
      </c>
      <c r="G1161" s="73"/>
      <c r="H1161" s="76" t="s">
        <v>1916</v>
      </c>
      <c r="I1161" s="76"/>
      <c r="J1161" s="76"/>
      <c r="K1161" s="76"/>
      <c r="L1161" s="76"/>
      <c r="M1161" s="76"/>
      <c r="N1161" s="76"/>
      <c r="O1161" s="76"/>
      <c r="P1161" s="76"/>
      <c r="Q1161" s="76"/>
      <c r="R1161" s="76"/>
      <c r="S1161" s="76"/>
      <c r="T1161" s="76"/>
      <c r="U1161" s="97">
        <v>-1.5E-6</v>
      </c>
      <c r="V1161" s="97">
        <v>-1.5E-6</v>
      </c>
      <c r="W1161" s="97">
        <v>-1.5E-6</v>
      </c>
      <c r="X1161" s="262">
        <f t="shared" si="177"/>
        <v>0</v>
      </c>
      <c r="Y1161" s="76">
        <v>0</v>
      </c>
      <c r="Z1161" s="262">
        <f t="shared" si="178"/>
        <v>0</v>
      </c>
      <c r="AA1161" s="262">
        <f t="shared" si="178"/>
        <v>0</v>
      </c>
      <c r="AB1161" s="262">
        <f t="shared" si="178"/>
        <v>0</v>
      </c>
      <c r="AC1161" s="76"/>
      <c r="AD1161" s="76"/>
      <c r="AE1161" s="76"/>
      <c r="AF1161" s="97">
        <v>1</v>
      </c>
      <c r="AG1161" s="97">
        <v>1</v>
      </c>
      <c r="AH1161" s="73"/>
      <c r="AI1161" s="57"/>
      <c r="AJ1161" s="45"/>
      <c r="AK1161" s="45"/>
      <c r="AL1161" s="45"/>
    </row>
    <row r="1162" spans="1:38" hidden="1" outlineLevel="2" x14ac:dyDescent="0.35">
      <c r="A1162" s="45"/>
      <c r="B1162" s="54"/>
      <c r="C1162" s="47">
        <f t="shared" si="166"/>
        <v>3</v>
      </c>
      <c r="D1162" s="73"/>
      <c r="E1162" s="70"/>
      <c r="F1162" s="70" t="s">
        <v>1928</v>
      </c>
      <c r="G1162" s="73"/>
      <c r="H1162" s="76" t="s">
        <v>1929</v>
      </c>
      <c r="I1162" s="76"/>
      <c r="J1162" s="76"/>
      <c r="K1162" s="76"/>
      <c r="L1162" s="76"/>
      <c r="M1162" s="76"/>
      <c r="N1162" s="76"/>
      <c r="O1162" s="76"/>
      <c r="P1162" s="76"/>
      <c r="Q1162" s="76"/>
      <c r="R1162" s="76"/>
      <c r="S1162" s="76"/>
      <c r="T1162" s="76"/>
      <c r="U1162" s="97">
        <v>4.5599999999999996</v>
      </c>
      <c r="V1162" s="97">
        <v>4.5599999999999996</v>
      </c>
      <c r="W1162" s="97">
        <v>4.5599999999999996</v>
      </c>
      <c r="X1162" s="262">
        <f t="shared" si="177"/>
        <v>24.748000000000001</v>
      </c>
      <c r="Y1162" s="97">
        <f>27.01-0.2262*10</f>
        <v>24.748000000000001</v>
      </c>
      <c r="Z1162" s="262">
        <f t="shared" si="178"/>
        <v>24.748000000000001</v>
      </c>
      <c r="AA1162" s="262">
        <f t="shared" si="178"/>
        <v>24.748000000000001</v>
      </c>
      <c r="AB1162" s="262">
        <f t="shared" si="178"/>
        <v>24.748000000000001</v>
      </c>
      <c r="AC1162" s="76"/>
      <c r="AD1162" s="76"/>
      <c r="AE1162" s="76"/>
      <c r="AF1162" s="97">
        <v>1</v>
      </c>
      <c r="AG1162" s="97">
        <v>1</v>
      </c>
      <c r="AH1162" s="73"/>
      <c r="AI1162" s="57"/>
      <c r="AJ1162" s="45"/>
      <c r="AK1162" s="45"/>
      <c r="AL1162" s="45"/>
    </row>
    <row r="1163" spans="1:38" hidden="1" outlineLevel="2" x14ac:dyDescent="0.35">
      <c r="A1163" s="45"/>
      <c r="B1163" s="54"/>
      <c r="C1163" s="47">
        <f t="shared" si="166"/>
        <v>3</v>
      </c>
      <c r="D1163" s="73"/>
      <c r="E1163" s="70"/>
      <c r="F1163" s="70" t="s">
        <v>1930</v>
      </c>
      <c r="G1163" s="73"/>
      <c r="H1163" s="76" t="s">
        <v>1931</v>
      </c>
      <c r="I1163" s="96"/>
      <c r="J1163" s="96"/>
      <c r="K1163" s="76"/>
      <c r="L1163" s="76"/>
      <c r="M1163" s="76"/>
      <c r="N1163" s="76"/>
      <c r="O1163" s="76"/>
      <c r="P1163" s="76"/>
      <c r="Q1163" s="76"/>
      <c r="R1163" s="76"/>
      <c r="S1163" s="76"/>
      <c r="T1163" s="76"/>
      <c r="U1163" s="97">
        <f>2.05/1000</f>
        <v>2.0499999999999997E-3</v>
      </c>
      <c r="V1163" s="97">
        <f>2.05/1000</f>
        <v>2.0499999999999997E-3</v>
      </c>
      <c r="W1163" s="97">
        <f>2.05/1000</f>
        <v>2.0499999999999997E-3</v>
      </c>
      <c r="X1163" s="262">
        <f t="shared" si="177"/>
        <v>2.0499999999999997E-3</v>
      </c>
      <c r="Y1163" s="97">
        <f>2.05/1000</f>
        <v>2.0499999999999997E-3</v>
      </c>
      <c r="Z1163" s="262">
        <f t="shared" si="178"/>
        <v>2.0499999999999997E-3</v>
      </c>
      <c r="AA1163" s="262">
        <f t="shared" si="178"/>
        <v>2.0499999999999997E-3</v>
      </c>
      <c r="AB1163" s="262">
        <f t="shared" si="178"/>
        <v>2.0499999999999997E-3</v>
      </c>
      <c r="AC1163" s="76"/>
      <c r="AD1163" s="97" t="s">
        <v>1305</v>
      </c>
      <c r="AE1163" s="76"/>
      <c r="AF1163" s="97">
        <v>1</v>
      </c>
      <c r="AG1163" s="97">
        <v>1</v>
      </c>
      <c r="AH1163" s="73"/>
      <c r="AI1163" s="57"/>
      <c r="AJ1163" s="45"/>
      <c r="AK1163" s="45"/>
      <c r="AL1163" s="45"/>
    </row>
    <row r="1164" spans="1:38" hidden="1" outlineLevel="2" x14ac:dyDescent="0.35">
      <c r="A1164" s="45"/>
      <c r="B1164" s="54"/>
      <c r="C1164" s="47">
        <f t="shared" si="166"/>
        <v>3</v>
      </c>
      <c r="D1164" s="73"/>
      <c r="E1164" s="70"/>
      <c r="F1164" s="70" t="s">
        <v>1932</v>
      </c>
      <c r="G1164" s="73"/>
      <c r="H1164" s="76" t="s">
        <v>1933</v>
      </c>
      <c r="I1164" s="96"/>
      <c r="J1164" s="96"/>
      <c r="K1164" s="76"/>
      <c r="L1164" s="76"/>
      <c r="M1164" s="76"/>
      <c r="N1164" s="76"/>
      <c r="O1164" s="76"/>
      <c r="P1164" s="76"/>
      <c r="Q1164" s="76"/>
      <c r="R1164" s="76"/>
      <c r="S1164" s="76"/>
      <c r="T1164" s="76"/>
      <c r="U1164" s="260">
        <f t="shared" ref="U1164:AB1164" si="179">U1165</f>
        <v>-5.9999999999999724E-5</v>
      </c>
      <c r="V1164" s="260">
        <f t="shared" si="179"/>
        <v>-5.9999999999999724E-5</v>
      </c>
      <c r="W1164" s="260">
        <f t="shared" si="179"/>
        <v>-5.9999999999999724E-5</v>
      </c>
      <c r="X1164" s="260">
        <f t="shared" si="179"/>
        <v>-5.9999999999999724E-5</v>
      </c>
      <c r="Y1164" s="260">
        <f t="shared" si="179"/>
        <v>-5.9999999999999724E-5</v>
      </c>
      <c r="Z1164" s="260">
        <f t="shared" si="179"/>
        <v>-5.9999999999999724E-5</v>
      </c>
      <c r="AA1164" s="260">
        <f t="shared" si="179"/>
        <v>-5.9999999999999724E-5</v>
      </c>
      <c r="AB1164" s="260">
        <f t="shared" si="179"/>
        <v>-5.9999999999999724E-5</v>
      </c>
      <c r="AC1164" s="76"/>
      <c r="AD1164" s="76"/>
      <c r="AE1164" s="76"/>
      <c r="AF1164" s="260">
        <f>AF1165</f>
        <v>1</v>
      </c>
      <c r="AG1164" s="260">
        <f>AG1165</f>
        <v>1</v>
      </c>
      <c r="AH1164" s="73"/>
      <c r="AI1164" s="57"/>
      <c r="AJ1164" s="45"/>
      <c r="AK1164" s="45"/>
      <c r="AL1164" s="45"/>
    </row>
    <row r="1165" spans="1:38" hidden="1" outlineLevel="2" x14ac:dyDescent="0.35">
      <c r="A1165" s="45"/>
      <c r="B1165" s="54"/>
      <c r="C1165" s="47">
        <f t="shared" si="166"/>
        <v>3</v>
      </c>
      <c r="D1165" s="73"/>
      <c r="E1165" s="70"/>
      <c r="F1165" s="70" t="s">
        <v>1934</v>
      </c>
      <c r="G1165" s="73"/>
      <c r="H1165" s="76" t="s">
        <v>1935</v>
      </c>
      <c r="I1165" s="96"/>
      <c r="J1165" s="96"/>
      <c r="K1165" s="76"/>
      <c r="L1165" s="76"/>
      <c r="M1165" s="76"/>
      <c r="N1165" s="76"/>
      <c r="O1165" s="76"/>
      <c r="P1165" s="76"/>
      <c r="Q1165" s="76"/>
      <c r="R1165" s="76"/>
      <c r="S1165" s="76"/>
      <c r="T1165" s="76"/>
      <c r="U1165" s="97">
        <f>1.99/1000-U$1163</f>
        <v>-5.9999999999999724E-5</v>
      </c>
      <c r="V1165" s="97">
        <f>1.99/1000-V$1163</f>
        <v>-5.9999999999999724E-5</v>
      </c>
      <c r="W1165" s="97">
        <f>1.99/1000-W$1163</f>
        <v>-5.9999999999999724E-5</v>
      </c>
      <c r="X1165" s="262">
        <f t="shared" ref="X1165:X1170" si="180">Y1165</f>
        <v>-5.9999999999999724E-5</v>
      </c>
      <c r="Y1165" s="97">
        <f>1.99/1000-Y$1163</f>
        <v>-5.9999999999999724E-5</v>
      </c>
      <c r="Z1165" s="262">
        <f t="shared" ref="Z1165:AB1170" si="181">Y1165</f>
        <v>-5.9999999999999724E-5</v>
      </c>
      <c r="AA1165" s="262">
        <f t="shared" si="181"/>
        <v>-5.9999999999999724E-5</v>
      </c>
      <c r="AB1165" s="262">
        <f t="shared" si="181"/>
        <v>-5.9999999999999724E-5</v>
      </c>
      <c r="AC1165" s="76"/>
      <c r="AD1165" s="76"/>
      <c r="AE1165" s="76"/>
      <c r="AF1165" s="97">
        <v>1</v>
      </c>
      <c r="AG1165" s="97">
        <v>1</v>
      </c>
      <c r="AH1165" s="73"/>
      <c r="AI1165" s="57"/>
      <c r="AJ1165" s="45"/>
      <c r="AK1165" s="45"/>
      <c r="AL1165" s="45"/>
    </row>
    <row r="1166" spans="1:38" hidden="1" outlineLevel="2" x14ac:dyDescent="0.35">
      <c r="A1166" s="45"/>
      <c r="B1166" s="54"/>
      <c r="C1166" s="47">
        <f t="shared" si="166"/>
        <v>3</v>
      </c>
      <c r="D1166" s="73"/>
      <c r="E1166" s="70"/>
      <c r="F1166" s="70" t="s">
        <v>1936</v>
      </c>
      <c r="G1166" s="73"/>
      <c r="H1166" s="76" t="s">
        <v>1937</v>
      </c>
      <c r="I1166" s="96"/>
      <c r="J1166" s="96"/>
      <c r="K1166" s="76"/>
      <c r="L1166" s="76"/>
      <c r="M1166" s="76"/>
      <c r="N1166" s="76"/>
      <c r="O1166" s="76"/>
      <c r="P1166" s="76"/>
      <c r="Q1166" s="76"/>
      <c r="R1166" s="76"/>
      <c r="S1166" s="76"/>
      <c r="T1166" s="76"/>
      <c r="U1166" s="97">
        <f>1.4/1000-U$1163</f>
        <v>-6.4999999999999975E-4</v>
      </c>
      <c r="V1166" s="97">
        <f>1.4/1000-V$1163</f>
        <v>-6.4999999999999975E-4</v>
      </c>
      <c r="W1166" s="97">
        <f>1.4/1000-W$1163</f>
        <v>-6.4999999999999975E-4</v>
      </c>
      <c r="X1166" s="262">
        <f t="shared" si="180"/>
        <v>-6.4999999999999975E-4</v>
      </c>
      <c r="Y1166" s="97">
        <f>1.4/1000-Y$1163</f>
        <v>-6.4999999999999975E-4</v>
      </c>
      <c r="Z1166" s="262">
        <f t="shared" si="181"/>
        <v>-6.4999999999999975E-4</v>
      </c>
      <c r="AA1166" s="262">
        <f t="shared" si="181"/>
        <v>-6.4999999999999975E-4</v>
      </c>
      <c r="AB1166" s="262">
        <f t="shared" si="181"/>
        <v>-6.4999999999999975E-4</v>
      </c>
      <c r="AC1166" s="76"/>
      <c r="AD1166" s="76"/>
      <c r="AE1166" s="76"/>
      <c r="AF1166" s="97">
        <v>1</v>
      </c>
      <c r="AG1166" s="97">
        <v>1</v>
      </c>
      <c r="AH1166" s="73"/>
      <c r="AI1166" s="57"/>
      <c r="AJ1166" s="45"/>
      <c r="AK1166" s="45"/>
      <c r="AL1166" s="45"/>
    </row>
    <row r="1167" spans="1:38" hidden="1" outlineLevel="2" x14ac:dyDescent="0.35">
      <c r="A1167" s="45"/>
      <c r="B1167" s="54"/>
      <c r="C1167" s="47">
        <f t="shared" si="166"/>
        <v>3</v>
      </c>
      <c r="D1167" s="73"/>
      <c r="E1167" s="70"/>
      <c r="F1167" s="70" t="s">
        <v>1938</v>
      </c>
      <c r="G1167" s="73"/>
      <c r="H1167" s="76" t="s">
        <v>1939</v>
      </c>
      <c r="I1167" s="76"/>
      <c r="J1167" s="76"/>
      <c r="K1167" s="76"/>
      <c r="L1167" s="76"/>
      <c r="M1167" s="76"/>
      <c r="N1167" s="76"/>
      <c r="O1167" s="76"/>
      <c r="P1167" s="76"/>
      <c r="Q1167" s="76"/>
      <c r="R1167" s="76"/>
      <c r="S1167" s="76"/>
      <c r="T1167" s="76"/>
      <c r="U1167" s="97">
        <f>0-U$1163</f>
        <v>-2.0499999999999997E-3</v>
      </c>
      <c r="V1167" s="97">
        <f>0-V$1163</f>
        <v>-2.0499999999999997E-3</v>
      </c>
      <c r="W1167" s="97">
        <f>0-W$1163</f>
        <v>-2.0499999999999997E-3</v>
      </c>
      <c r="X1167" s="262">
        <f t="shared" si="180"/>
        <v>-2.0499999999999997E-3</v>
      </c>
      <c r="Y1167" s="97">
        <f>0-Y$1163</f>
        <v>-2.0499999999999997E-3</v>
      </c>
      <c r="Z1167" s="262">
        <f t="shared" si="181"/>
        <v>-2.0499999999999997E-3</v>
      </c>
      <c r="AA1167" s="262">
        <f t="shared" si="181"/>
        <v>-2.0499999999999997E-3</v>
      </c>
      <c r="AB1167" s="262">
        <f t="shared" si="181"/>
        <v>-2.0499999999999997E-3</v>
      </c>
      <c r="AC1167" s="76"/>
      <c r="AD1167" s="76"/>
      <c r="AE1167" s="76"/>
      <c r="AF1167" s="97">
        <v>1</v>
      </c>
      <c r="AG1167" s="97">
        <v>1</v>
      </c>
      <c r="AH1167" s="73"/>
      <c r="AI1167" s="57"/>
      <c r="AJ1167" s="45"/>
      <c r="AK1167" s="45"/>
      <c r="AL1167" s="45"/>
    </row>
    <row r="1168" spans="1:38" hidden="1" outlineLevel="2" x14ac:dyDescent="0.35">
      <c r="A1168" s="45"/>
      <c r="B1168" s="54"/>
      <c r="C1168" s="47">
        <f t="shared" si="166"/>
        <v>3</v>
      </c>
      <c r="D1168" s="73"/>
      <c r="E1168" s="70"/>
      <c r="F1168" s="70" t="s">
        <v>1940</v>
      </c>
      <c r="G1168" s="73"/>
      <c r="H1168" s="76" t="s">
        <v>1941</v>
      </c>
      <c r="I1168" s="76"/>
      <c r="J1168" s="76"/>
      <c r="K1168" s="76"/>
      <c r="L1168" s="76"/>
      <c r="M1168" s="76"/>
      <c r="N1168" s="76"/>
      <c r="O1168" s="76"/>
      <c r="P1168" s="76"/>
      <c r="Q1168" s="76"/>
      <c r="R1168" s="76"/>
      <c r="S1168" s="76"/>
      <c r="T1168" s="76"/>
      <c r="U1168" s="97">
        <f>0.102/1000</f>
        <v>1.02E-4</v>
      </c>
      <c r="V1168" s="97">
        <f>0.102/1000</f>
        <v>1.02E-4</v>
      </c>
      <c r="W1168" s="97">
        <f>0.102/1000</f>
        <v>1.02E-4</v>
      </c>
      <c r="X1168" s="262">
        <f t="shared" si="180"/>
        <v>1.02E-4</v>
      </c>
      <c r="Y1168" s="97">
        <f>0.102/1000</f>
        <v>1.02E-4</v>
      </c>
      <c r="Z1168" s="262">
        <f t="shared" si="181"/>
        <v>1.02E-4</v>
      </c>
      <c r="AA1168" s="262">
        <f t="shared" si="181"/>
        <v>1.02E-4</v>
      </c>
      <c r="AB1168" s="262">
        <f t="shared" si="181"/>
        <v>1.02E-4</v>
      </c>
      <c r="AC1168" s="76"/>
      <c r="AD1168" s="76"/>
      <c r="AE1168" s="76"/>
      <c r="AF1168" s="97">
        <v>1</v>
      </c>
      <c r="AG1168" s="97">
        <v>1</v>
      </c>
      <c r="AH1168" s="73"/>
      <c r="AI1168" s="57"/>
      <c r="AJ1168" s="45"/>
      <c r="AK1168" s="45"/>
      <c r="AL1168" s="45"/>
    </row>
    <row r="1169" spans="1:38" hidden="1" outlineLevel="2" x14ac:dyDescent="0.35">
      <c r="A1169" s="45"/>
      <c r="B1169" s="54"/>
      <c r="C1169" s="47">
        <f t="shared" si="166"/>
        <v>3</v>
      </c>
      <c r="D1169" s="73"/>
      <c r="E1169" s="70"/>
      <c r="F1169" s="70" t="s">
        <v>1942</v>
      </c>
      <c r="G1169" s="73"/>
      <c r="H1169" s="76" t="s">
        <v>1943</v>
      </c>
      <c r="I1169" s="76"/>
      <c r="J1169" s="76"/>
      <c r="K1169" s="76"/>
      <c r="L1169" s="76"/>
      <c r="M1169" s="76"/>
      <c r="N1169" s="76"/>
      <c r="O1169" s="76"/>
      <c r="P1169" s="76"/>
      <c r="Q1169" s="76"/>
      <c r="R1169" s="76"/>
      <c r="S1169" s="76"/>
      <c r="T1169" s="76"/>
      <c r="U1169" s="97">
        <f>-0.000019/1000</f>
        <v>-1.9000000000000001E-8</v>
      </c>
      <c r="V1169" s="97">
        <f>-0.000019/1000</f>
        <v>-1.9000000000000001E-8</v>
      </c>
      <c r="W1169" s="97">
        <f>-0.000019/1000</f>
        <v>-1.9000000000000001E-8</v>
      </c>
      <c r="X1169" s="262">
        <f t="shared" si="180"/>
        <v>-1.9000000000000001E-8</v>
      </c>
      <c r="Y1169" s="97">
        <f>-0.000019/1000</f>
        <v>-1.9000000000000001E-8</v>
      </c>
      <c r="Z1169" s="262">
        <f t="shared" si="181"/>
        <v>-1.9000000000000001E-8</v>
      </c>
      <c r="AA1169" s="262">
        <f t="shared" si="181"/>
        <v>-1.9000000000000001E-8</v>
      </c>
      <c r="AB1169" s="262">
        <f t="shared" si="181"/>
        <v>-1.9000000000000001E-8</v>
      </c>
      <c r="AC1169" s="76"/>
      <c r="AD1169" s="76"/>
      <c r="AE1169" s="76"/>
      <c r="AF1169" s="97">
        <v>1</v>
      </c>
      <c r="AG1169" s="97">
        <v>1</v>
      </c>
      <c r="AH1169" s="73"/>
      <c r="AI1169" s="57"/>
      <c r="AJ1169" s="45"/>
      <c r="AK1169" s="45"/>
      <c r="AL1169" s="45"/>
    </row>
    <row r="1170" spans="1:38" hidden="1" outlineLevel="2" x14ac:dyDescent="0.35">
      <c r="A1170" s="45"/>
      <c r="B1170" s="54"/>
      <c r="C1170" s="47">
        <f t="shared" si="166"/>
        <v>3</v>
      </c>
      <c r="D1170" s="73"/>
      <c r="E1170" s="70"/>
      <c r="F1170" s="70" t="s">
        <v>1944</v>
      </c>
      <c r="G1170" s="73"/>
      <c r="H1170" s="76" t="s">
        <v>1945</v>
      </c>
      <c r="I1170" s="76"/>
      <c r="J1170" s="76"/>
      <c r="K1170" s="76"/>
      <c r="L1170" s="76"/>
      <c r="M1170" s="76"/>
      <c r="N1170" s="76"/>
      <c r="O1170" s="76"/>
      <c r="P1170" s="76"/>
      <c r="Q1170" s="76"/>
      <c r="R1170" s="76"/>
      <c r="S1170" s="76"/>
      <c r="T1170" s="76"/>
      <c r="U1170" s="97">
        <f>14.9/1000</f>
        <v>1.49E-2</v>
      </c>
      <c r="V1170" s="97">
        <f>14.9/1000</f>
        <v>1.49E-2</v>
      </c>
      <c r="W1170" s="97">
        <f>14.9/1000</f>
        <v>1.49E-2</v>
      </c>
      <c r="X1170" s="262">
        <f t="shared" si="180"/>
        <v>1.49E-2</v>
      </c>
      <c r="Y1170" s="97">
        <f>14.9/1000</f>
        <v>1.49E-2</v>
      </c>
      <c r="Z1170" s="262">
        <f t="shared" si="181"/>
        <v>1.49E-2</v>
      </c>
      <c r="AA1170" s="262">
        <f t="shared" si="181"/>
        <v>1.49E-2</v>
      </c>
      <c r="AB1170" s="262">
        <f t="shared" si="181"/>
        <v>1.49E-2</v>
      </c>
      <c r="AC1170" s="76"/>
      <c r="AD1170" s="76"/>
      <c r="AE1170" s="76"/>
      <c r="AF1170" s="97">
        <v>1</v>
      </c>
      <c r="AG1170" s="97">
        <v>1</v>
      </c>
      <c r="AH1170" s="73"/>
      <c r="AI1170" s="57"/>
      <c r="AJ1170" s="45"/>
      <c r="AK1170" s="45"/>
      <c r="AL1170" s="45"/>
    </row>
    <row r="1171" spans="1:38" outlineLevel="1" collapsed="1" x14ac:dyDescent="0.35">
      <c r="A1171" s="45"/>
      <c r="B1171" s="54"/>
      <c r="C1171" s="47">
        <f>INT($C$29)+1</f>
        <v>2</v>
      </c>
      <c r="D1171" s="73"/>
      <c r="E1171" s="70"/>
      <c r="F1171" s="272" t="s">
        <v>1734</v>
      </c>
      <c r="G1171" s="73"/>
      <c r="H1171" s="274" t="s">
        <v>2673</v>
      </c>
      <c r="I1171" s="136"/>
      <c r="J1171" s="136" t="s">
        <v>1060</v>
      </c>
      <c r="K1171" s="76"/>
      <c r="L1171" s="76"/>
      <c r="M1171" s="76"/>
      <c r="N1171" s="76"/>
      <c r="O1171" s="76"/>
      <c r="P1171" s="76"/>
      <c r="Q1171" s="76"/>
      <c r="R1171" s="76"/>
      <c r="S1171" s="76"/>
      <c r="T1171" s="76"/>
      <c r="U1171" s="79">
        <v>26</v>
      </c>
      <c r="V1171" s="79">
        <v>13</v>
      </c>
      <c r="W1171" s="79">
        <v>-15</v>
      </c>
      <c r="X1171" s="76"/>
      <c r="Y1171" s="76"/>
      <c r="Z1171" s="76"/>
      <c r="AA1171" s="76"/>
      <c r="AB1171" s="76"/>
      <c r="AC1171" s="76"/>
      <c r="AD1171" s="76"/>
      <c r="AE1171" s="76"/>
      <c r="AF1171" s="76"/>
      <c r="AG1171" s="76"/>
      <c r="AH1171" s="73"/>
      <c r="AI1171" s="57"/>
      <c r="AJ1171" s="45"/>
      <c r="AK1171" s="45"/>
      <c r="AL1171" s="45"/>
    </row>
    <row r="1172" spans="1:38" hidden="1" outlineLevel="3" x14ac:dyDescent="0.35">
      <c r="A1172" s="45"/>
      <c r="B1172" s="54"/>
      <c r="C1172" s="47">
        <f t="shared" ref="C1172:C1358" si="182">INT($C$29)+3</f>
        <v>4</v>
      </c>
      <c r="D1172" s="73"/>
      <c r="E1172" s="70"/>
      <c r="F1172" s="70" t="s">
        <v>1946</v>
      </c>
      <c r="G1172" s="73"/>
      <c r="H1172" s="76" t="s">
        <v>1947</v>
      </c>
      <c r="I1172" s="96" t="s">
        <v>2372</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182"/>
        <v>4</v>
      </c>
      <c r="D1173" s="73"/>
      <c r="E1173" s="70"/>
      <c r="F1173" s="70" t="s">
        <v>1948</v>
      </c>
      <c r="G1173" s="73"/>
      <c r="H1173" s="76" t="s">
        <v>1949</v>
      </c>
      <c r="I1173" s="96" t="s">
        <v>2373</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182"/>
        <v>4</v>
      </c>
      <c r="D1174" s="73"/>
      <c r="E1174" s="70"/>
      <c r="F1174" s="70" t="s">
        <v>1950</v>
      </c>
      <c r="G1174" s="73"/>
      <c r="H1174" s="76" t="s">
        <v>1951</v>
      </c>
      <c r="I1174" s="96" t="s">
        <v>2374</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182"/>
        <v>4</v>
      </c>
      <c r="D1175" s="73"/>
      <c r="E1175" s="70"/>
      <c r="F1175" s="70" t="s">
        <v>1952</v>
      </c>
      <c r="G1175" s="73"/>
      <c r="H1175" s="76" t="s">
        <v>2407</v>
      </c>
      <c r="I1175" s="96" t="s">
        <v>2408</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182"/>
        <v>4</v>
      </c>
      <c r="D1176" s="73"/>
      <c r="E1176" s="70"/>
      <c r="F1176" s="70" t="s">
        <v>1954</v>
      </c>
      <c r="G1176" s="73"/>
      <c r="H1176" s="76" t="s">
        <v>1953</v>
      </c>
      <c r="I1176" s="96" t="s">
        <v>2375</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182"/>
        <v>4</v>
      </c>
      <c r="D1177" s="73"/>
      <c r="E1177" s="70"/>
      <c r="F1177" s="70" t="s">
        <v>2413</v>
      </c>
      <c r="G1177" s="73"/>
      <c r="H1177" s="76" t="s">
        <v>1955</v>
      </c>
      <c r="I1177" s="96" t="s">
        <v>2376</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182"/>
        <v>4</v>
      </c>
      <c r="D1178" s="73"/>
      <c r="E1178" s="70"/>
      <c r="F1178" s="70" t="s">
        <v>2414</v>
      </c>
      <c r="G1178" s="73"/>
      <c r="H1178" s="76" t="s">
        <v>2409</v>
      </c>
      <c r="I1178" s="96" t="s">
        <v>2410</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182"/>
        <v>4</v>
      </c>
      <c r="D1179" s="73"/>
      <c r="E1179" s="70"/>
      <c r="F1179" s="70" t="s">
        <v>2415</v>
      </c>
      <c r="G1179" s="73"/>
      <c r="H1179" s="76" t="s">
        <v>2411</v>
      </c>
      <c r="I1179" s="96" t="s">
        <v>2412</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182"/>
        <v>4</v>
      </c>
      <c r="D1180" s="73"/>
      <c r="E1180" s="70"/>
      <c r="F1180" s="70" t="str">
        <f>SUBSTITUTE(F1176,",4)",",8)")</f>
        <v>C(U2,0,8)</v>
      </c>
      <c r="G1180" s="73"/>
      <c r="H1180" s="76" t="s">
        <v>2765</v>
      </c>
      <c r="I1180" s="96" t="s">
        <v>2769</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182"/>
        <v>4</v>
      </c>
      <c r="D1181" s="73"/>
      <c r="E1181" s="70"/>
      <c r="F1181" s="70" t="str">
        <f>SUBSTITUTE(F1177,",5)",",9)")</f>
        <v>C(U2,0,9)</v>
      </c>
      <c r="G1181" s="73"/>
      <c r="H1181" s="76" t="s">
        <v>2766</v>
      </c>
      <c r="I1181" s="96" t="s">
        <v>2770</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182"/>
        <v>4</v>
      </c>
      <c r="D1182" s="73"/>
      <c r="E1182" s="70"/>
      <c r="F1182" s="70" t="str">
        <f>SUBSTITUTE(F1178,",6)",",10)")</f>
        <v>C(U2,0,10)</v>
      </c>
      <c r="G1182" s="73"/>
      <c r="H1182" s="76" t="s">
        <v>2767</v>
      </c>
      <c r="I1182" s="96" t="s">
        <v>2771</v>
      </c>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182"/>
        <v>4</v>
      </c>
      <c r="D1183" s="73"/>
      <c r="E1183" s="70"/>
      <c r="F1183" s="70" t="str">
        <f>SUBSTITUTE(F1179,",7)",",11)")</f>
        <v>C(U2,0,11)</v>
      </c>
      <c r="G1183" s="73"/>
      <c r="H1183" s="76" t="s">
        <v>2768</v>
      </c>
      <c r="I1183" s="96" t="s">
        <v>2772</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182"/>
        <v>4</v>
      </c>
      <c r="D1184" s="73"/>
      <c r="E1184" s="70"/>
      <c r="F1184" s="70" t="s">
        <v>1956</v>
      </c>
      <c r="G1184" s="73"/>
      <c r="H1184" s="76" t="s">
        <v>1957</v>
      </c>
      <c r="I1184" s="96" t="s">
        <v>2377</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182"/>
        <v>4</v>
      </c>
      <c r="D1185" s="73"/>
      <c r="E1185" s="70"/>
      <c r="F1185" s="70" t="s">
        <v>1958</v>
      </c>
      <c r="G1185" s="73"/>
      <c r="H1185" s="76" t="s">
        <v>616</v>
      </c>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f t="shared" si="182"/>
        <v>4</v>
      </c>
      <c r="D1186" s="73"/>
      <c r="E1186" s="70"/>
      <c r="F1186" s="70" t="s">
        <v>1959</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f t="shared" si="182"/>
        <v>4</v>
      </c>
      <c r="D1187" s="73"/>
      <c r="E1187" s="70"/>
      <c r="F1187" s="70" t="s">
        <v>1960</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f t="shared" si="182"/>
        <v>4</v>
      </c>
      <c r="D1188" s="73"/>
      <c r="E1188" s="70"/>
      <c r="F1188" s="70" t="s">
        <v>1961</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182"/>
        <v>4</v>
      </c>
      <c r="D1189" s="73"/>
      <c r="E1189" s="70"/>
      <c r="F1189" s="70" t="s">
        <v>1962</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c r="D1190" s="73"/>
      <c r="E1190" s="70"/>
      <c r="F1190" s="70" t="s">
        <v>2416</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c r="D1191" s="73"/>
      <c r="E1191" s="70"/>
      <c r="F1191" s="70" t="s">
        <v>2417</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c r="D1192" s="73"/>
      <c r="E1192" s="70"/>
      <c r="F1192" s="70" t="s">
        <v>2418</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182"/>
        <v>4</v>
      </c>
      <c r="D1193" s="73"/>
      <c r="E1193" s="70"/>
      <c r="F1193" s="70" t="str">
        <f>SUBSTITUTE(F1189,",4)",",8)")</f>
        <v>C(U2,1,8)</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182"/>
        <v>4</v>
      </c>
      <c r="D1194" s="73"/>
      <c r="E1194" s="70"/>
      <c r="F1194" s="70" t="str">
        <f>SUBSTITUTE(F1190,",5)",",9)")</f>
        <v>C(U2,1,9)</v>
      </c>
      <c r="G1194" s="73"/>
      <c r="H1194" s="76"/>
      <c r="I1194" s="9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182"/>
        <v>4</v>
      </c>
      <c r="D1195" s="73"/>
      <c r="E1195" s="70"/>
      <c r="F1195" s="70" t="str">
        <f>SUBSTITUTE(F1191,",6)",",10)")</f>
        <v>C(U2,1,10)</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182"/>
        <v>4</v>
      </c>
      <c r="D1196" s="73"/>
      <c r="E1196" s="70"/>
      <c r="F1196" s="70" t="str">
        <f>SUBSTITUTE(F1192,",7)",",11)")</f>
        <v>C(U2,1,11)</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82"/>
        <v>4</v>
      </c>
      <c r="D1197" s="73"/>
      <c r="E1197" s="70"/>
      <c r="F1197" s="70" t="s">
        <v>1963</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82"/>
        <v>4</v>
      </c>
      <c r="D1198" s="73"/>
      <c r="E1198" s="70"/>
      <c r="F1198" s="70" t="s">
        <v>1964</v>
      </c>
      <c r="G1198" s="73"/>
      <c r="H1198" s="76" t="s">
        <v>616</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f t="shared" si="182"/>
        <v>4</v>
      </c>
      <c r="D1199" s="73"/>
      <c r="E1199" s="70"/>
      <c r="F1199" s="70" t="s">
        <v>1965</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182"/>
        <v>4</v>
      </c>
      <c r="D1200" s="73"/>
      <c r="E1200" s="70"/>
      <c r="F1200" s="70" t="s">
        <v>1966</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182"/>
        <v>4</v>
      </c>
      <c r="D1201" s="73"/>
      <c r="E1201" s="70"/>
      <c r="F1201" s="70" t="s">
        <v>1967</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182"/>
        <v>4</v>
      </c>
      <c r="D1202" s="73"/>
      <c r="E1202" s="70"/>
      <c r="F1202" s="70" t="s">
        <v>1968</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c r="D1203" s="73"/>
      <c r="E1203" s="70"/>
      <c r="F1203" s="70" t="s">
        <v>2419</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c r="D1204" s="73"/>
      <c r="E1204" s="70"/>
      <c r="F1204" s="70" t="s">
        <v>2420</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c r="D1205" s="73"/>
      <c r="E1205" s="70"/>
      <c r="F1205" s="70" t="s">
        <v>2421</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182"/>
        <v>4</v>
      </c>
      <c r="D1206" s="73"/>
      <c r="E1206" s="70"/>
      <c r="F1206" s="70" t="str">
        <f>SUBSTITUTE(F1202,",4)",",8)")</f>
        <v>C(U2,2,8)</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82"/>
        <v>4</v>
      </c>
      <c r="D1207" s="73"/>
      <c r="E1207" s="70"/>
      <c r="F1207" s="70" t="str">
        <f>SUBSTITUTE(F1203,",5)",",9)")</f>
        <v>C(U2,2,9)</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82"/>
        <v>4</v>
      </c>
      <c r="D1208" s="73"/>
      <c r="E1208" s="70"/>
      <c r="F1208" s="70" t="str">
        <f>SUBSTITUTE(F1204,",6)",",10)")</f>
        <v>C(U2,2,10)</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82"/>
        <v>4</v>
      </c>
      <c r="D1209" s="73"/>
      <c r="E1209" s="70"/>
      <c r="F1209" s="70" t="str">
        <f>SUBSTITUTE(F1205,",7)",",11)")</f>
        <v>C(U2,2,11)</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82"/>
        <v>4</v>
      </c>
      <c r="D1210" s="73"/>
      <c r="E1210" s="70"/>
      <c r="F1210" s="70" t="s">
        <v>1969</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82"/>
        <v>4</v>
      </c>
      <c r="D1211" s="73"/>
      <c r="E1211" s="70"/>
      <c r="F1211" s="70" t="s">
        <v>1970</v>
      </c>
      <c r="G1211" s="73"/>
      <c r="H1211" s="76" t="s">
        <v>616</v>
      </c>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f t="shared" si="182"/>
        <v>4</v>
      </c>
      <c r="D1212" s="73"/>
      <c r="E1212" s="70"/>
      <c r="F1212" s="70" t="s">
        <v>1971</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f t="shared" si="182"/>
        <v>4</v>
      </c>
      <c r="D1213" s="73"/>
      <c r="E1213" s="70"/>
      <c r="F1213" s="70" t="s">
        <v>1972</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f t="shared" si="182"/>
        <v>4</v>
      </c>
      <c r="D1214" s="73"/>
      <c r="E1214" s="70"/>
      <c r="F1214" s="70" t="s">
        <v>1973</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182"/>
        <v>4</v>
      </c>
      <c r="D1215" s="73"/>
      <c r="E1215" s="70"/>
      <c r="F1215" s="70" t="s">
        <v>1974</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c r="D1216" s="73"/>
      <c r="E1216" s="70"/>
      <c r="F1216" s="70" t="s">
        <v>2422</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c r="D1217" s="73"/>
      <c r="E1217" s="70"/>
      <c r="F1217" s="70" t="s">
        <v>2423</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c r="D1218" s="73"/>
      <c r="E1218" s="70"/>
      <c r="F1218" s="70" t="s">
        <v>2424</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182"/>
        <v>4</v>
      </c>
      <c r="D1219" s="73"/>
      <c r="E1219" s="70"/>
      <c r="F1219" s="70" t="str">
        <f>SUBSTITUTE(F1215,",4)",",8)")</f>
        <v>C(U2,3,8)</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82"/>
        <v>4</v>
      </c>
      <c r="D1220" s="73"/>
      <c r="E1220" s="70"/>
      <c r="F1220" s="70" t="str">
        <f>SUBSTITUTE(F1216,",5)",",9)")</f>
        <v>C(U2,3,9)</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182"/>
        <v>4</v>
      </c>
      <c r="D1221" s="73"/>
      <c r="E1221" s="70"/>
      <c r="F1221" s="70" t="str">
        <f>SUBSTITUTE(F1217,",6)",",10)")</f>
        <v>C(U2,3,10)</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182"/>
        <v>4</v>
      </c>
      <c r="D1222" s="73"/>
      <c r="E1222" s="70"/>
      <c r="F1222" s="70" t="str">
        <f>SUBSTITUTE(F1218,",7)",",11)")</f>
        <v>C(U2,3,11)</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182"/>
        <v>4</v>
      </c>
      <c r="D1223" s="73"/>
      <c r="E1223" s="70"/>
      <c r="F1223" s="70" t="s">
        <v>1975</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82"/>
        <v>4</v>
      </c>
      <c r="D1224" s="73"/>
      <c r="E1224" s="70"/>
      <c r="F1224" s="70" t="s">
        <v>1976</v>
      </c>
      <c r="G1224" s="73"/>
      <c r="H1224" s="76" t="s">
        <v>616</v>
      </c>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f t="shared" si="182"/>
        <v>4</v>
      </c>
      <c r="D1225" s="73"/>
      <c r="E1225" s="70"/>
      <c r="F1225" s="70" t="s">
        <v>1977</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182"/>
        <v>4</v>
      </c>
      <c r="D1226" s="73"/>
      <c r="E1226" s="70"/>
      <c r="F1226" s="70" t="s">
        <v>1978</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182"/>
        <v>4</v>
      </c>
      <c r="D1227" s="73"/>
      <c r="E1227" s="70"/>
      <c r="F1227" s="70" t="s">
        <v>1979</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182"/>
        <v>4</v>
      </c>
      <c r="D1228" s="73"/>
      <c r="E1228" s="70"/>
      <c r="F1228" s="70" t="s">
        <v>1980</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c r="D1229" s="73"/>
      <c r="E1229" s="70"/>
      <c r="F1229" s="70" t="s">
        <v>2446</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c r="D1230" s="73"/>
      <c r="E1230" s="70"/>
      <c r="F1230" s="70" t="s">
        <v>2447</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c r="D1231" s="73"/>
      <c r="E1231" s="70"/>
      <c r="F1231" s="70" t="s">
        <v>2448</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182"/>
        <v>4</v>
      </c>
      <c r="D1232" s="73"/>
      <c r="E1232" s="70"/>
      <c r="F1232" s="70" t="str">
        <f>SUBSTITUTE(F1228,",4)",",8)")</f>
        <v>C(U2,4,8)</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82"/>
        <v>4</v>
      </c>
      <c r="D1233" s="73"/>
      <c r="E1233" s="70"/>
      <c r="F1233" s="70" t="str">
        <f>SUBSTITUTE(F1229,",5)",",9)")</f>
        <v>C(U2,4,9)</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82"/>
        <v>4</v>
      </c>
      <c r="D1234" s="73"/>
      <c r="E1234" s="70"/>
      <c r="F1234" s="70" t="str">
        <f>SUBSTITUTE(F1230,",6)",",10)")</f>
        <v>C(U2,4,10)</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82"/>
        <v>4</v>
      </c>
      <c r="D1235" s="73"/>
      <c r="E1235" s="70"/>
      <c r="F1235" s="70" t="str">
        <f>SUBSTITUTE(F1231,",7)",",11)")</f>
        <v>C(U2,4,11)</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82"/>
        <v>4</v>
      </c>
      <c r="D1236" s="73"/>
      <c r="E1236" s="70"/>
      <c r="F1236" s="70" t="s">
        <v>1981</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82"/>
        <v>4</v>
      </c>
      <c r="D1237" s="73"/>
      <c r="E1237" s="70"/>
      <c r="F1237" s="70" t="s">
        <v>1982</v>
      </c>
      <c r="G1237" s="73"/>
      <c r="H1237" s="76" t="s">
        <v>616</v>
      </c>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f t="shared" si="182"/>
        <v>4</v>
      </c>
      <c r="D1238" s="73"/>
      <c r="E1238" s="70"/>
      <c r="F1238" s="70" t="s">
        <v>1983</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f t="shared" si="182"/>
        <v>4</v>
      </c>
      <c r="D1239" s="73"/>
      <c r="E1239" s="70"/>
      <c r="F1239" s="70" t="s">
        <v>1984</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f t="shared" si="182"/>
        <v>4</v>
      </c>
      <c r="D1240" s="73"/>
      <c r="E1240" s="70"/>
      <c r="F1240" s="70" t="s">
        <v>1985</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182"/>
        <v>4</v>
      </c>
      <c r="D1241" s="73"/>
      <c r="E1241" s="70"/>
      <c r="F1241" s="70" t="s">
        <v>1986</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c r="D1242" s="73"/>
      <c r="E1242" s="70"/>
      <c r="F1242" s="70" t="s">
        <v>2449</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c r="D1243" s="73"/>
      <c r="E1243" s="70"/>
      <c r="F1243" s="70" t="s">
        <v>2450</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c r="D1244" s="73"/>
      <c r="E1244" s="70"/>
      <c r="F1244" s="70" t="s">
        <v>2451</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182"/>
        <v>4</v>
      </c>
      <c r="D1245" s="73"/>
      <c r="E1245" s="70"/>
      <c r="F1245" s="70" t="str">
        <f>SUBSTITUTE(F1241,",4)",",8)")</f>
        <v>C(U2,5,8)</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182"/>
        <v>4</v>
      </c>
      <c r="D1246" s="73"/>
      <c r="E1246" s="70"/>
      <c r="F1246" s="70" t="str">
        <f>SUBSTITUTE(F1242,",5)",",9)")</f>
        <v>C(U2,5,9)</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182"/>
        <v>4</v>
      </c>
      <c r="D1247" s="73"/>
      <c r="E1247" s="70"/>
      <c r="F1247" s="70" t="str">
        <f>SUBSTITUTE(F1243,",6)",",10)")</f>
        <v>C(U2,5,10)</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182"/>
        <v>4</v>
      </c>
      <c r="D1248" s="73"/>
      <c r="E1248" s="70"/>
      <c r="F1248" s="70" t="str">
        <f>SUBSTITUTE(F1244,",7)",",11)")</f>
        <v>C(U2,5,11)</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182"/>
        <v>4</v>
      </c>
      <c r="D1249" s="73"/>
      <c r="E1249" s="70"/>
      <c r="F1249" s="70" t="s">
        <v>1987</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182"/>
        <v>4</v>
      </c>
      <c r="D1250" s="73"/>
      <c r="E1250" s="70"/>
      <c r="F1250" s="70" t="s">
        <v>1988</v>
      </c>
      <c r="G1250" s="73"/>
      <c r="H1250" s="76" t="s">
        <v>616</v>
      </c>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f t="shared" si="182"/>
        <v>4</v>
      </c>
      <c r="D1251" s="73"/>
      <c r="E1251" s="70"/>
      <c r="F1251" s="70" t="s">
        <v>1989</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182"/>
        <v>4</v>
      </c>
      <c r="D1252" s="73"/>
      <c r="E1252" s="70"/>
      <c r="F1252" s="70" t="s">
        <v>1990</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182"/>
        <v>4</v>
      </c>
      <c r="D1253" s="73"/>
      <c r="E1253" s="70"/>
      <c r="F1253" s="70" t="s">
        <v>1991</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182"/>
        <v>4</v>
      </c>
      <c r="D1254" s="73"/>
      <c r="E1254" s="70"/>
      <c r="F1254" s="70" t="s">
        <v>1992</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c r="D1255" s="73"/>
      <c r="E1255" s="70"/>
      <c r="F1255" s="70" t="s">
        <v>2452</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c r="D1256" s="73"/>
      <c r="E1256" s="70"/>
      <c r="F1256" s="70" t="s">
        <v>2453</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c r="D1257" s="73"/>
      <c r="E1257" s="70"/>
      <c r="F1257" s="70" t="s">
        <v>2454</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182"/>
        <v>4</v>
      </c>
      <c r="D1258" s="73"/>
      <c r="E1258" s="70"/>
      <c r="F1258" s="70" t="str">
        <f>SUBSTITUTE(F1254,",4)",",8)")</f>
        <v>C(U2,6,8)</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182"/>
        <v>4</v>
      </c>
      <c r="D1259" s="73"/>
      <c r="E1259" s="70"/>
      <c r="F1259" s="70" t="str">
        <f>SUBSTITUTE(F1255,",5)",",9)")</f>
        <v>C(U2,6,9)</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182"/>
        <v>4</v>
      </c>
      <c r="D1260" s="73"/>
      <c r="E1260" s="70"/>
      <c r="F1260" s="70" t="str">
        <f>SUBSTITUTE(F1256,",6)",",10)")</f>
        <v>C(U2,6,10)</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182"/>
        <v>4</v>
      </c>
      <c r="D1261" s="73"/>
      <c r="E1261" s="70"/>
      <c r="F1261" s="70" t="str">
        <f>SUBSTITUTE(F1257,",7)",",11)")</f>
        <v>C(U2,6,11)</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182"/>
        <v>4</v>
      </c>
      <c r="D1262" s="73"/>
      <c r="E1262" s="70"/>
      <c r="F1262" s="70" t="s">
        <v>1993</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182"/>
        <v>4</v>
      </c>
      <c r="D1263" s="73"/>
      <c r="E1263" s="70"/>
      <c r="F1263" s="70" t="s">
        <v>1994</v>
      </c>
      <c r="G1263" s="73"/>
      <c r="H1263" s="76" t="s">
        <v>616</v>
      </c>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182"/>
        <v>4</v>
      </c>
      <c r="D1264" s="73"/>
      <c r="E1264" s="70"/>
      <c r="F1264" s="70" t="s">
        <v>1995</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182"/>
        <v>4</v>
      </c>
      <c r="D1265" s="73"/>
      <c r="E1265" s="70"/>
      <c r="F1265" s="70" t="s">
        <v>1996</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f t="shared" si="182"/>
        <v>4</v>
      </c>
      <c r="D1266" s="73"/>
      <c r="E1266" s="70"/>
      <c r="F1266" s="70" t="s">
        <v>1997</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182"/>
        <v>4</v>
      </c>
      <c r="D1267" s="73"/>
      <c r="E1267" s="70"/>
      <c r="F1267" s="70" t="s">
        <v>1998</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c r="D1268" s="73"/>
      <c r="E1268" s="70"/>
      <c r="F1268" s="70" t="s">
        <v>2455</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c r="D1269" s="73"/>
      <c r="E1269" s="70"/>
      <c r="F1269" s="70" t="s">
        <v>2456</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c r="D1270" s="73"/>
      <c r="E1270" s="70"/>
      <c r="F1270" s="70" t="s">
        <v>2457</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182"/>
        <v>4</v>
      </c>
      <c r="D1271" s="73"/>
      <c r="E1271" s="70"/>
      <c r="F1271" s="70" t="str">
        <f>SUBSTITUTE(F1267,",4)",",8)")</f>
        <v>C(U2,7,8)</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182"/>
        <v>4</v>
      </c>
      <c r="D1272" s="73"/>
      <c r="E1272" s="70"/>
      <c r="F1272" s="70" t="str">
        <f>SUBSTITUTE(F1268,",5)",",9)")</f>
        <v>C(U2,7,9)</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182"/>
        <v>4</v>
      </c>
      <c r="D1273" s="73"/>
      <c r="E1273" s="70"/>
      <c r="F1273" s="70" t="str">
        <f>SUBSTITUTE(F1269,",6)",",10)")</f>
        <v>C(U2,7,10)</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182"/>
        <v>4</v>
      </c>
      <c r="D1274" s="73"/>
      <c r="E1274" s="70"/>
      <c r="F1274" s="70" t="str">
        <f>SUBSTITUTE(F1270,",7)",",11)")</f>
        <v>C(U2,7,11)</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f t="shared" si="182"/>
        <v>4</v>
      </c>
      <c r="D1275" s="73"/>
      <c r="E1275" s="416"/>
      <c r="F1275" s="416" t="s">
        <v>1999</v>
      </c>
      <c r="G1275" s="73"/>
      <c r="H1275" s="109"/>
      <c r="I1275" s="109"/>
      <c r="J1275" s="109"/>
      <c r="K1275" s="109"/>
      <c r="L1275" s="109"/>
      <c r="M1275" s="109"/>
      <c r="N1275" s="109"/>
      <c r="O1275" s="109"/>
      <c r="P1275" s="109"/>
      <c r="Q1275" s="109"/>
      <c r="R1275" s="109"/>
      <c r="S1275" s="109"/>
      <c r="T1275" s="109"/>
      <c r="U1275" s="109"/>
      <c r="V1275" s="109"/>
      <c r="W1275" s="109"/>
      <c r="X1275" s="109"/>
      <c r="Y1275" s="109"/>
      <c r="Z1275" s="109"/>
      <c r="AA1275" s="109"/>
      <c r="AB1275" s="109"/>
      <c r="AC1275" s="109"/>
      <c r="AD1275" s="109"/>
      <c r="AE1275" s="109"/>
      <c r="AF1275" s="109">
        <v>1</v>
      </c>
      <c r="AG1275" s="109">
        <v>1</v>
      </c>
      <c r="AH1275" s="73"/>
      <c r="AI1275" s="57"/>
      <c r="AJ1275" s="45"/>
      <c r="AK1275" s="45"/>
      <c r="AL1275" s="45"/>
    </row>
    <row r="1276" spans="1:38" hidden="1" outlineLevel="2" x14ac:dyDescent="0.35">
      <c r="A1276" s="45"/>
      <c r="B1276" s="54"/>
      <c r="C1276" s="47">
        <f t="shared" ref="C1276:C1288" si="183">INT($C$29)+2</f>
        <v>3</v>
      </c>
      <c r="D1276" s="73"/>
      <c r="E1276" s="420"/>
      <c r="F1276" s="420" t="s">
        <v>2000</v>
      </c>
      <c r="G1276" s="421"/>
      <c r="H1276" s="188" t="s">
        <v>2001</v>
      </c>
      <c r="I1276" s="188"/>
      <c r="J1276" s="188"/>
      <c r="K1276" s="188"/>
      <c r="L1276" s="188"/>
      <c r="M1276" s="188"/>
      <c r="N1276" s="188"/>
      <c r="O1276" s="188"/>
      <c r="P1276" s="188"/>
      <c r="Q1276" s="188"/>
      <c r="R1276" s="188"/>
      <c r="S1276" s="188"/>
      <c r="T1276" s="188"/>
      <c r="U1276" s="422">
        <v>3.157</v>
      </c>
      <c r="V1276" s="423">
        <f t="shared" ref="V1276:W1278" si="184">U1276</f>
        <v>3.157</v>
      </c>
      <c r="W1276" s="423">
        <f t="shared" si="184"/>
        <v>3.157</v>
      </c>
      <c r="X1276" s="423">
        <f>Y1276</f>
        <v>2.9750000000000001</v>
      </c>
      <c r="Y1276" s="422">
        <v>2.9750000000000001</v>
      </c>
      <c r="Z1276" s="423">
        <f t="shared" ref="Z1276:AB1278" si="185">Y1276</f>
        <v>2.9750000000000001</v>
      </c>
      <c r="AA1276" s="423">
        <f t="shared" si="185"/>
        <v>2.9750000000000001</v>
      </c>
      <c r="AB1276" s="423">
        <f t="shared" si="185"/>
        <v>2.9750000000000001</v>
      </c>
      <c r="AC1276" s="188"/>
      <c r="AD1276" s="422" t="s">
        <v>2607</v>
      </c>
      <c r="AE1276" s="188"/>
      <c r="AF1276" s="422">
        <v>1</v>
      </c>
      <c r="AG1276" s="422">
        <v>1</v>
      </c>
      <c r="AH1276" s="73"/>
      <c r="AI1276" s="57"/>
      <c r="AJ1276" s="45"/>
      <c r="AK1276" s="45"/>
      <c r="AL1276" s="45"/>
    </row>
    <row r="1277" spans="1:38" hidden="1" outlineLevel="2" x14ac:dyDescent="0.35">
      <c r="A1277" s="45"/>
      <c r="B1277" s="54"/>
      <c r="C1277" s="47">
        <f t="shared" si="183"/>
        <v>3</v>
      </c>
      <c r="D1277" s="73"/>
      <c r="E1277" s="70"/>
      <c r="F1277" s="70" t="s">
        <v>2002</v>
      </c>
      <c r="G1277" s="241"/>
      <c r="H1277" s="76" t="s">
        <v>2003</v>
      </c>
      <c r="I1277" s="76"/>
      <c r="J1277" s="76"/>
      <c r="K1277" s="76"/>
      <c r="L1277" s="76"/>
      <c r="M1277" s="76"/>
      <c r="N1277" s="76"/>
      <c r="O1277" s="76"/>
      <c r="P1277" s="76"/>
      <c r="Q1277" s="76"/>
      <c r="R1277" s="76"/>
      <c r="S1277" s="76"/>
      <c r="T1277" s="76"/>
      <c r="U1277" s="97">
        <v>-0.28570000000000001</v>
      </c>
      <c r="V1277" s="262">
        <f t="shared" si="184"/>
        <v>-0.28570000000000001</v>
      </c>
      <c r="W1277" s="262">
        <f t="shared" si="184"/>
        <v>-0.28570000000000001</v>
      </c>
      <c r="X1277" s="418">
        <f>Y1277</f>
        <v>-0.23649999999999999</v>
      </c>
      <c r="Y1277" s="97">
        <v>-0.23649999999999999</v>
      </c>
      <c r="Z1277" s="418">
        <f t="shared" si="185"/>
        <v>-0.23649999999999999</v>
      </c>
      <c r="AA1277" s="418">
        <f t="shared" si="185"/>
        <v>-0.23649999999999999</v>
      </c>
      <c r="AB1277" s="418">
        <f t="shared" si="185"/>
        <v>-0.23649999999999999</v>
      </c>
      <c r="AC1277" s="76"/>
      <c r="AD1277" s="76"/>
      <c r="AE1277" s="76"/>
      <c r="AF1277" s="97">
        <v>1</v>
      </c>
      <c r="AG1277" s="97">
        <v>1</v>
      </c>
      <c r="AH1277" s="73"/>
      <c r="AI1277" s="57"/>
      <c r="AJ1277" s="45"/>
      <c r="AK1277" s="45"/>
      <c r="AL1277" s="45"/>
    </row>
    <row r="1278" spans="1:38" hidden="1" outlineLevel="2" collapsed="1" x14ac:dyDescent="0.35">
      <c r="A1278" s="45"/>
      <c r="B1278" s="54"/>
      <c r="C1278" s="47">
        <f t="shared" si="183"/>
        <v>3</v>
      </c>
      <c r="D1278" s="73"/>
      <c r="E1278" s="70"/>
      <c r="F1278" s="70" t="s">
        <v>2004</v>
      </c>
      <c r="G1278" s="241"/>
      <c r="H1278" s="76" t="s">
        <v>2005</v>
      </c>
      <c r="I1278" s="76"/>
      <c r="J1278" s="76"/>
      <c r="K1278" s="76"/>
      <c r="L1278" s="76"/>
      <c r="M1278" s="76"/>
      <c r="N1278" s="76"/>
      <c r="O1278" s="76"/>
      <c r="P1278" s="76"/>
      <c r="Q1278" s="76"/>
      <c r="R1278" s="76"/>
      <c r="S1278" s="76"/>
      <c r="T1278" s="76"/>
      <c r="U1278" s="97">
        <v>-7.9950000000000004E-3</v>
      </c>
      <c r="V1278" s="262">
        <f t="shared" si="184"/>
        <v>-7.9950000000000004E-3</v>
      </c>
      <c r="W1278" s="262">
        <f t="shared" si="184"/>
        <v>-7.9950000000000004E-3</v>
      </c>
      <c r="X1278" s="418">
        <f>Y1278</f>
        <v>-1.761E-3</v>
      </c>
      <c r="Y1278" s="97">
        <v>-1.761E-3</v>
      </c>
      <c r="Z1278" s="418">
        <f t="shared" si="185"/>
        <v>-1.761E-3</v>
      </c>
      <c r="AA1278" s="418">
        <f t="shared" si="185"/>
        <v>-1.761E-3</v>
      </c>
      <c r="AB1278" s="418">
        <f t="shared" si="185"/>
        <v>-1.761E-3</v>
      </c>
      <c r="AC1278" s="76"/>
      <c r="AD1278" s="76"/>
      <c r="AE1278" s="76"/>
      <c r="AF1278" s="97">
        <v>1</v>
      </c>
      <c r="AG1278" s="97">
        <v>1</v>
      </c>
      <c r="AH1278" s="73"/>
      <c r="AI1278" s="57"/>
      <c r="AJ1278" s="45"/>
      <c r="AK1278" s="45"/>
      <c r="AL1278" s="45"/>
    </row>
    <row r="1279" spans="1:38" hidden="1" outlineLevel="3" x14ac:dyDescent="0.35">
      <c r="A1279" s="45"/>
      <c r="B1279" s="54"/>
      <c r="C1279" s="47">
        <f t="shared" si="182"/>
        <v>4</v>
      </c>
      <c r="D1279" s="73"/>
      <c r="E1279" s="70"/>
      <c r="F1279" s="70" t="s">
        <v>2006</v>
      </c>
      <c r="G1279" s="241"/>
      <c r="H1279" s="76" t="s">
        <v>2510</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2" x14ac:dyDescent="0.35">
      <c r="A1280" s="45"/>
      <c r="B1280" s="54"/>
      <c r="C1280" s="47">
        <f t="shared" si="183"/>
        <v>3</v>
      </c>
      <c r="D1280" s="73"/>
      <c r="E1280" s="70"/>
      <c r="F1280" s="70" t="s">
        <v>2008</v>
      </c>
      <c r="G1280" s="241"/>
      <c r="H1280" s="76" t="s">
        <v>2007</v>
      </c>
      <c r="I1280" s="76"/>
      <c r="J1280" s="76"/>
      <c r="K1280" s="76"/>
      <c r="L1280" s="76"/>
      <c r="M1280" s="76"/>
      <c r="N1280" s="76"/>
      <c r="O1280" s="76"/>
      <c r="P1280" s="76"/>
      <c r="Q1280" s="76"/>
      <c r="R1280" s="76"/>
      <c r="S1280" s="76"/>
      <c r="T1280" s="76"/>
      <c r="U1280" s="97">
        <f>0.001337*0</f>
        <v>0</v>
      </c>
      <c r="V1280" s="262">
        <f>U1280</f>
        <v>0</v>
      </c>
      <c r="W1280" s="262">
        <f>V1280</f>
        <v>0</v>
      </c>
      <c r="X1280" s="418">
        <f>Y1280</f>
        <v>0</v>
      </c>
      <c r="Y1280" s="97">
        <v>0</v>
      </c>
      <c r="Z1280" s="418">
        <f t="shared" ref="Z1280:AB1281" si="186">Y1280</f>
        <v>0</v>
      </c>
      <c r="AA1280" s="418">
        <f t="shared" si="186"/>
        <v>0</v>
      </c>
      <c r="AB1280" s="418">
        <f t="shared" si="186"/>
        <v>0</v>
      </c>
      <c r="AC1280" s="76"/>
      <c r="AD1280" s="76"/>
      <c r="AE1280" s="76"/>
      <c r="AF1280" s="97">
        <v>1</v>
      </c>
      <c r="AG1280" s="97">
        <v>1</v>
      </c>
      <c r="AH1280" s="73"/>
      <c r="AI1280" s="57"/>
      <c r="AJ1280" s="45"/>
      <c r="AK1280" s="45"/>
      <c r="AL1280" s="45"/>
    </row>
    <row r="1281" spans="1:38" hidden="1" outlineLevel="2" collapsed="1" x14ac:dyDescent="0.35">
      <c r="A1281" s="45"/>
      <c r="B1281" s="54"/>
      <c r="C1281" s="47">
        <f t="shared" si="183"/>
        <v>3</v>
      </c>
      <c r="D1281" s="73"/>
      <c r="E1281" s="70"/>
      <c r="F1281" s="70" t="s">
        <v>2513</v>
      </c>
      <c r="G1281" s="241"/>
      <c r="H1281" s="76" t="s">
        <v>2009</v>
      </c>
      <c r="I1281" s="76"/>
      <c r="J1281" s="76"/>
      <c r="K1281" s="76"/>
      <c r="L1281" s="76"/>
      <c r="M1281" s="76"/>
      <c r="N1281" s="76"/>
      <c r="O1281" s="76"/>
      <c r="P1281" s="76"/>
      <c r="Q1281" s="76"/>
      <c r="R1281" s="76"/>
      <c r="S1281" s="76"/>
      <c r="T1281" s="76"/>
      <c r="U1281" s="97">
        <f>-0.000000272*0</f>
        <v>0</v>
      </c>
      <c r="V1281" s="262">
        <f>U1281</f>
        <v>0</v>
      </c>
      <c r="W1281" s="262">
        <f>V1281</f>
        <v>0</v>
      </c>
      <c r="X1281" s="418">
        <f>Y1281</f>
        <v>0</v>
      </c>
      <c r="Y1281" s="97">
        <v>0</v>
      </c>
      <c r="Z1281" s="418">
        <f t="shared" si="186"/>
        <v>0</v>
      </c>
      <c r="AA1281" s="418">
        <f t="shared" si="186"/>
        <v>0</v>
      </c>
      <c r="AB1281" s="418">
        <f t="shared" si="186"/>
        <v>0</v>
      </c>
      <c r="AC1281" s="76"/>
      <c r="AD1281" s="76"/>
      <c r="AE1281" s="76"/>
      <c r="AF1281" s="97">
        <v>1</v>
      </c>
      <c r="AG1281" s="97">
        <v>1</v>
      </c>
      <c r="AH1281" s="73"/>
      <c r="AI1281" s="57"/>
      <c r="AJ1281" s="45"/>
      <c r="AK1281" s="45"/>
      <c r="AL1281" s="45"/>
    </row>
    <row r="1282" spans="1:38" hidden="1" outlineLevel="3" x14ac:dyDescent="0.35">
      <c r="A1282" s="45"/>
      <c r="B1282" s="54"/>
      <c r="C1282" s="47">
        <f t="shared" si="182"/>
        <v>4</v>
      </c>
      <c r="D1282" s="73"/>
      <c r="E1282" s="70"/>
      <c r="F1282" s="70" t="s">
        <v>2514</v>
      </c>
      <c r="G1282" s="241"/>
      <c r="H1282" s="76" t="s">
        <v>2511</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182"/>
        <v>4</v>
      </c>
      <c r="D1283" s="73"/>
      <c r="E1283" s="70"/>
      <c r="F1283" s="70" t="s">
        <v>2515</v>
      </c>
      <c r="G1283" s="241"/>
      <c r="H1283" s="76" t="s">
        <v>2512</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f t="shared" si="182"/>
        <v>4</v>
      </c>
      <c r="D1284" s="73"/>
      <c r="E1284" s="70"/>
      <c r="F1284" s="70" t="str">
        <f>SUBSTITUTE(F1280,",4)",",8)")</f>
        <v>C(U2,8,8)</v>
      </c>
      <c r="G1284" s="73"/>
      <c r="H1284" s="76" t="s">
        <v>2765</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f t="shared" si="182"/>
        <v>4</v>
      </c>
      <c r="D1285" s="73"/>
      <c r="E1285" s="70"/>
      <c r="F1285" s="70" t="str">
        <f>SUBSTITUTE(F1281,",5)",",9)")</f>
        <v>C(U2,8,9)</v>
      </c>
      <c r="G1285" s="73"/>
      <c r="H1285" s="76" t="s">
        <v>2766</v>
      </c>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f t="shared" si="182"/>
        <v>4</v>
      </c>
      <c r="D1286" s="73"/>
      <c r="E1286" s="70"/>
      <c r="F1286" s="70" t="str">
        <f>SUBSTITUTE(F1282,",6)",",10)")</f>
        <v>C(U2,8,10)</v>
      </c>
      <c r="G1286" s="73"/>
      <c r="H1286" s="76" t="s">
        <v>2767</v>
      </c>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182"/>
        <v>4</v>
      </c>
      <c r="D1287" s="73"/>
      <c r="E1287" s="70"/>
      <c r="F1287" s="70" t="str">
        <f>SUBSTITUTE(F1283,",7)",",11)")</f>
        <v>C(U2,8,11)</v>
      </c>
      <c r="G1287" s="73"/>
      <c r="H1287" s="76" t="s">
        <v>2768</v>
      </c>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collapsed="1" x14ac:dyDescent="0.35">
      <c r="A1288" s="45"/>
      <c r="B1288" s="54"/>
      <c r="C1288" s="47">
        <f t="shared" si="183"/>
        <v>3</v>
      </c>
      <c r="D1288" s="73"/>
      <c r="E1288" s="424"/>
      <c r="F1288" s="424" t="s">
        <v>2010</v>
      </c>
      <c r="G1288" s="425"/>
      <c r="H1288" s="191" t="s">
        <v>2674</v>
      </c>
      <c r="I1288" s="191"/>
      <c r="J1288" s="191"/>
      <c r="K1288" s="191"/>
      <c r="L1288" s="191"/>
      <c r="M1288" s="191"/>
      <c r="N1288" s="191"/>
      <c r="O1288" s="191"/>
      <c r="P1288" s="191"/>
      <c r="Q1288" s="191"/>
      <c r="R1288" s="191"/>
      <c r="S1288" s="191"/>
      <c r="T1288" s="191"/>
      <c r="U1288" s="427">
        <v>1.7397800000000001</v>
      </c>
      <c r="V1288" s="428">
        <f>U1288</f>
        <v>1.7397800000000001</v>
      </c>
      <c r="W1288" s="428">
        <f>V1288</f>
        <v>1.7397800000000001</v>
      </c>
      <c r="X1288" s="428">
        <f>Y1288</f>
        <v>-4.3544999999999998</v>
      </c>
      <c r="Y1288" s="427">
        <v>-4.3544999999999998</v>
      </c>
      <c r="Z1288" s="428">
        <f>Y1288</f>
        <v>-4.3544999999999998</v>
      </c>
      <c r="AA1288" s="428">
        <f>Z1288</f>
        <v>-4.3544999999999998</v>
      </c>
      <c r="AB1288" s="428">
        <f>AA1288</f>
        <v>-4.3544999999999998</v>
      </c>
      <c r="AC1288" s="191"/>
      <c r="AD1288" s="191"/>
      <c r="AE1288" s="191"/>
      <c r="AF1288" s="427">
        <v>1</v>
      </c>
      <c r="AG1288" s="427">
        <v>1</v>
      </c>
      <c r="AH1288" s="73"/>
      <c r="AI1288" s="57"/>
      <c r="AJ1288" s="45"/>
      <c r="AK1288" s="45"/>
      <c r="AL1288" s="45"/>
    </row>
    <row r="1289" spans="1:38" hidden="1" outlineLevel="3" x14ac:dyDescent="0.35">
      <c r="A1289" s="45"/>
      <c r="B1289" s="54"/>
      <c r="C1289" s="47">
        <f t="shared" si="182"/>
        <v>4</v>
      </c>
      <c r="D1289" s="73"/>
      <c r="E1289" s="417"/>
      <c r="F1289" s="417" t="s">
        <v>2011</v>
      </c>
      <c r="G1289" s="73"/>
      <c r="H1289" s="105" t="s">
        <v>616</v>
      </c>
      <c r="I1289" s="105"/>
      <c r="J1289" s="105"/>
      <c r="K1289" s="105"/>
      <c r="L1289" s="105"/>
      <c r="M1289" s="105"/>
      <c r="N1289" s="105"/>
      <c r="O1289" s="105"/>
      <c r="P1289" s="105"/>
      <c r="Q1289" s="105"/>
      <c r="R1289" s="105"/>
      <c r="S1289" s="105"/>
      <c r="T1289" s="105"/>
      <c r="U1289" s="105"/>
      <c r="V1289" s="105"/>
      <c r="W1289" s="105"/>
      <c r="X1289" s="105"/>
      <c r="Y1289" s="105"/>
      <c r="Z1289" s="105"/>
      <c r="AA1289" s="105"/>
      <c r="AB1289" s="105"/>
      <c r="AC1289" s="105"/>
      <c r="AD1289" s="105"/>
      <c r="AE1289" s="105"/>
      <c r="AF1289" s="105">
        <v>1</v>
      </c>
      <c r="AG1289" s="105">
        <v>1</v>
      </c>
      <c r="AH1289" s="73"/>
      <c r="AI1289" s="57"/>
      <c r="AJ1289" s="45"/>
      <c r="AK1289" s="45"/>
      <c r="AL1289" s="45"/>
    </row>
    <row r="1290" spans="1:38" hidden="1" outlineLevel="3" x14ac:dyDescent="0.35">
      <c r="A1290" s="45"/>
      <c r="B1290" s="54"/>
      <c r="C1290" s="47">
        <f t="shared" si="182"/>
        <v>4</v>
      </c>
      <c r="D1290" s="73"/>
      <c r="E1290" s="70"/>
      <c r="F1290" s="70" t="s">
        <v>2012</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f t="shared" si="182"/>
        <v>4</v>
      </c>
      <c r="D1291" s="73"/>
      <c r="E1291" s="70"/>
      <c r="F1291" s="70" t="s">
        <v>2013</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f t="shared" si="182"/>
        <v>4</v>
      </c>
      <c r="D1292" s="73"/>
      <c r="E1292" s="70"/>
      <c r="F1292" s="70" t="s">
        <v>2014</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182"/>
        <v>4</v>
      </c>
      <c r="D1293" s="73"/>
      <c r="E1293" s="70"/>
      <c r="F1293" s="70" t="s">
        <v>2015</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c r="D1294" s="73"/>
      <c r="E1294" s="70"/>
      <c r="F1294" s="70" t="s">
        <v>2458</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c r="D1295" s="73"/>
      <c r="E1295" s="70"/>
      <c r="F1295" s="70" t="s">
        <v>2459</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c r="D1296" s="73"/>
      <c r="E1296" s="70"/>
      <c r="F1296" s="70" t="s">
        <v>2460</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182"/>
        <v>4</v>
      </c>
      <c r="D1297" s="73"/>
      <c r="E1297" s="70"/>
      <c r="F1297" s="70" t="str">
        <f>SUBSTITUTE(F1293,",4)",",8)")</f>
        <v>C(U2,9,8)</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182"/>
        <v>4</v>
      </c>
      <c r="D1298" s="73"/>
      <c r="E1298" s="70"/>
      <c r="F1298" s="70" t="str">
        <f>SUBSTITUTE(F1294,",5)",",9)")</f>
        <v>C(U2,9,9)</v>
      </c>
      <c r="G1298" s="73"/>
      <c r="H1298" s="76"/>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182"/>
        <v>4</v>
      </c>
      <c r="D1299" s="73"/>
      <c r="E1299" s="70"/>
      <c r="F1299" s="70" t="str">
        <f>SUBSTITUTE(F1295,",6)",",10)")</f>
        <v>C(U2,9,10)</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182"/>
        <v>4</v>
      </c>
      <c r="D1300" s="73"/>
      <c r="E1300" s="70"/>
      <c r="F1300" s="70" t="str">
        <f>SUBSTITUTE(F1296,",7)",",11)")</f>
        <v>C(U2,9,11)</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182"/>
        <v>4</v>
      </c>
      <c r="D1301" s="73"/>
      <c r="E1301" s="70"/>
      <c r="F1301" s="70" t="s">
        <v>2016</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182"/>
        <v>4</v>
      </c>
      <c r="D1302" s="73"/>
      <c r="E1302" s="70"/>
      <c r="F1302" s="70" t="s">
        <v>2017</v>
      </c>
      <c r="G1302" s="73"/>
      <c r="H1302" s="76" t="s">
        <v>616</v>
      </c>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f t="shared" si="182"/>
        <v>4</v>
      </c>
      <c r="D1303" s="73"/>
      <c r="E1303" s="70"/>
      <c r="F1303" s="70" t="s">
        <v>2018</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f t="shared" si="182"/>
        <v>4</v>
      </c>
      <c r="D1304" s="73"/>
      <c r="E1304" s="70"/>
      <c r="F1304" s="70" t="s">
        <v>2019</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182"/>
        <v>4</v>
      </c>
      <c r="D1305" s="73"/>
      <c r="E1305" s="70"/>
      <c r="F1305" s="70" t="s">
        <v>2020</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182"/>
        <v>4</v>
      </c>
      <c r="D1306" s="73"/>
      <c r="E1306" s="70"/>
      <c r="F1306" s="70" t="s">
        <v>2021</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c r="D1307" s="73"/>
      <c r="E1307" s="70"/>
      <c r="F1307" s="70" t="s">
        <v>2461</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c r="D1308" s="73"/>
      <c r="E1308" s="70"/>
      <c r="F1308" s="70" t="s">
        <v>2462</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c r="D1309" s="73"/>
      <c r="E1309" s="70"/>
      <c r="F1309" s="70" t="s">
        <v>2463</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182"/>
        <v>4</v>
      </c>
      <c r="D1310" s="73"/>
      <c r="E1310" s="70"/>
      <c r="F1310" s="70" t="str">
        <f>SUBSTITUTE(F1306,",4)",",8)")</f>
        <v>C(U2,10,8)</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182"/>
        <v>4</v>
      </c>
      <c r="D1311" s="73"/>
      <c r="E1311" s="70"/>
      <c r="F1311" s="70" t="str">
        <f>SUBSTITUTE(F1307,",5)",",9)")</f>
        <v>C(U2,10,9)</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182"/>
        <v>4</v>
      </c>
      <c r="D1312" s="73"/>
      <c r="E1312" s="70"/>
      <c r="F1312" s="70" t="str">
        <f>SUBSTITUTE(F1308,",6)",",10)")</f>
        <v>C(U2,10,10)</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182"/>
        <v>4</v>
      </c>
      <c r="D1313" s="73"/>
      <c r="E1313" s="70"/>
      <c r="F1313" s="70" t="str">
        <f>SUBSTITUTE(F1309,",7)",",11)")</f>
        <v>C(U2,10,11)</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182"/>
        <v>4</v>
      </c>
      <c r="D1314" s="73"/>
      <c r="E1314" s="70"/>
      <c r="F1314" s="70" t="s">
        <v>2022</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182"/>
        <v>4</v>
      </c>
      <c r="D1315" s="73"/>
      <c r="E1315" s="70"/>
      <c r="F1315" s="70" t="s">
        <v>2023</v>
      </c>
      <c r="G1315" s="73"/>
      <c r="H1315" s="76" t="s">
        <v>616</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f t="shared" si="182"/>
        <v>4</v>
      </c>
      <c r="D1316" s="73"/>
      <c r="E1316" s="70"/>
      <c r="F1316" s="70" t="s">
        <v>2024</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si="182"/>
        <v>4</v>
      </c>
      <c r="D1317" s="73"/>
      <c r="E1317" s="70"/>
      <c r="F1317" s="70" t="s">
        <v>2025</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182"/>
        <v>4</v>
      </c>
      <c r="D1318" s="73"/>
      <c r="E1318" s="70"/>
      <c r="F1318" s="70" t="s">
        <v>2026</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182"/>
        <v>4</v>
      </c>
      <c r="D1319" s="73"/>
      <c r="E1319" s="70"/>
      <c r="F1319" s="70" t="s">
        <v>2027</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c r="D1320" s="73"/>
      <c r="E1320" s="70"/>
      <c r="F1320" s="70" t="s">
        <v>2464</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c r="D1321" s="73"/>
      <c r="E1321" s="70"/>
      <c r="F1321" s="70" t="s">
        <v>2465</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c r="D1322" s="73"/>
      <c r="E1322" s="70"/>
      <c r="F1322" s="70" t="s">
        <v>2466</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182"/>
        <v>4</v>
      </c>
      <c r="D1323" s="73"/>
      <c r="E1323" s="70"/>
      <c r="F1323" s="70" t="str">
        <f>SUBSTITUTE(F1319,",4)",",8)")</f>
        <v>C(U2,11,8)</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182"/>
        <v>4</v>
      </c>
      <c r="D1324" s="73"/>
      <c r="E1324" s="70"/>
      <c r="F1324" s="70" t="str">
        <f>SUBSTITUTE(F1320,",5)",",9)")</f>
        <v>C(U2,11,9)</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182"/>
        <v>4</v>
      </c>
      <c r="D1325" s="73"/>
      <c r="E1325" s="70"/>
      <c r="F1325" s="70" t="str">
        <f>SUBSTITUTE(F1321,",6)",",10)")</f>
        <v>C(U2,11,10)</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182"/>
        <v>4</v>
      </c>
      <c r="D1326" s="73"/>
      <c r="E1326" s="70"/>
      <c r="F1326" s="70" t="str">
        <f>SUBSTITUTE(F1322,",7)",",11)")</f>
        <v>C(U2,11,11)</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182"/>
        <v>4</v>
      </c>
      <c r="D1327" s="73"/>
      <c r="E1327" s="70"/>
      <c r="F1327" s="70" t="s">
        <v>2028</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182"/>
        <v>4</v>
      </c>
      <c r="D1328" s="73"/>
      <c r="E1328" s="70"/>
      <c r="F1328" s="70" t="s">
        <v>2029</v>
      </c>
      <c r="G1328" s="73"/>
      <c r="H1328" s="76" t="s">
        <v>616</v>
      </c>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f t="shared" si="182"/>
        <v>4</v>
      </c>
      <c r="D1329" s="73"/>
      <c r="E1329" s="70"/>
      <c r="F1329" s="70" t="s">
        <v>2030</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f t="shared" si="182"/>
        <v>4</v>
      </c>
      <c r="D1330" s="73"/>
      <c r="E1330" s="70"/>
      <c r="F1330" s="70" t="s">
        <v>2031</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f t="shared" si="182"/>
        <v>4</v>
      </c>
      <c r="D1331" s="73"/>
      <c r="E1331" s="70"/>
      <c r="F1331" s="70" t="s">
        <v>2032</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182"/>
        <v>4</v>
      </c>
      <c r="D1332" s="73"/>
      <c r="E1332" s="70"/>
      <c r="F1332" s="70" t="s">
        <v>2033</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c r="D1333" s="73"/>
      <c r="E1333" s="70"/>
      <c r="F1333" s="70" t="s">
        <v>2467</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c r="D1334" s="73"/>
      <c r="E1334" s="70"/>
      <c r="F1334" s="70" t="s">
        <v>2468</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c r="D1335" s="73"/>
      <c r="E1335" s="70"/>
      <c r="F1335" s="70" t="s">
        <v>2469</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182"/>
        <v>4</v>
      </c>
      <c r="D1336" s="73"/>
      <c r="E1336" s="70"/>
      <c r="F1336" s="70" t="str">
        <f>SUBSTITUTE(F1332,",4)",",8)")</f>
        <v>C(U2,12,8)</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182"/>
        <v>4</v>
      </c>
      <c r="D1337" s="73"/>
      <c r="E1337" s="70"/>
      <c r="F1337" s="70" t="str">
        <f>SUBSTITUTE(F1333,",5)",",9)")</f>
        <v>C(U2,12,9)</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182"/>
        <v>4</v>
      </c>
      <c r="D1338" s="73"/>
      <c r="E1338" s="70"/>
      <c r="F1338" s="70" t="str">
        <f>SUBSTITUTE(F1334,",6)",",10)")</f>
        <v>C(U2,12,10)</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182"/>
        <v>4</v>
      </c>
      <c r="D1339" s="73"/>
      <c r="E1339" s="70"/>
      <c r="F1339" s="70" t="str">
        <f>SUBSTITUTE(F1335,",7)",",11)")</f>
        <v>C(U2,12,11)</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182"/>
        <v>4</v>
      </c>
      <c r="D1340" s="73"/>
      <c r="E1340" s="70"/>
      <c r="F1340" s="70" t="s">
        <v>2034</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182"/>
        <v>4</v>
      </c>
      <c r="D1341" s="73"/>
      <c r="E1341" s="70"/>
      <c r="F1341" s="70" t="s">
        <v>2035</v>
      </c>
      <c r="G1341" s="73"/>
      <c r="H1341" s="76" t="s">
        <v>616</v>
      </c>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f t="shared" si="182"/>
        <v>4</v>
      </c>
      <c r="D1342" s="73"/>
      <c r="E1342" s="70"/>
      <c r="F1342" s="70" t="s">
        <v>2036</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f t="shared" si="182"/>
        <v>4</v>
      </c>
      <c r="D1343" s="73"/>
      <c r="E1343" s="70"/>
      <c r="F1343" s="70" t="s">
        <v>2037</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f t="shared" si="182"/>
        <v>4</v>
      </c>
      <c r="D1344" s="73"/>
      <c r="E1344" s="70"/>
      <c r="F1344" s="70" t="s">
        <v>2038</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182"/>
        <v>4</v>
      </c>
      <c r="D1345" s="73"/>
      <c r="E1345" s="70"/>
      <c r="F1345" s="70" t="s">
        <v>2039</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c r="D1346" s="73"/>
      <c r="E1346" s="70"/>
      <c r="F1346" s="70" t="s">
        <v>2470</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c r="D1347" s="73"/>
      <c r="E1347" s="70"/>
      <c r="F1347" s="70" t="s">
        <v>2471</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c r="D1348" s="73"/>
      <c r="E1348" s="70"/>
      <c r="F1348" s="70" t="s">
        <v>2472</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182"/>
        <v>4</v>
      </c>
      <c r="D1349" s="73"/>
      <c r="E1349" s="70"/>
      <c r="F1349" s="70" t="str">
        <f>SUBSTITUTE(F1345,",4)",",8)")</f>
        <v>C(U2,13,8)</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182"/>
        <v>4</v>
      </c>
      <c r="D1350" s="73"/>
      <c r="E1350" s="70"/>
      <c r="F1350" s="70" t="str">
        <f>SUBSTITUTE(F1346,",5)",",9)")</f>
        <v>C(U2,13,9)</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182"/>
        <v>4</v>
      </c>
      <c r="D1351" s="73"/>
      <c r="E1351" s="70"/>
      <c r="F1351" s="70" t="str">
        <f>SUBSTITUTE(F1347,",6)",",10)")</f>
        <v>C(U2,13,10)</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182"/>
        <v>4</v>
      </c>
      <c r="D1352" s="73"/>
      <c r="E1352" s="70"/>
      <c r="F1352" s="70" t="str">
        <f>SUBSTITUTE(F1348,",7)",",11)")</f>
        <v>C(U2,13,11)</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182"/>
        <v>4</v>
      </c>
      <c r="D1353" s="73"/>
      <c r="E1353" s="70"/>
      <c r="F1353" s="70" t="s">
        <v>2040</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182"/>
        <v>4</v>
      </c>
      <c r="D1354" s="73"/>
      <c r="E1354" s="70"/>
      <c r="F1354" s="70" t="s">
        <v>2041</v>
      </c>
      <c r="G1354" s="73"/>
      <c r="H1354" s="76" t="s">
        <v>616</v>
      </c>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f t="shared" si="182"/>
        <v>4</v>
      </c>
      <c r="D1355" s="73"/>
      <c r="E1355" s="70"/>
      <c r="F1355" s="70" t="s">
        <v>2042</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f t="shared" si="182"/>
        <v>4</v>
      </c>
      <c r="D1356" s="73"/>
      <c r="E1356" s="70"/>
      <c r="F1356" s="70" t="s">
        <v>2043</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f t="shared" si="182"/>
        <v>4</v>
      </c>
      <c r="D1357" s="73"/>
      <c r="E1357" s="70"/>
      <c r="F1357" s="70" t="s">
        <v>2044</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si="182"/>
        <v>4</v>
      </c>
      <c r="D1358" s="73"/>
      <c r="E1358" s="70"/>
      <c r="F1358" s="70" t="s">
        <v>2045</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c r="D1359" s="73"/>
      <c r="E1359" s="70"/>
      <c r="F1359" s="70" t="s">
        <v>2473</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c r="D1360" s="73"/>
      <c r="E1360" s="70"/>
      <c r="F1360" s="70" t="s">
        <v>2474</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c r="D1361" s="73"/>
      <c r="E1361" s="70"/>
      <c r="F1361" s="70" t="s">
        <v>2475</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ref="C1362:C1371" si="187">INT($C$29)+3</f>
        <v>4</v>
      </c>
      <c r="D1362" s="73"/>
      <c r="E1362" s="70"/>
      <c r="F1362" s="70" t="str">
        <f>SUBSTITUTE(F1358,",4)",",8)")</f>
        <v>C(U2,14,8)</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187"/>
        <v>4</v>
      </c>
      <c r="D1363" s="73"/>
      <c r="E1363" s="70"/>
      <c r="F1363" s="70" t="str">
        <f>SUBSTITUTE(F1359,",5)",",9)")</f>
        <v>C(U2,14,9)</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187"/>
        <v>4</v>
      </c>
      <c r="D1364" s="73"/>
      <c r="E1364" s="70"/>
      <c r="F1364" s="70" t="str">
        <f>SUBSTITUTE(F1360,",6)",",10)")</f>
        <v>C(U2,14,10)</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187"/>
        <v>4</v>
      </c>
      <c r="D1365" s="73"/>
      <c r="E1365" s="70"/>
      <c r="F1365" s="70" t="str">
        <f>SUBSTITUTE(F1361,",7)",",11)")</f>
        <v>C(U2,14,11)</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187"/>
        <v>4</v>
      </c>
      <c r="D1366" s="73"/>
      <c r="E1366" s="70"/>
      <c r="F1366" s="70" t="s">
        <v>2046</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187"/>
        <v>4</v>
      </c>
      <c r="D1367" s="73"/>
      <c r="E1367" s="70"/>
      <c r="F1367" s="70" t="s">
        <v>2047</v>
      </c>
      <c r="G1367" s="73"/>
      <c r="H1367" s="76" t="s">
        <v>616</v>
      </c>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f t="shared" si="187"/>
        <v>4</v>
      </c>
      <c r="D1368" s="73"/>
      <c r="E1368" s="70"/>
      <c r="F1368" s="70" t="s">
        <v>2048</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f t="shared" si="187"/>
        <v>4</v>
      </c>
      <c r="D1369" s="73"/>
      <c r="E1369" s="70"/>
      <c r="F1369" s="70" t="s">
        <v>2049</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f t="shared" si="187"/>
        <v>4</v>
      </c>
      <c r="D1370" s="73"/>
      <c r="E1370" s="70"/>
      <c r="F1370" s="70" t="s">
        <v>2050</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si="187"/>
        <v>4</v>
      </c>
      <c r="D1371" s="73"/>
      <c r="E1371" s="70"/>
      <c r="F1371" s="70" t="s">
        <v>2051</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c r="D1372" s="73"/>
      <c r="E1372" s="70"/>
      <c r="F1372" s="70" t="s">
        <v>2476</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c r="D1373" s="73"/>
      <c r="E1373" s="70"/>
      <c r="F1373" s="70" t="s">
        <v>2477</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c r="D1374" s="73"/>
      <c r="E1374" s="70"/>
      <c r="F1374" s="70" t="s">
        <v>2478</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ref="C1375:C1384" si="188">INT($C$29)+3</f>
        <v>4</v>
      </c>
      <c r="D1375" s="73"/>
      <c r="E1375" s="70"/>
      <c r="F1375" s="70" t="str">
        <f>SUBSTITUTE(F1371,",4)",",8)")</f>
        <v>C(U2,15,8)</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188"/>
        <v>4</v>
      </c>
      <c r="D1376" s="73"/>
      <c r="E1376" s="70"/>
      <c r="F1376" s="70" t="str">
        <f>SUBSTITUTE(F1372,",5)",",9)")</f>
        <v>C(U2,15,9)</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188"/>
        <v>4</v>
      </c>
      <c r="D1377" s="73"/>
      <c r="E1377" s="70"/>
      <c r="F1377" s="70" t="str">
        <f>SUBSTITUTE(F1373,",6)",",10)")</f>
        <v>C(U2,15,10)</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188"/>
        <v>4</v>
      </c>
      <c r="D1378" s="73"/>
      <c r="E1378" s="70"/>
      <c r="F1378" s="70" t="str">
        <f>SUBSTITUTE(F1374,",7)",",11)")</f>
        <v>C(U2,15,11)</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188"/>
        <v>4</v>
      </c>
      <c r="D1379" s="73"/>
      <c r="E1379" s="70"/>
      <c r="F1379" s="70" t="s">
        <v>2052</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188"/>
        <v>4</v>
      </c>
      <c r="D1380" s="73"/>
      <c r="E1380" s="70"/>
      <c r="F1380" s="70" t="s">
        <v>2053</v>
      </c>
      <c r="G1380" s="73"/>
      <c r="H1380" s="76" t="s">
        <v>616</v>
      </c>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f t="shared" si="188"/>
        <v>4</v>
      </c>
      <c r="D1381" s="73"/>
      <c r="E1381" s="70"/>
      <c r="F1381" s="70" t="s">
        <v>2054</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f t="shared" si="188"/>
        <v>4</v>
      </c>
      <c r="D1382" s="73"/>
      <c r="E1382" s="70"/>
      <c r="F1382" s="70" t="s">
        <v>2055</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f t="shared" si="188"/>
        <v>4</v>
      </c>
      <c r="D1383" s="73"/>
      <c r="E1383" s="70"/>
      <c r="F1383" s="70" t="s">
        <v>2056</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si="188"/>
        <v>4</v>
      </c>
      <c r="D1384" s="73"/>
      <c r="E1384" s="70"/>
      <c r="F1384" s="70" t="s">
        <v>2057</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c r="D1385" s="73"/>
      <c r="E1385" s="70"/>
      <c r="F1385" s="70" t="s">
        <v>2479</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c r="D1386" s="73"/>
      <c r="E1386" s="70"/>
      <c r="F1386" s="70" t="s">
        <v>2480</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c r="D1387" s="73"/>
      <c r="E1387" s="70"/>
      <c r="F1387" s="70" t="s">
        <v>2481</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ref="C1388:C1397" si="189">INT($C$29)+3</f>
        <v>4</v>
      </c>
      <c r="D1388" s="73"/>
      <c r="E1388" s="70"/>
      <c r="F1388" s="70" t="str">
        <f>SUBSTITUTE(F1384,",4)",",8)")</f>
        <v>C(U2,16,8)</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189"/>
        <v>4</v>
      </c>
      <c r="D1389" s="73"/>
      <c r="E1389" s="70"/>
      <c r="F1389" s="70" t="str">
        <f>SUBSTITUTE(F1385,",5)",",9)")</f>
        <v>C(U2,16,9)</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189"/>
        <v>4</v>
      </c>
      <c r="D1390" s="73"/>
      <c r="E1390" s="70"/>
      <c r="F1390" s="70" t="str">
        <f>SUBSTITUTE(F1386,",6)",",10)")</f>
        <v>C(U2,16,10)</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189"/>
        <v>4</v>
      </c>
      <c r="D1391" s="73"/>
      <c r="E1391" s="70"/>
      <c r="F1391" s="70" t="str">
        <f>SUBSTITUTE(F1387,",7)",",11)")</f>
        <v>C(U2,16,11)</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189"/>
        <v>4</v>
      </c>
      <c r="D1392" s="73"/>
      <c r="E1392" s="70"/>
      <c r="F1392" s="70" t="s">
        <v>2058</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189"/>
        <v>4</v>
      </c>
      <c r="D1393" s="73"/>
      <c r="E1393" s="70"/>
      <c r="F1393" s="70" t="s">
        <v>2059</v>
      </c>
      <c r="G1393" s="73"/>
      <c r="H1393" s="76" t="s">
        <v>616</v>
      </c>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f t="shared" si="189"/>
        <v>4</v>
      </c>
      <c r="D1394" s="73"/>
      <c r="E1394" s="70"/>
      <c r="F1394" s="70" t="s">
        <v>2060</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f t="shared" si="189"/>
        <v>4</v>
      </c>
      <c r="D1395" s="73"/>
      <c r="E1395" s="70"/>
      <c r="F1395" s="70" t="s">
        <v>2061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f t="shared" si="189"/>
        <v>4</v>
      </c>
      <c r="D1396" s="73"/>
      <c r="E1396" s="70"/>
      <c r="F1396" s="70" t="s">
        <v>2062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si="189"/>
        <v>4</v>
      </c>
      <c r="D1397" s="73"/>
      <c r="E1397" s="70"/>
      <c r="F1397" s="70" t="s">
        <v>2063</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c r="D1398" s="73"/>
      <c r="E1398" s="70"/>
      <c r="F1398" s="70" t="s">
        <v>2482</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c r="D1399" s="73"/>
      <c r="E1399" s="70"/>
      <c r="F1399" s="70" t="s">
        <v>2483</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c r="D1400" s="73"/>
      <c r="E1400" s="70"/>
      <c r="F1400" s="70" t="s">
        <v>2484</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ref="C1401:C1410" si="190">INT($C$29)+3</f>
        <v>4</v>
      </c>
      <c r="D1401" s="73"/>
      <c r="E1401" s="70"/>
      <c r="F1401" s="70" t="str">
        <f>SUBSTITUTE(F1397,",4)",",8)")</f>
        <v>C(U2,17,8)</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190"/>
        <v>4</v>
      </c>
      <c r="D1402" s="73"/>
      <c r="E1402" s="70"/>
      <c r="F1402" s="70" t="str">
        <f>SUBSTITUTE(F1398,",5)",",9)")</f>
        <v>C(U2,17,9)</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190"/>
        <v>4</v>
      </c>
      <c r="D1403" s="73"/>
      <c r="E1403" s="70"/>
      <c r="F1403" s="70" t="str">
        <f>SUBSTITUTE(F1399,",6)",",10)")</f>
        <v>C(U2,17,10)</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190"/>
        <v>4</v>
      </c>
      <c r="D1404" s="73"/>
      <c r="E1404" s="70"/>
      <c r="F1404" s="70" t="str">
        <f>SUBSTITUTE(F1400,",7)",",11)")</f>
        <v>C(U2,17,11)</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190"/>
        <v>4</v>
      </c>
      <c r="D1405" s="73"/>
      <c r="E1405" s="70"/>
      <c r="F1405" s="70" t="s">
        <v>2064</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190"/>
        <v>4</v>
      </c>
      <c r="D1406" s="73"/>
      <c r="E1406" s="70"/>
      <c r="F1406" s="70" t="s">
        <v>2065</v>
      </c>
      <c r="G1406" s="73"/>
      <c r="H1406" s="76" t="s">
        <v>616</v>
      </c>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f t="shared" si="190"/>
        <v>4</v>
      </c>
      <c r="D1407" s="73"/>
      <c r="E1407" s="70"/>
      <c r="F1407" s="70" t="s">
        <v>2066</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f t="shared" si="190"/>
        <v>4</v>
      </c>
      <c r="D1408" s="73"/>
      <c r="E1408" s="70"/>
      <c r="F1408" s="70" t="s">
        <v>2067</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f t="shared" si="190"/>
        <v>4</v>
      </c>
      <c r="D1409" s="73"/>
      <c r="E1409" s="70"/>
      <c r="F1409" s="70" t="s">
        <v>2068</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si="190"/>
        <v>4</v>
      </c>
      <c r="D1410" s="73"/>
      <c r="E1410" s="70"/>
      <c r="F1410" s="70" t="s">
        <v>2069</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c r="D1411" s="73"/>
      <c r="E1411" s="70"/>
      <c r="F1411" s="70" t="s">
        <v>2485</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c r="D1412" s="73"/>
      <c r="E1412" s="70"/>
      <c r="F1412" s="70" t="s">
        <v>2486</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c r="D1413" s="73"/>
      <c r="E1413" s="70"/>
      <c r="F1413" s="70" t="s">
        <v>2487</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ref="C1414:C1423" si="191">INT($C$29)+3</f>
        <v>4</v>
      </c>
      <c r="D1414" s="73"/>
      <c r="E1414" s="70"/>
      <c r="F1414" s="70" t="str">
        <f>SUBSTITUTE(F1410,",4)",",8)")</f>
        <v>C(U2,18,8)</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191"/>
        <v>4</v>
      </c>
      <c r="D1415" s="73"/>
      <c r="E1415" s="70"/>
      <c r="F1415" s="70" t="str">
        <f>SUBSTITUTE(F1411,",5)",",9)")</f>
        <v>C(U2,18,9)</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191"/>
        <v>4</v>
      </c>
      <c r="D1416" s="73"/>
      <c r="E1416" s="70"/>
      <c r="F1416" s="70" t="str">
        <f>SUBSTITUTE(F1412,",6)",",10)")</f>
        <v>C(U2,18,10)</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191"/>
        <v>4</v>
      </c>
      <c r="D1417" s="73"/>
      <c r="E1417" s="70"/>
      <c r="F1417" s="70" t="str">
        <f>SUBSTITUTE(F1413,",7)",",11)")</f>
        <v>C(U2,18,11)</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191"/>
        <v>4</v>
      </c>
      <c r="D1418" s="73"/>
      <c r="E1418" s="70"/>
      <c r="F1418" s="70" t="s">
        <v>2070</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191"/>
        <v>4</v>
      </c>
      <c r="D1419" s="73"/>
      <c r="E1419" s="70"/>
      <c r="F1419" s="70" t="s">
        <v>2071</v>
      </c>
      <c r="G1419" s="73"/>
      <c r="H1419" s="76" t="s">
        <v>616</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f t="shared" si="191"/>
        <v>4</v>
      </c>
      <c r="D1420" s="73"/>
      <c r="E1420" s="70"/>
      <c r="F1420" s="70" t="s">
        <v>2072</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f t="shared" si="191"/>
        <v>4</v>
      </c>
      <c r="D1421" s="73"/>
      <c r="E1421" s="70"/>
      <c r="F1421" s="70" t="s">
        <v>2073</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f t="shared" si="191"/>
        <v>4</v>
      </c>
      <c r="D1422" s="73"/>
      <c r="E1422" s="70"/>
      <c r="F1422" s="70" t="s">
        <v>2074</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si="191"/>
        <v>4</v>
      </c>
      <c r="D1423" s="73"/>
      <c r="E1423" s="70"/>
      <c r="F1423" s="70" t="s">
        <v>2075</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c r="D1424" s="73"/>
      <c r="E1424" s="70"/>
      <c r="F1424" s="70" t="s">
        <v>2488</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c r="D1425" s="73"/>
      <c r="E1425" s="70"/>
      <c r="F1425" s="70" t="s">
        <v>2489</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c r="D1426" s="73"/>
      <c r="E1426" s="70"/>
      <c r="F1426" s="70" t="s">
        <v>2490</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INT($C$29)+3</f>
        <v>4</v>
      </c>
      <c r="D1427" s="73"/>
      <c r="E1427" s="70"/>
      <c r="F1427" s="70" t="str">
        <f>SUBSTITUTE(F1423,",4)",",8)")</f>
        <v>C(U2,19,8)</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35">
      <c r="A1428" s="45"/>
      <c r="B1428" s="54"/>
      <c r="C1428" s="47">
        <f>INT($C$29)+3</f>
        <v>4</v>
      </c>
      <c r="D1428" s="73"/>
      <c r="E1428" s="70"/>
      <c r="F1428" s="70" t="str">
        <f>SUBSTITUTE(F1424,",5)",",9)")</f>
        <v>C(U2,19,9)</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35">
      <c r="A1429" s="45"/>
      <c r="B1429" s="54"/>
      <c r="C1429" s="47">
        <f>INT($C$29)+3</f>
        <v>4</v>
      </c>
      <c r="D1429" s="73"/>
      <c r="E1429" s="70"/>
      <c r="F1429" s="70" t="str">
        <f>SUBSTITUTE(F1425,",6)",",10)")</f>
        <v>C(U2,19,10)</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35">
      <c r="A1430" s="45"/>
      <c r="B1430" s="54"/>
      <c r="C1430" s="47">
        <f>INT($C$29)+3</f>
        <v>4</v>
      </c>
      <c r="D1430" s="73"/>
      <c r="E1430" s="70"/>
      <c r="F1430" s="70" t="str">
        <f>SUBSTITUTE(F1426,",7)",",11)")</f>
        <v>C(U2,19,11)</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35">
      <c r="A1431" s="45"/>
      <c r="B1431" s="54"/>
      <c r="C1431" s="47">
        <f>INT($C$29)+3</f>
        <v>4</v>
      </c>
      <c r="D1431" s="73"/>
      <c r="E1431" s="70"/>
      <c r="F1431" s="70" t="s">
        <v>2076</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2" x14ac:dyDescent="0.35">
      <c r="A1432" s="45"/>
      <c r="B1432" s="54"/>
      <c r="C1432" s="47">
        <f t="shared" ref="C1432:C1444" si="192">INT($C$29)+2</f>
        <v>3</v>
      </c>
      <c r="D1432" s="73"/>
      <c r="E1432" s="70"/>
      <c r="F1432" s="70" t="s">
        <v>2077</v>
      </c>
      <c r="G1432" s="73"/>
      <c r="H1432" s="76" t="s">
        <v>2078</v>
      </c>
      <c r="I1432" s="76"/>
      <c r="J1432" s="76"/>
      <c r="K1432" s="76"/>
      <c r="L1432" s="76"/>
      <c r="M1432" s="76"/>
      <c r="N1432" s="76"/>
      <c r="O1432" s="76"/>
      <c r="P1432" s="76"/>
      <c r="Q1432" s="76"/>
      <c r="R1432" s="76"/>
      <c r="S1432" s="76"/>
      <c r="T1432" s="76"/>
      <c r="U1432" s="97">
        <v>0.57699999999999996</v>
      </c>
      <c r="V1432" s="97">
        <v>0.57699999999999996</v>
      </c>
      <c r="W1432" s="97">
        <v>0.57699999999999996</v>
      </c>
      <c r="X1432" s="262">
        <f t="shared" ref="X1432:AB1433" si="193">W1432</f>
        <v>0.57699999999999996</v>
      </c>
      <c r="Y1432" s="262">
        <f t="shared" si="193"/>
        <v>0.57699999999999996</v>
      </c>
      <c r="Z1432" s="262">
        <f t="shared" si="193"/>
        <v>0.57699999999999996</v>
      </c>
      <c r="AA1432" s="262">
        <f t="shared" si="193"/>
        <v>0.57699999999999996</v>
      </c>
      <c r="AB1432" s="262">
        <f t="shared" si="193"/>
        <v>0.57699999999999996</v>
      </c>
      <c r="AC1432" s="76"/>
      <c r="AD1432" s="97" t="s">
        <v>2079</v>
      </c>
      <c r="AE1432" s="76"/>
      <c r="AF1432" s="97">
        <v>1</v>
      </c>
      <c r="AG1432" s="97">
        <v>1</v>
      </c>
      <c r="AH1432" s="73"/>
      <c r="AI1432" s="57"/>
      <c r="AJ1432" s="45"/>
      <c r="AK1432" s="45"/>
      <c r="AL1432" s="45"/>
    </row>
    <row r="1433" spans="1:38" hidden="1" outlineLevel="2" collapsed="1" x14ac:dyDescent="0.35">
      <c r="A1433" s="45"/>
      <c r="B1433" s="54"/>
      <c r="C1433" s="47">
        <f t="shared" si="192"/>
        <v>3</v>
      </c>
      <c r="D1433" s="73"/>
      <c r="E1433" s="70"/>
      <c r="F1433" s="70" t="s">
        <v>2080</v>
      </c>
      <c r="G1433" s="73"/>
      <c r="H1433" s="76" t="s">
        <v>2081</v>
      </c>
      <c r="I1433" s="76"/>
      <c r="J1433" s="76"/>
      <c r="K1433" s="76"/>
      <c r="L1433" s="76"/>
      <c r="M1433" s="76"/>
      <c r="N1433" s="76"/>
      <c r="O1433" s="76"/>
      <c r="P1433" s="76"/>
      <c r="Q1433" s="76"/>
      <c r="R1433" s="76"/>
      <c r="S1433" s="76"/>
      <c r="T1433" s="76"/>
      <c r="U1433" s="97">
        <v>-1.2E-2</v>
      </c>
      <c r="V1433" s="97">
        <v>-1.2E-2</v>
      </c>
      <c r="W1433" s="97">
        <v>-1.2E-2</v>
      </c>
      <c r="X1433" s="262">
        <f t="shared" si="193"/>
        <v>-1.2E-2</v>
      </c>
      <c r="Y1433" s="262">
        <f t="shared" si="193"/>
        <v>-1.2E-2</v>
      </c>
      <c r="Z1433" s="262">
        <f t="shared" si="193"/>
        <v>-1.2E-2</v>
      </c>
      <c r="AA1433" s="262">
        <f t="shared" si="193"/>
        <v>-1.2E-2</v>
      </c>
      <c r="AB1433" s="262">
        <f t="shared" si="193"/>
        <v>-1.2E-2</v>
      </c>
      <c r="AC1433" s="76"/>
      <c r="AD1433" s="76"/>
      <c r="AE1433" s="76"/>
      <c r="AF1433" s="97">
        <v>1</v>
      </c>
      <c r="AG1433" s="97">
        <v>1</v>
      </c>
      <c r="AH1433" s="73"/>
      <c r="AI1433" s="57"/>
      <c r="AJ1433" s="45"/>
      <c r="AK1433" s="45"/>
      <c r="AL1433" s="45"/>
    </row>
    <row r="1434" spans="1:38" hidden="1" outlineLevel="3" x14ac:dyDescent="0.35">
      <c r="A1434" s="45"/>
      <c r="B1434" s="54"/>
      <c r="C1434" s="47">
        <f t="shared" si="192"/>
        <v>3</v>
      </c>
      <c r="D1434" s="73"/>
      <c r="E1434" s="70"/>
      <c r="F1434" s="70" t="s">
        <v>2082</v>
      </c>
      <c r="G1434" s="73"/>
      <c r="H1434" s="76" t="s">
        <v>2083</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35">
      <c r="A1435" s="45"/>
      <c r="B1435" s="54"/>
      <c r="C1435" s="47">
        <f>INT($C$29)+3</f>
        <v>4</v>
      </c>
      <c r="D1435" s="73"/>
      <c r="E1435" s="70"/>
      <c r="F1435" s="70" t="s">
        <v>2084</v>
      </c>
      <c r="G1435" s="73"/>
      <c r="H1435" s="390" t="s">
        <v>2504</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 t="shared" si="192"/>
        <v>3</v>
      </c>
      <c r="D1436" s="73"/>
      <c r="E1436" s="70"/>
      <c r="F1436" s="70" t="s">
        <v>2086</v>
      </c>
      <c r="G1436" s="73"/>
      <c r="H1436" s="76" t="s">
        <v>2085</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35">
      <c r="A1437" s="45"/>
      <c r="B1437" s="54"/>
      <c r="C1437" s="47">
        <f t="shared" si="192"/>
        <v>3</v>
      </c>
      <c r="D1437" s="73"/>
      <c r="E1437" s="70"/>
      <c r="F1437" s="70" t="s">
        <v>2509</v>
      </c>
      <c r="G1437" s="73"/>
      <c r="H1437" s="76" t="s">
        <v>2087</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hidden="1" outlineLevel="3" x14ac:dyDescent="0.35">
      <c r="A1438" s="45"/>
      <c r="B1438" s="54"/>
      <c r="C1438" s="47">
        <f t="shared" ref="C1438:C1443" si="194">INT($C$29)+3</f>
        <v>4</v>
      </c>
      <c r="D1438" s="73"/>
      <c r="E1438" s="70"/>
      <c r="F1438" s="70" t="s">
        <v>2507</v>
      </c>
      <c r="G1438" s="73"/>
      <c r="H1438" s="390" t="s">
        <v>2505</v>
      </c>
      <c r="I1438" s="76"/>
      <c r="J1438" s="76"/>
      <c r="K1438" s="76"/>
      <c r="L1438" s="76"/>
      <c r="M1438" s="76"/>
      <c r="N1438" s="76"/>
      <c r="O1438" s="76"/>
      <c r="P1438" s="76"/>
      <c r="Q1438" s="76"/>
      <c r="R1438" s="76"/>
      <c r="S1438" s="76"/>
      <c r="T1438" s="76"/>
      <c r="U1438" s="76">
        <v>0</v>
      </c>
      <c r="V1438" s="76">
        <v>0</v>
      </c>
      <c r="W1438" s="76">
        <v>0</v>
      </c>
      <c r="X1438" s="76">
        <v>0</v>
      </c>
      <c r="Y1438" s="76">
        <v>0</v>
      </c>
      <c r="Z1438" s="76">
        <v>0</v>
      </c>
      <c r="AA1438" s="76">
        <v>0</v>
      </c>
      <c r="AB1438" s="76">
        <v>0</v>
      </c>
      <c r="AC1438" s="76"/>
      <c r="AD1438" s="76"/>
      <c r="AE1438" s="76"/>
      <c r="AF1438" s="76">
        <v>1</v>
      </c>
      <c r="AG1438" s="76">
        <v>1</v>
      </c>
      <c r="AH1438" s="73"/>
      <c r="AI1438" s="57"/>
      <c r="AJ1438" s="45"/>
      <c r="AK1438" s="45"/>
      <c r="AL1438" s="45"/>
    </row>
    <row r="1439" spans="1:38" hidden="1" outlineLevel="3" x14ac:dyDescent="0.35">
      <c r="A1439" s="45"/>
      <c r="B1439" s="54"/>
      <c r="C1439" s="47">
        <f t="shared" si="194"/>
        <v>4</v>
      </c>
      <c r="D1439" s="73"/>
      <c r="E1439" s="70"/>
      <c r="F1439" s="70" t="s">
        <v>2508</v>
      </c>
      <c r="G1439" s="73"/>
      <c r="H1439" s="390" t="s">
        <v>2506</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hidden="1" outlineLevel="3" x14ac:dyDescent="0.35">
      <c r="A1440" s="45"/>
      <c r="B1440" s="54"/>
      <c r="C1440" s="47">
        <f t="shared" si="194"/>
        <v>4</v>
      </c>
      <c r="D1440" s="73"/>
      <c r="E1440" s="70"/>
      <c r="F1440" s="70" t="str">
        <f>SUBSTITUTE(F1436,",4)",",8)")</f>
        <v>C(U2,20,8)</v>
      </c>
      <c r="G1440" s="73"/>
      <c r="H1440" s="76" t="s">
        <v>2765</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35">
      <c r="A1441" s="45"/>
      <c r="B1441" s="54"/>
      <c r="C1441" s="47">
        <f t="shared" si="194"/>
        <v>4</v>
      </c>
      <c r="D1441" s="73"/>
      <c r="E1441" s="70"/>
      <c r="F1441" s="70" t="str">
        <f>SUBSTITUTE(F1437,",5)",",9)")</f>
        <v>C(U2,20,9)</v>
      </c>
      <c r="G1441" s="73"/>
      <c r="H1441" s="76" t="s">
        <v>2766</v>
      </c>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 t="shared" si="194"/>
        <v>4</v>
      </c>
      <c r="D1442" s="73"/>
      <c r="E1442" s="70"/>
      <c r="F1442" s="70" t="str">
        <f>SUBSTITUTE(F1438,",6)",",10)")</f>
        <v>C(U2,20,10)</v>
      </c>
      <c r="G1442" s="73"/>
      <c r="H1442" s="76" t="s">
        <v>2767</v>
      </c>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 t="shared" si="194"/>
        <v>4</v>
      </c>
      <c r="D1443" s="73"/>
      <c r="E1443" s="70"/>
      <c r="F1443" s="70" t="str">
        <f>SUBSTITUTE(F1439,",7)",",11)")</f>
        <v>C(U2,20,11)</v>
      </c>
      <c r="G1443" s="73"/>
      <c r="H1443" s="76" t="s">
        <v>2768</v>
      </c>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2" collapsed="1" x14ac:dyDescent="0.35">
      <c r="A1444" s="45"/>
      <c r="B1444" s="54"/>
      <c r="C1444" s="47">
        <f t="shared" si="192"/>
        <v>3</v>
      </c>
      <c r="D1444" s="73"/>
      <c r="E1444" s="70"/>
      <c r="F1444" s="70" t="s">
        <v>2088</v>
      </c>
      <c r="G1444" s="73"/>
      <c r="H1444" s="76" t="s">
        <v>2089</v>
      </c>
      <c r="I1444" s="76"/>
      <c r="J1444" s="76"/>
      <c r="K1444" s="76"/>
      <c r="L1444" s="76"/>
      <c r="M1444" s="76"/>
      <c r="N1444" s="76"/>
      <c r="O1444" s="76"/>
      <c r="P1444" s="76"/>
      <c r="Q1444" s="76"/>
      <c r="R1444" s="76"/>
      <c r="S1444" s="76"/>
      <c r="T1444" s="76"/>
      <c r="U1444" s="97">
        <v>-4.07</v>
      </c>
      <c r="V1444" s="97">
        <v>-4.07</v>
      </c>
      <c r="W1444" s="97">
        <v>-4.07</v>
      </c>
      <c r="X1444" s="262">
        <f>W1444</f>
        <v>-4.07</v>
      </c>
      <c r="Y1444" s="262">
        <f>X1444</f>
        <v>-4.07</v>
      </c>
      <c r="Z1444" s="262">
        <f>Y1444</f>
        <v>-4.07</v>
      </c>
      <c r="AA1444" s="262">
        <f>Z1444</f>
        <v>-4.07</v>
      </c>
      <c r="AB1444" s="262">
        <f>AA1444</f>
        <v>-4.07</v>
      </c>
      <c r="AC1444" s="76"/>
      <c r="AD1444" s="76"/>
      <c r="AE1444" s="76"/>
      <c r="AF1444" s="97">
        <v>1</v>
      </c>
      <c r="AG1444" s="97">
        <v>1</v>
      </c>
      <c r="AH1444" s="73"/>
      <c r="AI1444" s="57"/>
      <c r="AJ1444" s="45"/>
      <c r="AK1444" s="45"/>
      <c r="AL1444" s="45"/>
    </row>
    <row r="1445" spans="1:38" hidden="1" outlineLevel="3" x14ac:dyDescent="0.35">
      <c r="A1445" s="45"/>
      <c r="B1445" s="54"/>
      <c r="C1445" s="47">
        <f>INT($C$29)+3</f>
        <v>4</v>
      </c>
      <c r="D1445" s="73"/>
      <c r="E1445" s="70"/>
      <c r="F1445" s="70" t="s">
        <v>2090</v>
      </c>
      <c r="G1445" s="73"/>
      <c r="H1445" s="76" t="s">
        <v>616</v>
      </c>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35">
      <c r="A1446" s="45"/>
      <c r="B1446" s="54"/>
      <c r="C1446" s="47">
        <f>INT($C$29)+3</f>
        <v>4</v>
      </c>
      <c r="D1446" s="73"/>
      <c r="E1446" s="70"/>
      <c r="F1446" s="70" t="s">
        <v>2091</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f>INT($C$29)+3</f>
        <v>4</v>
      </c>
      <c r="D1447" s="73"/>
      <c r="E1447" s="70"/>
      <c r="F1447" s="70" t="s">
        <v>2092</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f>INT($C$29)+3</f>
        <v>4</v>
      </c>
      <c r="D1448" s="73"/>
      <c r="E1448" s="70"/>
      <c r="F1448" s="70" t="s">
        <v>2093</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INT($C$29)+3</f>
        <v>4</v>
      </c>
      <c r="D1449" s="73"/>
      <c r="E1449" s="70"/>
      <c r="F1449" s="70" t="s">
        <v>2094</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c r="D1450" s="73"/>
      <c r="E1450" s="70"/>
      <c r="F1450" s="70" t="s">
        <v>2491</v>
      </c>
      <c r="G1450" s="73"/>
      <c r="H1450" s="76"/>
      <c r="I1450" s="7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c r="D1451" s="73"/>
      <c r="E1451" s="70"/>
      <c r="F1451" s="70" t="s">
        <v>2492</v>
      </c>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c r="D1452" s="73"/>
      <c r="E1452" s="70"/>
      <c r="F1452" s="70" t="s">
        <v>2493</v>
      </c>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INT($C$29)+3</f>
        <v>4</v>
      </c>
      <c r="D1453" s="73"/>
      <c r="E1453" s="70"/>
      <c r="F1453" s="70" t="str">
        <f>SUBSTITUTE(F1449,",4)",",8)")</f>
        <v>C(U2,21,8)</v>
      </c>
      <c r="G1453" s="73"/>
      <c r="H1453" s="76"/>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35">
      <c r="A1454" s="45"/>
      <c r="B1454" s="54"/>
      <c r="C1454" s="47">
        <f>INT($C$29)+3</f>
        <v>4</v>
      </c>
      <c r="D1454" s="73"/>
      <c r="E1454" s="70"/>
      <c r="F1454" s="70" t="str">
        <f>SUBSTITUTE(F1450,",5)",",9)")</f>
        <v>C(U2,21,9)</v>
      </c>
      <c r="G1454" s="73"/>
      <c r="H1454" s="76"/>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35">
      <c r="A1455" s="45"/>
      <c r="B1455" s="54"/>
      <c r="C1455" s="47">
        <f>INT($C$29)+3</f>
        <v>4</v>
      </c>
      <c r="D1455" s="73"/>
      <c r="E1455" s="70"/>
      <c r="F1455" s="70" t="str">
        <f>SUBSTITUTE(F1451,",6)",",10)")</f>
        <v>C(U2,21,10)</v>
      </c>
      <c r="G1455" s="73"/>
      <c r="H1455" s="76"/>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35">
      <c r="A1456" s="45"/>
      <c r="B1456" s="54"/>
      <c r="C1456" s="47">
        <f>INT($C$29)+3</f>
        <v>4</v>
      </c>
      <c r="D1456" s="73"/>
      <c r="E1456" s="70"/>
      <c r="F1456" s="70" t="str">
        <f>SUBSTITUTE(F1452,",7)",",11)")</f>
        <v>C(U2,21,11)</v>
      </c>
      <c r="G1456" s="73"/>
      <c r="H1456" s="76"/>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35">
      <c r="A1457" s="45"/>
      <c r="B1457" s="54"/>
      <c r="C1457" s="47">
        <f>INT($C$29)+3</f>
        <v>4</v>
      </c>
      <c r="D1457" s="73"/>
      <c r="E1457" s="70"/>
      <c r="F1457" s="70" t="s">
        <v>2095</v>
      </c>
      <c r="G1457" s="73"/>
      <c r="H1457" s="76"/>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2" x14ac:dyDescent="0.35">
      <c r="A1458" s="45"/>
      <c r="B1458" s="54"/>
      <c r="C1458" s="47">
        <f>INT($C$29)+2</f>
        <v>3</v>
      </c>
      <c r="D1458" s="73"/>
      <c r="E1458" s="70"/>
      <c r="F1458" s="70" t="s">
        <v>2096</v>
      </c>
      <c r="G1458" s="73"/>
      <c r="H1458" s="76" t="s">
        <v>2783</v>
      </c>
      <c r="I1458" s="76"/>
      <c r="J1458" s="76"/>
      <c r="K1458" s="76"/>
      <c r="L1458" s="76"/>
      <c r="M1458" s="76"/>
      <c r="N1458" s="76"/>
      <c r="O1458" s="76"/>
      <c r="P1458" s="76"/>
      <c r="Q1458" s="76"/>
      <c r="R1458" s="76"/>
      <c r="S1458" s="76"/>
      <c r="T1458" s="76"/>
      <c r="U1458" s="97">
        <v>-8.4959000000000007</v>
      </c>
      <c r="V1458" s="268">
        <f t="shared" ref="V1458:AB1459" si="195">U1458</f>
        <v>-8.4959000000000007</v>
      </c>
      <c r="W1458" s="268">
        <f t="shared" si="195"/>
        <v>-8.4959000000000007</v>
      </c>
      <c r="X1458" s="268">
        <f t="shared" si="195"/>
        <v>-8.4959000000000007</v>
      </c>
      <c r="Y1458" s="268">
        <f t="shared" si="195"/>
        <v>-8.4959000000000007</v>
      </c>
      <c r="Z1458" s="268">
        <f t="shared" si="195"/>
        <v>-8.4959000000000007</v>
      </c>
      <c r="AA1458" s="268">
        <f t="shared" si="195"/>
        <v>-8.4959000000000007</v>
      </c>
      <c r="AB1458" s="268">
        <f t="shared" si="195"/>
        <v>-8.4959000000000007</v>
      </c>
      <c r="AC1458" s="76"/>
      <c r="AD1458" s="97" t="s">
        <v>2784</v>
      </c>
      <c r="AE1458" s="76"/>
      <c r="AF1458" s="97">
        <v>1</v>
      </c>
      <c r="AG1458" s="97">
        <v>1</v>
      </c>
      <c r="AH1458" s="73"/>
      <c r="AI1458" s="57"/>
      <c r="AJ1458" s="45"/>
      <c r="AK1458" s="45"/>
      <c r="AL1458" s="45"/>
    </row>
    <row r="1459" spans="1:38" hidden="1" outlineLevel="2" collapsed="1" x14ac:dyDescent="0.35">
      <c r="A1459" s="45"/>
      <c r="B1459" s="54"/>
      <c r="C1459" s="47">
        <f>INT($C$29)+2</f>
        <v>3</v>
      </c>
      <c r="D1459" s="73"/>
      <c r="E1459" s="70"/>
      <c r="F1459" s="70" t="s">
        <v>2097</v>
      </c>
      <c r="G1459" s="73"/>
      <c r="H1459" s="76" t="s">
        <v>2516</v>
      </c>
      <c r="I1459" s="76"/>
      <c r="J1459" s="76"/>
      <c r="K1459" s="76"/>
      <c r="L1459" s="76"/>
      <c r="M1459" s="76"/>
      <c r="N1459" s="76"/>
      <c r="O1459" s="76"/>
      <c r="P1459" s="76"/>
      <c r="Q1459" s="76"/>
      <c r="R1459" s="76"/>
      <c r="S1459" s="76"/>
      <c r="T1459" s="76"/>
      <c r="U1459" s="97">
        <v>1.38185</v>
      </c>
      <c r="V1459" s="268">
        <f t="shared" si="195"/>
        <v>1.38185</v>
      </c>
      <c r="W1459" s="268">
        <f t="shared" si="195"/>
        <v>1.38185</v>
      </c>
      <c r="X1459" s="268">
        <f t="shared" si="195"/>
        <v>1.38185</v>
      </c>
      <c r="Y1459" s="268">
        <f t="shared" si="195"/>
        <v>1.38185</v>
      </c>
      <c r="Z1459" s="268">
        <f t="shared" si="195"/>
        <v>1.38185</v>
      </c>
      <c r="AA1459" s="268">
        <f t="shared" si="195"/>
        <v>1.38185</v>
      </c>
      <c r="AB1459" s="268">
        <f t="shared" si="195"/>
        <v>1.38185</v>
      </c>
      <c r="AC1459" s="76"/>
      <c r="AD1459" s="76"/>
      <c r="AE1459" s="76"/>
      <c r="AF1459" s="97">
        <v>1</v>
      </c>
      <c r="AG1459" s="97">
        <v>1</v>
      </c>
      <c r="AH1459" s="73"/>
      <c r="AI1459" s="57"/>
      <c r="AJ1459" s="45"/>
      <c r="AK1459" s="45"/>
      <c r="AL1459" s="45"/>
    </row>
    <row r="1460" spans="1:38" hidden="1" outlineLevel="3" x14ac:dyDescent="0.35">
      <c r="A1460" s="45"/>
      <c r="B1460" s="54"/>
      <c r="C1460" s="47">
        <f t="shared" ref="C1460:C1469" si="196">INT($C$29)+3</f>
        <v>4</v>
      </c>
      <c r="D1460" s="73"/>
      <c r="E1460" s="70"/>
      <c r="F1460" s="70" t="s">
        <v>2098</v>
      </c>
      <c r="G1460" s="73"/>
      <c r="H1460" s="390" t="s">
        <v>2523</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35">
      <c r="A1461" s="45"/>
      <c r="B1461" s="54"/>
      <c r="C1461" s="47">
        <f t="shared" si="196"/>
        <v>4</v>
      </c>
      <c r="D1461" s="73"/>
      <c r="E1461" s="70"/>
      <c r="F1461" s="70" t="s">
        <v>2099</v>
      </c>
      <c r="G1461" s="73"/>
      <c r="H1461" s="390" t="s">
        <v>2524</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196"/>
        <v>4</v>
      </c>
      <c r="D1462" s="73"/>
      <c r="E1462" s="70"/>
      <c r="F1462" s="70" t="s">
        <v>2100</v>
      </c>
      <c r="G1462" s="73"/>
      <c r="H1462" s="390" t="s">
        <v>2525</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35">
      <c r="A1463" s="45"/>
      <c r="B1463" s="54"/>
      <c r="C1463" s="47">
        <f t="shared" si="196"/>
        <v>4</v>
      </c>
      <c r="D1463" s="73"/>
      <c r="E1463" s="70"/>
      <c r="F1463" s="70" t="s">
        <v>2425</v>
      </c>
      <c r="G1463" s="73"/>
      <c r="H1463" s="390" t="s">
        <v>2526</v>
      </c>
      <c r="I1463" s="76"/>
      <c r="J1463" s="76"/>
      <c r="K1463" s="76"/>
      <c r="L1463" s="76"/>
      <c r="M1463" s="76"/>
      <c r="N1463" s="76"/>
      <c r="O1463" s="76"/>
      <c r="P1463" s="76"/>
      <c r="Q1463" s="76"/>
      <c r="R1463" s="76"/>
      <c r="S1463" s="76"/>
      <c r="T1463" s="76"/>
      <c r="U1463" s="76">
        <v>0</v>
      </c>
      <c r="V1463" s="76">
        <v>0</v>
      </c>
      <c r="W1463" s="76">
        <v>0</v>
      </c>
      <c r="X1463" s="76">
        <v>0</v>
      </c>
      <c r="Y1463" s="76">
        <v>0</v>
      </c>
      <c r="Z1463" s="76">
        <v>0</v>
      </c>
      <c r="AA1463" s="76">
        <v>0</v>
      </c>
      <c r="AB1463" s="76">
        <v>0</v>
      </c>
      <c r="AC1463" s="76"/>
      <c r="AD1463" s="76"/>
      <c r="AE1463" s="76"/>
      <c r="AF1463" s="76">
        <v>1</v>
      </c>
      <c r="AG1463" s="76">
        <v>1</v>
      </c>
      <c r="AH1463" s="73"/>
      <c r="AI1463" s="57"/>
      <c r="AJ1463" s="45"/>
      <c r="AK1463" s="45"/>
      <c r="AL1463" s="45"/>
    </row>
    <row r="1464" spans="1:38" hidden="1" outlineLevel="3" x14ac:dyDescent="0.35">
      <c r="A1464" s="45"/>
      <c r="B1464" s="54"/>
      <c r="C1464" s="47">
        <f t="shared" si="196"/>
        <v>4</v>
      </c>
      <c r="D1464" s="73"/>
      <c r="E1464" s="70"/>
      <c r="F1464" s="70" t="s">
        <v>2426</v>
      </c>
      <c r="G1464" s="73"/>
      <c r="H1464" s="390" t="s">
        <v>2527</v>
      </c>
      <c r="I1464" s="76"/>
      <c r="J1464" s="76"/>
      <c r="K1464" s="76"/>
      <c r="L1464" s="76"/>
      <c r="M1464" s="76"/>
      <c r="N1464" s="76"/>
      <c r="O1464" s="76"/>
      <c r="P1464" s="76"/>
      <c r="Q1464" s="76"/>
      <c r="R1464" s="76"/>
      <c r="S1464" s="76"/>
      <c r="T1464" s="76"/>
      <c r="U1464" s="76">
        <v>0</v>
      </c>
      <c r="V1464" s="76">
        <v>0</v>
      </c>
      <c r="W1464" s="76">
        <v>0</v>
      </c>
      <c r="X1464" s="76">
        <v>0</v>
      </c>
      <c r="Y1464" s="76">
        <v>0</v>
      </c>
      <c r="Z1464" s="76">
        <v>0</v>
      </c>
      <c r="AA1464" s="76">
        <v>0</v>
      </c>
      <c r="AB1464" s="76">
        <v>0</v>
      </c>
      <c r="AC1464" s="76"/>
      <c r="AD1464" s="76"/>
      <c r="AE1464" s="76"/>
      <c r="AF1464" s="76">
        <v>1</v>
      </c>
      <c r="AG1464" s="76">
        <v>1</v>
      </c>
      <c r="AH1464" s="73"/>
      <c r="AI1464" s="57"/>
      <c r="AJ1464" s="45"/>
      <c r="AK1464" s="45"/>
      <c r="AL1464" s="45"/>
    </row>
    <row r="1465" spans="1:38" hidden="1" outlineLevel="3" x14ac:dyDescent="0.35">
      <c r="A1465" s="45"/>
      <c r="B1465" s="54"/>
      <c r="C1465" s="47">
        <f t="shared" si="196"/>
        <v>4</v>
      </c>
      <c r="D1465" s="73"/>
      <c r="E1465" s="70"/>
      <c r="F1465" s="70" t="s">
        <v>2427</v>
      </c>
      <c r="G1465" s="73"/>
      <c r="H1465" s="390" t="s">
        <v>2528</v>
      </c>
      <c r="I1465" s="76"/>
      <c r="J1465" s="76"/>
      <c r="K1465" s="76"/>
      <c r="L1465" s="76"/>
      <c r="M1465" s="76"/>
      <c r="N1465" s="76"/>
      <c r="O1465" s="76"/>
      <c r="P1465" s="76"/>
      <c r="Q1465" s="76"/>
      <c r="R1465" s="76"/>
      <c r="S1465" s="76"/>
      <c r="T1465" s="76"/>
      <c r="U1465" s="76">
        <v>0</v>
      </c>
      <c r="V1465" s="76">
        <v>0</v>
      </c>
      <c r="W1465" s="76">
        <v>0</v>
      </c>
      <c r="X1465" s="76">
        <v>0</v>
      </c>
      <c r="Y1465" s="76">
        <v>0</v>
      </c>
      <c r="Z1465" s="76">
        <v>0</v>
      </c>
      <c r="AA1465" s="76">
        <v>0</v>
      </c>
      <c r="AB1465" s="76">
        <v>0</v>
      </c>
      <c r="AC1465" s="76"/>
      <c r="AD1465" s="76"/>
      <c r="AE1465" s="76"/>
      <c r="AF1465" s="76">
        <v>1</v>
      </c>
      <c r="AG1465" s="76">
        <v>1</v>
      </c>
      <c r="AH1465" s="73"/>
      <c r="AI1465" s="57"/>
      <c r="AJ1465" s="45"/>
      <c r="AK1465" s="45"/>
      <c r="AL1465" s="45"/>
    </row>
    <row r="1466" spans="1:38" hidden="1" outlineLevel="3" x14ac:dyDescent="0.35">
      <c r="A1466" s="45"/>
      <c r="B1466" s="54"/>
      <c r="C1466" s="47">
        <f t="shared" si="196"/>
        <v>4</v>
      </c>
      <c r="D1466" s="73"/>
      <c r="E1466" s="70"/>
      <c r="F1466" s="70" t="str">
        <f>SUBSTITUTE(F1462,",4)",",8)")</f>
        <v>C(U2,22,8)</v>
      </c>
      <c r="G1466" s="73"/>
      <c r="H1466" s="76" t="s">
        <v>2765</v>
      </c>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35">
      <c r="A1467" s="45"/>
      <c r="B1467" s="54"/>
      <c r="C1467" s="47">
        <f t="shared" si="196"/>
        <v>4</v>
      </c>
      <c r="D1467" s="73"/>
      <c r="E1467" s="70"/>
      <c r="F1467" s="70" t="str">
        <f>SUBSTITUTE(F1463,",5)",",9)")</f>
        <v>C(U2,22,9)</v>
      </c>
      <c r="G1467" s="73"/>
      <c r="H1467" s="76" t="s">
        <v>2766</v>
      </c>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35">
      <c r="A1468" s="45"/>
      <c r="B1468" s="54"/>
      <c r="C1468" s="47">
        <f t="shared" si="196"/>
        <v>4</v>
      </c>
      <c r="D1468" s="73"/>
      <c r="E1468" s="70"/>
      <c r="F1468" s="70" t="str">
        <f>SUBSTITUTE(F1464,",6)",",10)")</f>
        <v>C(U2,22,10)</v>
      </c>
      <c r="G1468" s="73"/>
      <c r="H1468" s="76" t="s">
        <v>2767</v>
      </c>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35">
      <c r="A1469" s="45"/>
      <c r="B1469" s="54"/>
      <c r="C1469" s="47">
        <f t="shared" si="196"/>
        <v>4</v>
      </c>
      <c r="D1469" s="73"/>
      <c r="E1469" s="70"/>
      <c r="F1469" s="70" t="str">
        <f>SUBSTITUTE(F1465,",7)",",11)")</f>
        <v>C(U2,22,11)</v>
      </c>
      <c r="G1469" s="73"/>
      <c r="H1469" s="76" t="s">
        <v>2768</v>
      </c>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2" x14ac:dyDescent="0.35">
      <c r="A1470" s="45"/>
      <c r="B1470" s="54"/>
      <c r="C1470" s="47">
        <f>INT($C$29)+2</f>
        <v>3</v>
      </c>
      <c r="D1470" s="73"/>
      <c r="E1470" s="70"/>
      <c r="F1470" s="70" t="s">
        <v>2101</v>
      </c>
      <c r="G1470" s="73"/>
      <c r="H1470" s="76" t="s">
        <v>2675</v>
      </c>
      <c r="I1470" s="76"/>
      <c r="J1470" s="76"/>
      <c r="K1470" s="76"/>
      <c r="L1470" s="76"/>
      <c r="M1470" s="76"/>
      <c r="N1470" s="76"/>
      <c r="O1470" s="76"/>
      <c r="P1470" s="76"/>
      <c r="Q1470" s="76"/>
      <c r="R1470" s="76"/>
      <c r="S1470" s="76"/>
      <c r="T1470" s="76"/>
      <c r="U1470" s="97">
        <v>7.50061</v>
      </c>
      <c r="V1470" s="268">
        <f t="shared" ref="V1470:AB1470" si="197">U1470</f>
        <v>7.50061</v>
      </c>
      <c r="W1470" s="268">
        <f t="shared" si="197"/>
        <v>7.50061</v>
      </c>
      <c r="X1470" s="268">
        <f t="shared" si="197"/>
        <v>7.50061</v>
      </c>
      <c r="Y1470" s="268">
        <f t="shared" si="197"/>
        <v>7.50061</v>
      </c>
      <c r="Z1470" s="268">
        <f t="shared" si="197"/>
        <v>7.50061</v>
      </c>
      <c r="AA1470" s="268">
        <f t="shared" si="197"/>
        <v>7.50061</v>
      </c>
      <c r="AB1470" s="268">
        <f t="shared" si="197"/>
        <v>7.50061</v>
      </c>
      <c r="AC1470" s="76"/>
      <c r="AD1470" s="97"/>
      <c r="AE1470" s="76"/>
      <c r="AF1470" s="97">
        <v>1</v>
      </c>
      <c r="AG1470" s="97">
        <v>1</v>
      </c>
      <c r="AH1470" s="73"/>
      <c r="AI1470" s="57"/>
      <c r="AJ1470" s="45"/>
      <c r="AK1470" s="45"/>
      <c r="AL1470" s="45"/>
    </row>
    <row r="1471" spans="1:38" hidden="1" outlineLevel="2" x14ac:dyDescent="0.35">
      <c r="A1471" s="45"/>
      <c r="B1471" s="54"/>
      <c r="C1471" s="47">
        <f>INT($C$29)+2</f>
        <v>3</v>
      </c>
      <c r="D1471" s="73"/>
      <c r="E1471" s="70"/>
      <c r="F1471" s="70" t="s">
        <v>2428</v>
      </c>
      <c r="G1471" s="73"/>
      <c r="H1471" s="76" t="s">
        <v>2786</v>
      </c>
      <c r="I1471" s="76"/>
      <c r="J1471" s="76"/>
      <c r="K1471" s="76"/>
      <c r="L1471" s="76"/>
      <c r="M1471" s="76"/>
      <c r="N1471" s="76"/>
      <c r="O1471" s="76"/>
      <c r="P1471" s="76"/>
      <c r="Q1471" s="76"/>
      <c r="R1471" s="76"/>
      <c r="S1471" s="76"/>
      <c r="T1471" s="76"/>
      <c r="U1471" s="97">
        <f>Y1471</f>
        <v>-4.5568499999999998</v>
      </c>
      <c r="V1471" s="262">
        <f t="shared" ref="V1471:W1473" si="198">U1471</f>
        <v>-4.5568499999999998</v>
      </c>
      <c r="W1471" s="262">
        <f t="shared" si="198"/>
        <v>-4.5568499999999998</v>
      </c>
      <c r="X1471" s="262">
        <f>Y1471</f>
        <v>-4.5568499999999998</v>
      </c>
      <c r="Y1471" s="97">
        <f>-(4.55685)</f>
        <v>-4.5568499999999998</v>
      </c>
      <c r="Z1471" s="262">
        <f t="shared" ref="Z1471:AB1473" si="199">Y1471</f>
        <v>-4.5568499999999998</v>
      </c>
      <c r="AA1471" s="262">
        <f t="shared" si="199"/>
        <v>-4.5568499999999998</v>
      </c>
      <c r="AB1471" s="262">
        <f t="shared" si="199"/>
        <v>-4.5568499999999998</v>
      </c>
      <c r="AC1471" s="76"/>
      <c r="AD1471" s="97" t="s">
        <v>2785</v>
      </c>
      <c r="AE1471" s="76"/>
      <c r="AF1471" s="76">
        <v>1</v>
      </c>
      <c r="AG1471" s="76">
        <v>1</v>
      </c>
      <c r="AH1471" s="73"/>
      <c r="AI1471" s="57"/>
      <c r="AJ1471" s="45"/>
      <c r="AK1471" s="45"/>
      <c r="AL1471" s="45"/>
    </row>
    <row r="1472" spans="1:38" hidden="1" outlineLevel="2" x14ac:dyDescent="0.35">
      <c r="A1472" s="45"/>
      <c r="B1472" s="54"/>
      <c r="C1472" s="47">
        <f>INT($C$29)+2</f>
        <v>3</v>
      </c>
      <c r="D1472" s="73"/>
      <c r="E1472" s="70"/>
      <c r="F1472" s="70" t="s">
        <v>2429</v>
      </c>
      <c r="G1472" s="73"/>
      <c r="H1472" s="76" t="s">
        <v>2516</v>
      </c>
      <c r="I1472" s="76"/>
      <c r="J1472" s="76"/>
      <c r="K1472" s="76"/>
      <c r="L1472" s="76"/>
      <c r="M1472" s="76"/>
      <c r="N1472" s="76"/>
      <c r="O1472" s="76"/>
      <c r="P1472" s="76"/>
      <c r="Q1472" s="76"/>
      <c r="R1472" s="76"/>
      <c r="S1472" s="76"/>
      <c r="T1472" s="76"/>
      <c r="U1472" s="97">
        <f>Y1472</f>
        <v>0.69092500000000001</v>
      </c>
      <c r="V1472" s="262">
        <f t="shared" si="198"/>
        <v>0.69092500000000001</v>
      </c>
      <c r="W1472" s="262">
        <f t="shared" si="198"/>
        <v>0.69092500000000001</v>
      </c>
      <c r="X1472" s="262">
        <f>Y1472</f>
        <v>0.69092500000000001</v>
      </c>
      <c r="Y1472" s="97">
        <f>-(-0.690925)</f>
        <v>0.69092500000000001</v>
      </c>
      <c r="Z1472" s="262">
        <f t="shared" si="199"/>
        <v>0.69092500000000001</v>
      </c>
      <c r="AA1472" s="262">
        <f t="shared" si="199"/>
        <v>0.69092500000000001</v>
      </c>
      <c r="AB1472" s="262">
        <f t="shared" si="199"/>
        <v>0.69092500000000001</v>
      </c>
      <c r="AC1472" s="76"/>
      <c r="AD1472" s="76"/>
      <c r="AE1472" s="76"/>
      <c r="AF1472" s="76">
        <v>1</v>
      </c>
      <c r="AG1472" s="76">
        <v>1</v>
      </c>
      <c r="AH1472" s="73"/>
      <c r="AI1472" s="57"/>
      <c r="AJ1472" s="45"/>
      <c r="AK1472" s="45"/>
      <c r="AL1472" s="45"/>
    </row>
    <row r="1473" spans="1:38" hidden="1" outlineLevel="2" collapsed="1" x14ac:dyDescent="0.35">
      <c r="A1473" s="45"/>
      <c r="B1473" s="54"/>
      <c r="C1473" s="47">
        <f t="shared" ref="C1473:C1482" si="200">INT($C$29)+3</f>
        <v>4</v>
      </c>
      <c r="D1473" s="73"/>
      <c r="E1473" s="70"/>
      <c r="F1473" s="70" t="s">
        <v>2430</v>
      </c>
      <c r="G1473" s="73"/>
      <c r="H1473" s="391" t="s">
        <v>2787</v>
      </c>
      <c r="I1473" s="76"/>
      <c r="J1473" s="76"/>
      <c r="K1473" s="76"/>
      <c r="L1473" s="76"/>
      <c r="M1473" s="76"/>
      <c r="N1473" s="76"/>
      <c r="O1473" s="76"/>
      <c r="P1473" s="76"/>
      <c r="Q1473" s="76"/>
      <c r="R1473" s="76"/>
      <c r="S1473" s="76"/>
      <c r="T1473" s="76"/>
      <c r="U1473" s="97">
        <f>Y1473</f>
        <v>-0.15570000000000001</v>
      </c>
      <c r="V1473" s="262">
        <f t="shared" si="198"/>
        <v>-0.15570000000000001</v>
      </c>
      <c r="W1473" s="262">
        <f t="shared" si="198"/>
        <v>-0.15570000000000001</v>
      </c>
      <c r="X1473" s="262">
        <f>Y1473</f>
        <v>-0.15570000000000001</v>
      </c>
      <c r="Y1473" s="97">
        <f>-(0.1557)</f>
        <v>-0.15570000000000001</v>
      </c>
      <c r="Z1473" s="262">
        <f t="shared" si="199"/>
        <v>-0.15570000000000001</v>
      </c>
      <c r="AA1473" s="262">
        <f t="shared" si="199"/>
        <v>-0.15570000000000001</v>
      </c>
      <c r="AB1473" s="262">
        <f t="shared" si="199"/>
        <v>-0.15570000000000001</v>
      </c>
      <c r="AC1473" s="76"/>
      <c r="AD1473" s="97"/>
      <c r="AE1473" s="76"/>
      <c r="AF1473" s="97">
        <v>1</v>
      </c>
      <c r="AG1473" s="97">
        <v>1</v>
      </c>
      <c r="AH1473" s="73"/>
      <c r="AI1473" s="57"/>
      <c r="AJ1473" s="45"/>
      <c r="AK1473" s="45"/>
      <c r="AL1473" s="45"/>
    </row>
    <row r="1474" spans="1:38" hidden="1" outlineLevel="3" collapsed="1" x14ac:dyDescent="0.35">
      <c r="A1474" s="45"/>
      <c r="B1474" s="54"/>
      <c r="C1474" s="47">
        <f t="shared" si="200"/>
        <v>4</v>
      </c>
      <c r="D1474" s="73"/>
      <c r="E1474" s="70"/>
      <c r="F1474" s="70" t="s">
        <v>2431</v>
      </c>
      <c r="G1474" s="73"/>
      <c r="H1474" s="391" t="s">
        <v>2788</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35">
      <c r="A1475" s="45"/>
      <c r="B1475" s="54"/>
      <c r="C1475" s="47">
        <f t="shared" si="200"/>
        <v>4</v>
      </c>
      <c r="D1475" s="73"/>
      <c r="E1475" s="70"/>
      <c r="F1475" s="70" t="s">
        <v>2432</v>
      </c>
      <c r="G1475" s="73"/>
      <c r="H1475" s="390" t="s">
        <v>2525</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200"/>
        <v>4</v>
      </c>
      <c r="D1476" s="73"/>
      <c r="E1476" s="70"/>
      <c r="F1476" s="70" t="s">
        <v>2433</v>
      </c>
      <c r="G1476" s="73"/>
      <c r="H1476" s="390" t="s">
        <v>2526</v>
      </c>
      <c r="I1476" s="7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200"/>
        <v>4</v>
      </c>
      <c r="D1477" s="73"/>
      <c r="E1477" s="70"/>
      <c r="F1477" s="70" t="s">
        <v>2434</v>
      </c>
      <c r="G1477" s="73"/>
      <c r="H1477" s="390" t="s">
        <v>2527</v>
      </c>
      <c r="I1477" s="7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35">
      <c r="A1478" s="45"/>
      <c r="B1478" s="54"/>
      <c r="C1478" s="47">
        <f t="shared" si="200"/>
        <v>4</v>
      </c>
      <c r="D1478" s="73"/>
      <c r="E1478" s="70"/>
      <c r="F1478" s="70" t="s">
        <v>2435</v>
      </c>
      <c r="G1478" s="73"/>
      <c r="H1478" s="390" t="s">
        <v>2528</v>
      </c>
      <c r="I1478" s="7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35">
      <c r="A1479" s="45"/>
      <c r="B1479" s="54"/>
      <c r="C1479" s="47">
        <f t="shared" si="200"/>
        <v>4</v>
      </c>
      <c r="D1479" s="73"/>
      <c r="E1479" s="70"/>
      <c r="F1479" s="70" t="str">
        <f>SUBSTITUTE(F1475,",4)",",8)")</f>
        <v>C(U2,23,8)</v>
      </c>
      <c r="G1479" s="73"/>
      <c r="H1479" s="390" t="s">
        <v>2790</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35">
      <c r="A1480" s="45"/>
      <c r="B1480" s="54"/>
      <c r="C1480" s="47">
        <f t="shared" si="200"/>
        <v>4</v>
      </c>
      <c r="D1480" s="73"/>
      <c r="E1480" s="70"/>
      <c r="F1480" s="70" t="str">
        <f>SUBSTITUTE(F1476,",5)",",9)")</f>
        <v>C(U2,23,9)</v>
      </c>
      <c r="G1480" s="73"/>
      <c r="H1480" s="390" t="s">
        <v>2791</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35">
      <c r="A1481" s="45"/>
      <c r="B1481" s="54"/>
      <c r="C1481" s="47">
        <f t="shared" si="200"/>
        <v>4</v>
      </c>
      <c r="D1481" s="73"/>
      <c r="E1481" s="70"/>
      <c r="F1481" s="70" t="str">
        <f>SUBSTITUTE(F1477,",6)",",10)")</f>
        <v>C(U2,23,10)</v>
      </c>
      <c r="G1481" s="73"/>
      <c r="H1481" s="390" t="s">
        <v>2792</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2" x14ac:dyDescent="0.35">
      <c r="A1482" s="45"/>
      <c r="B1482" s="54"/>
      <c r="C1482" s="47">
        <f t="shared" si="200"/>
        <v>4</v>
      </c>
      <c r="D1482" s="73"/>
      <c r="E1482" s="70"/>
      <c r="F1482" s="70" t="str">
        <f>SUBSTITUTE(F1478,",7)",",11)")</f>
        <v>C(U2,23,11)</v>
      </c>
      <c r="G1482" s="73"/>
      <c r="H1482" s="391" t="s">
        <v>2843</v>
      </c>
      <c r="I1482" s="96"/>
      <c r="J1482" s="76"/>
      <c r="K1482" s="76"/>
      <c r="L1482" s="76"/>
      <c r="M1482" s="76"/>
      <c r="N1482" s="76"/>
      <c r="O1482" s="76"/>
      <c r="P1482" s="76"/>
      <c r="Q1482" s="76"/>
      <c r="R1482" s="76"/>
      <c r="S1482" s="76"/>
      <c r="T1482" s="76"/>
      <c r="U1482" s="349">
        <f t="shared" ref="U1482:AB1482" si="201">-U$1471/(2*U$1472)</f>
        <v>3.2976444621340955</v>
      </c>
      <c r="V1482" s="349">
        <f t="shared" si="201"/>
        <v>3.2976444621340955</v>
      </c>
      <c r="W1482" s="349">
        <f t="shared" si="201"/>
        <v>3.2976444621340955</v>
      </c>
      <c r="X1482" s="349">
        <f t="shared" si="201"/>
        <v>3.2976444621340955</v>
      </c>
      <c r="Y1482" s="349">
        <f t="shared" si="201"/>
        <v>3.2976444621340955</v>
      </c>
      <c r="Z1482" s="349">
        <f t="shared" si="201"/>
        <v>3.2976444621340955</v>
      </c>
      <c r="AA1482" s="349">
        <f t="shared" si="201"/>
        <v>3.2976444621340955</v>
      </c>
      <c r="AB1482" s="349">
        <f t="shared" si="201"/>
        <v>3.2976444621340955</v>
      </c>
      <c r="AC1482" s="76"/>
      <c r="AD1482" s="76"/>
      <c r="AE1482" s="76"/>
      <c r="AF1482" s="76">
        <v>1</v>
      </c>
      <c r="AG1482" s="76">
        <v>1</v>
      </c>
      <c r="AH1482" s="73"/>
      <c r="AI1482" s="57"/>
      <c r="AJ1482" s="45"/>
      <c r="AK1482" s="45"/>
      <c r="AL1482" s="45"/>
    </row>
    <row r="1483" spans="1:38" hidden="1" outlineLevel="2" x14ac:dyDescent="0.35">
      <c r="A1483" s="45"/>
      <c r="B1483" s="54"/>
      <c r="C1483" s="47">
        <f>INT($C$29)+2</f>
        <v>3</v>
      </c>
      <c r="D1483" s="73"/>
      <c r="E1483" s="70"/>
      <c r="F1483" s="70" t="s">
        <v>2436</v>
      </c>
      <c r="G1483" s="73"/>
      <c r="H1483" s="76" t="s">
        <v>2789</v>
      </c>
      <c r="I1483" s="76"/>
      <c r="J1483" s="76"/>
      <c r="K1483" s="76"/>
      <c r="L1483" s="76"/>
      <c r="M1483" s="76"/>
      <c r="N1483" s="76"/>
      <c r="O1483" s="76"/>
      <c r="P1483" s="76"/>
      <c r="Q1483" s="76"/>
      <c r="R1483" s="76"/>
      <c r="S1483" s="76"/>
      <c r="T1483" s="76"/>
      <c r="U1483" s="97">
        <f>Y1483-(1.61859)</f>
        <v>2.0276899999999998</v>
      </c>
      <c r="V1483" s="262">
        <f>U1483</f>
        <v>2.0276899999999998</v>
      </c>
      <c r="W1483" s="262">
        <f>V1483</f>
        <v>2.0276899999999998</v>
      </c>
      <c r="X1483" s="262">
        <f t="shared" ref="X1483:X1488" si="202">Y1483</f>
        <v>3.64628</v>
      </c>
      <c r="Y1483" s="97">
        <f>-(-3.64628)</f>
        <v>3.64628</v>
      </c>
      <c r="Z1483" s="262">
        <f t="shared" ref="Z1483:AB1488" si="203">Y1483</f>
        <v>3.64628</v>
      </c>
      <c r="AA1483" s="262">
        <f t="shared" si="203"/>
        <v>3.64628</v>
      </c>
      <c r="AB1483" s="262">
        <f t="shared" si="203"/>
        <v>3.64628</v>
      </c>
      <c r="AC1483" s="76"/>
      <c r="AD1483" s="97"/>
      <c r="AE1483" s="76"/>
      <c r="AF1483" s="97">
        <v>1</v>
      </c>
      <c r="AG1483" s="97">
        <v>1</v>
      </c>
      <c r="AH1483" s="73"/>
      <c r="AI1483" s="57"/>
      <c r="AJ1483" s="45"/>
      <c r="AK1483" s="45"/>
      <c r="AL1483" s="45"/>
    </row>
    <row r="1484" spans="1:38" hidden="1" outlineLevel="2" x14ac:dyDescent="0.35">
      <c r="A1484" s="45"/>
      <c r="B1484" s="54"/>
      <c r="C1484" s="47">
        <f>INT($C$29)+2</f>
        <v>3</v>
      </c>
      <c r="D1484" s="73"/>
      <c r="E1484" s="70"/>
      <c r="F1484" s="70" t="s">
        <v>2437</v>
      </c>
      <c r="G1484" s="73"/>
      <c r="H1484" s="76" t="s">
        <v>2503</v>
      </c>
      <c r="I1484" s="76"/>
      <c r="J1484" s="76"/>
      <c r="K1484" s="76"/>
      <c r="L1484" s="76"/>
      <c r="M1484" s="76"/>
      <c r="N1484" s="76"/>
      <c r="O1484" s="76"/>
      <c r="P1484" s="76"/>
      <c r="Q1484" s="76"/>
      <c r="R1484" s="76"/>
      <c r="S1484" s="76"/>
      <c r="T1484" s="76"/>
      <c r="U1484" s="97">
        <v>-0.43659999999999999</v>
      </c>
      <c r="V1484" s="262">
        <f t="shared" ref="V1484:W1488" si="204">U1484</f>
        <v>-0.43659999999999999</v>
      </c>
      <c r="W1484" s="262">
        <f t="shared" si="204"/>
        <v>-0.43659999999999999</v>
      </c>
      <c r="X1484" s="262">
        <f t="shared" si="202"/>
        <v>-0.54688000000000003</v>
      </c>
      <c r="Y1484" s="97">
        <v>-0.54688000000000003</v>
      </c>
      <c r="Z1484" s="262">
        <f t="shared" si="203"/>
        <v>-0.54688000000000003</v>
      </c>
      <c r="AA1484" s="262">
        <f t="shared" si="203"/>
        <v>-0.54688000000000003</v>
      </c>
      <c r="AB1484" s="262">
        <f t="shared" si="203"/>
        <v>-0.54688000000000003</v>
      </c>
      <c r="AC1484" s="76"/>
      <c r="AD1484" s="97" t="s">
        <v>2602</v>
      </c>
      <c r="AE1484" s="76"/>
      <c r="AF1484" s="97">
        <v>1</v>
      </c>
      <c r="AG1484" s="97">
        <v>1</v>
      </c>
      <c r="AH1484" s="73"/>
      <c r="AI1484" s="57"/>
      <c r="AJ1484" s="45"/>
      <c r="AK1484" s="45"/>
      <c r="AL1484" s="45"/>
    </row>
    <row r="1485" spans="1:38" hidden="1" outlineLevel="2" x14ac:dyDescent="0.35">
      <c r="A1485" s="45"/>
      <c r="B1485" s="54"/>
      <c r="C1485" s="47">
        <f>INT($C$29)+2</f>
        <v>3</v>
      </c>
      <c r="D1485" s="73"/>
      <c r="E1485" s="70"/>
      <c r="F1485" s="70" t="s">
        <v>2438</v>
      </c>
      <c r="G1485" s="73"/>
      <c r="H1485" s="76" t="s">
        <v>2517</v>
      </c>
      <c r="I1485" s="76"/>
      <c r="J1485" s="76"/>
      <c r="K1485" s="76"/>
      <c r="L1485" s="76"/>
      <c r="M1485" s="76"/>
      <c r="N1485" s="76"/>
      <c r="O1485" s="76"/>
      <c r="P1485" s="76"/>
      <c r="Q1485" s="76"/>
      <c r="R1485" s="76"/>
      <c r="S1485" s="76"/>
      <c r="T1485" s="76"/>
      <c r="U1485" s="97">
        <v>3.7200000000000002E-3</v>
      </c>
      <c r="V1485" s="262">
        <f t="shared" si="204"/>
        <v>3.7200000000000002E-3</v>
      </c>
      <c r="W1485" s="262">
        <f t="shared" si="204"/>
        <v>3.7200000000000002E-3</v>
      </c>
      <c r="X1485" s="262">
        <f t="shared" si="202"/>
        <v>5.4739999999999997E-3</v>
      </c>
      <c r="Y1485" s="97">
        <v>5.4739999999999997E-3</v>
      </c>
      <c r="Z1485" s="262">
        <f t="shared" si="203"/>
        <v>5.4739999999999997E-3</v>
      </c>
      <c r="AA1485" s="262">
        <f t="shared" si="203"/>
        <v>5.4739999999999997E-3</v>
      </c>
      <c r="AB1485" s="262">
        <f t="shared" si="203"/>
        <v>5.4739999999999997E-3</v>
      </c>
      <c r="AC1485" s="76"/>
      <c r="AD1485" s="76"/>
      <c r="AE1485" s="76"/>
      <c r="AF1485" s="97">
        <v>1</v>
      </c>
      <c r="AG1485" s="97">
        <v>1</v>
      </c>
      <c r="AH1485" s="73"/>
      <c r="AI1485" s="57"/>
      <c r="AJ1485" s="45"/>
      <c r="AK1485" s="45"/>
      <c r="AL1485" s="45"/>
    </row>
    <row r="1486" spans="1:38" hidden="1" outlineLevel="2" x14ac:dyDescent="0.35">
      <c r="A1486" s="45"/>
      <c r="B1486" s="54"/>
      <c r="C1486" s="47">
        <f t="shared" ref="C1486:C1495" si="205">INT($C$29)+3</f>
        <v>4</v>
      </c>
      <c r="D1486" s="73"/>
      <c r="E1486" s="70"/>
      <c r="F1486" s="70" t="s">
        <v>2439</v>
      </c>
      <c r="G1486" s="73"/>
      <c r="H1486" s="391" t="s">
        <v>2835</v>
      </c>
      <c r="I1486" s="76"/>
      <c r="J1486" s="76"/>
      <c r="K1486" s="76"/>
      <c r="L1486" s="76"/>
      <c r="M1486" s="76"/>
      <c r="N1486" s="76"/>
      <c r="O1486" s="76"/>
      <c r="P1486" s="76"/>
      <c r="Q1486" s="76"/>
      <c r="R1486" s="76"/>
      <c r="S1486" s="76"/>
      <c r="T1486" s="76"/>
      <c r="U1486" s="97">
        <v>-5.1499999999999997E-2</v>
      </c>
      <c r="V1486" s="262">
        <f t="shared" si="204"/>
        <v>-5.1499999999999997E-2</v>
      </c>
      <c r="W1486" s="262">
        <f t="shared" si="204"/>
        <v>-5.1499999999999997E-2</v>
      </c>
      <c r="X1486" s="262">
        <f t="shared" si="202"/>
        <v>-2.75E-2</v>
      </c>
      <c r="Y1486" s="97">
        <v>-2.75E-2</v>
      </c>
      <c r="Z1486" s="262">
        <f t="shared" si="203"/>
        <v>-2.75E-2</v>
      </c>
      <c r="AA1486" s="262">
        <f t="shared" si="203"/>
        <v>-2.75E-2</v>
      </c>
      <c r="AB1486" s="262">
        <f t="shared" si="203"/>
        <v>-2.75E-2</v>
      </c>
      <c r="AC1486" s="76"/>
      <c r="AD1486" s="76"/>
      <c r="AE1486" s="76"/>
      <c r="AF1486" s="97">
        <v>1</v>
      </c>
      <c r="AG1486" s="97">
        <v>1</v>
      </c>
      <c r="AH1486" s="73"/>
      <c r="AI1486" s="57"/>
      <c r="AJ1486" s="45"/>
      <c r="AK1486" s="45"/>
      <c r="AL1486" s="45"/>
    </row>
    <row r="1487" spans="1:38" hidden="1" outlineLevel="2" x14ac:dyDescent="0.35">
      <c r="A1487" s="45"/>
      <c r="B1487" s="54"/>
      <c r="C1487" s="47">
        <f t="shared" si="205"/>
        <v>4</v>
      </c>
      <c r="D1487" s="73"/>
      <c r="E1487" s="70"/>
      <c r="F1487" s="70" t="s">
        <v>2440</v>
      </c>
      <c r="G1487" s="73"/>
      <c r="H1487" s="391" t="s">
        <v>2836</v>
      </c>
      <c r="I1487" s="76"/>
      <c r="J1487" s="76"/>
      <c r="K1487" s="76"/>
      <c r="L1487" s="76"/>
      <c r="M1487" s="76"/>
      <c r="N1487" s="76"/>
      <c r="O1487" s="76"/>
      <c r="P1487" s="76"/>
      <c r="Q1487" s="76"/>
      <c r="R1487" s="76"/>
      <c r="S1487" s="76"/>
      <c r="T1487" s="76"/>
      <c r="U1487" s="97">
        <f>-U1486/(2*9.5*30.4)</f>
        <v>8.916204986149583E-5</v>
      </c>
      <c r="V1487" s="262">
        <f t="shared" si="204"/>
        <v>8.916204986149583E-5</v>
      </c>
      <c r="W1487" s="262">
        <f t="shared" si="204"/>
        <v>8.916204986149583E-5</v>
      </c>
      <c r="X1487" s="262">
        <f t="shared" si="202"/>
        <v>4.7610803324099718E-5</v>
      </c>
      <c r="Y1487" s="97">
        <f>-Y1486/(2*9.5*30.4)</f>
        <v>4.7610803324099718E-5</v>
      </c>
      <c r="Z1487" s="262">
        <f t="shared" si="203"/>
        <v>4.7610803324099718E-5</v>
      </c>
      <c r="AA1487" s="262">
        <f t="shared" si="203"/>
        <v>4.7610803324099718E-5</v>
      </c>
      <c r="AB1487" s="262">
        <f t="shared" si="203"/>
        <v>4.7610803324099718E-5</v>
      </c>
      <c r="AC1487" s="76"/>
      <c r="AD1487" s="76"/>
      <c r="AE1487" s="76"/>
      <c r="AF1487" s="76">
        <v>1</v>
      </c>
      <c r="AG1487" s="76">
        <v>1</v>
      </c>
      <c r="AH1487" s="73"/>
      <c r="AI1487" s="57"/>
      <c r="AJ1487" s="45"/>
      <c r="AK1487" s="45"/>
      <c r="AL1487" s="45"/>
    </row>
    <row r="1488" spans="1:38" hidden="1" outlineLevel="2" collapsed="1" x14ac:dyDescent="0.35">
      <c r="A1488" s="45"/>
      <c r="B1488" s="54"/>
      <c r="C1488" s="47">
        <f t="shared" si="205"/>
        <v>4</v>
      </c>
      <c r="D1488" s="73"/>
      <c r="E1488" s="70"/>
      <c r="F1488" s="70" t="s">
        <v>2441</v>
      </c>
      <c r="G1488" s="73"/>
      <c r="H1488" s="391" t="s">
        <v>2837</v>
      </c>
      <c r="I1488" s="76"/>
      <c r="J1488" s="76"/>
      <c r="K1488" s="76"/>
      <c r="L1488" s="76"/>
      <c r="M1488" s="76"/>
      <c r="N1488" s="76"/>
      <c r="O1488" s="76"/>
      <c r="P1488" s="76"/>
      <c r="Q1488" s="76"/>
      <c r="R1488" s="76"/>
      <c r="S1488" s="76"/>
      <c r="T1488" s="76"/>
      <c r="U1488" s="97">
        <v>-4.0000000000000001E-3</v>
      </c>
      <c r="V1488" s="262">
        <f t="shared" si="204"/>
        <v>-4.0000000000000001E-3</v>
      </c>
      <c r="W1488" s="262">
        <f t="shared" si="204"/>
        <v>-4.0000000000000001E-3</v>
      </c>
      <c r="X1488" s="262">
        <f t="shared" si="202"/>
        <v>-4.0000000000000001E-3</v>
      </c>
      <c r="Y1488" s="97">
        <v>-4.0000000000000001E-3</v>
      </c>
      <c r="Z1488" s="262">
        <f t="shared" si="203"/>
        <v>-4.0000000000000001E-3</v>
      </c>
      <c r="AA1488" s="262">
        <f t="shared" si="203"/>
        <v>-4.0000000000000001E-3</v>
      </c>
      <c r="AB1488" s="262">
        <f t="shared" si="203"/>
        <v>-4.0000000000000001E-3</v>
      </c>
      <c r="AC1488" s="76"/>
      <c r="AD1488" s="76"/>
      <c r="AE1488" s="76"/>
      <c r="AF1488" s="97">
        <v>1</v>
      </c>
      <c r="AG1488" s="97">
        <v>1</v>
      </c>
      <c r="AH1488" s="73"/>
      <c r="AI1488" s="57"/>
      <c r="AJ1488" s="45"/>
      <c r="AK1488" s="45"/>
      <c r="AL1488" s="45"/>
    </row>
    <row r="1489" spans="1:38" hidden="1" outlineLevel="3" x14ac:dyDescent="0.35">
      <c r="A1489" s="45"/>
      <c r="B1489" s="54"/>
      <c r="C1489" s="47">
        <f t="shared" si="205"/>
        <v>4</v>
      </c>
      <c r="D1489" s="73"/>
      <c r="E1489" s="70"/>
      <c r="F1489" s="70" t="s">
        <v>2442</v>
      </c>
      <c r="G1489" s="73"/>
      <c r="H1489" s="390" t="s">
        <v>2838</v>
      </c>
      <c r="I1489" s="76"/>
      <c r="J1489" s="76"/>
      <c r="K1489" s="76"/>
      <c r="L1489" s="76"/>
      <c r="M1489" s="76"/>
      <c r="N1489" s="76"/>
      <c r="O1489" s="76"/>
      <c r="P1489" s="76"/>
      <c r="Q1489" s="76"/>
      <c r="R1489" s="76"/>
      <c r="S1489" s="76"/>
      <c r="T1489" s="76"/>
      <c r="U1489" s="76">
        <v>0</v>
      </c>
      <c r="V1489" s="76">
        <v>0</v>
      </c>
      <c r="W1489" s="76">
        <v>0</v>
      </c>
      <c r="X1489" s="76">
        <v>0</v>
      </c>
      <c r="Y1489" s="76">
        <v>0</v>
      </c>
      <c r="Z1489" s="76">
        <v>0</v>
      </c>
      <c r="AA1489" s="76">
        <v>0</v>
      </c>
      <c r="AB1489" s="76">
        <v>0</v>
      </c>
      <c r="AC1489" s="76"/>
      <c r="AD1489" s="76"/>
      <c r="AE1489" s="76"/>
      <c r="AF1489" s="76">
        <v>1</v>
      </c>
      <c r="AG1489" s="76">
        <v>1</v>
      </c>
      <c r="AH1489" s="73"/>
      <c r="AI1489" s="57"/>
      <c r="AJ1489" s="45"/>
      <c r="AK1489" s="45"/>
      <c r="AL1489" s="45"/>
    </row>
    <row r="1490" spans="1:38" hidden="1" outlineLevel="2" collapsed="1" x14ac:dyDescent="0.35">
      <c r="A1490" s="45"/>
      <c r="B1490" s="54"/>
      <c r="C1490" s="47">
        <f t="shared" si="205"/>
        <v>4</v>
      </c>
      <c r="D1490" s="73"/>
      <c r="E1490" s="70"/>
      <c r="F1490" s="70" t="s">
        <v>2443</v>
      </c>
      <c r="G1490" s="73"/>
      <c r="H1490" s="391" t="s">
        <v>2839</v>
      </c>
      <c r="I1490" s="76"/>
      <c r="J1490" s="76"/>
      <c r="K1490" s="76"/>
      <c r="L1490" s="76"/>
      <c r="M1490" s="76"/>
      <c r="N1490" s="76"/>
      <c r="O1490" s="76"/>
      <c r="P1490" s="76"/>
      <c r="Q1490" s="76"/>
      <c r="R1490" s="76"/>
      <c r="S1490" s="76"/>
      <c r="T1490" s="76"/>
      <c r="U1490" s="97">
        <v>-2.75E-2</v>
      </c>
      <c r="V1490" s="262">
        <f>U1490</f>
        <v>-2.75E-2</v>
      </c>
      <c r="W1490" s="262">
        <f>V1490</f>
        <v>-2.75E-2</v>
      </c>
      <c r="X1490" s="262">
        <f>Y1490</f>
        <v>-2.5499999999999998E-2</v>
      </c>
      <c r="Y1490" s="97">
        <v>-2.5499999999999998E-2</v>
      </c>
      <c r="Z1490" s="262">
        <f>Y1490</f>
        <v>-2.5499999999999998E-2</v>
      </c>
      <c r="AA1490" s="262">
        <f>Z1490</f>
        <v>-2.5499999999999998E-2</v>
      </c>
      <c r="AB1490" s="262">
        <f>AA1490</f>
        <v>-2.5499999999999998E-2</v>
      </c>
      <c r="AC1490" s="76"/>
      <c r="AD1490" s="76"/>
      <c r="AE1490" s="76"/>
      <c r="AF1490" s="97">
        <v>1</v>
      </c>
      <c r="AG1490" s="97">
        <v>1</v>
      </c>
      <c r="AH1490" s="73"/>
      <c r="AI1490" s="57"/>
      <c r="AJ1490" s="45"/>
      <c r="AK1490" s="45"/>
      <c r="AL1490" s="45"/>
    </row>
    <row r="1491" spans="1:38" hidden="1" outlineLevel="3" x14ac:dyDescent="0.35">
      <c r="A1491" s="45"/>
      <c r="B1491" s="54"/>
      <c r="C1491" s="47">
        <f t="shared" si="205"/>
        <v>4</v>
      </c>
      <c r="D1491" s="73"/>
      <c r="E1491" s="70"/>
      <c r="F1491" s="70" t="s">
        <v>2444</v>
      </c>
      <c r="G1491" s="73"/>
      <c r="H1491" s="390" t="s">
        <v>2840</v>
      </c>
      <c r="I1491" s="76"/>
      <c r="J1491" s="76"/>
      <c r="K1491" s="76"/>
      <c r="L1491" s="76"/>
      <c r="M1491" s="76"/>
      <c r="N1491" s="76"/>
      <c r="O1491" s="76"/>
      <c r="P1491" s="76"/>
      <c r="Q1491" s="76"/>
      <c r="R1491" s="76"/>
      <c r="S1491" s="76"/>
      <c r="T1491" s="76"/>
      <c r="U1491" s="76">
        <v>0</v>
      </c>
      <c r="V1491" s="76">
        <v>0</v>
      </c>
      <c r="W1491" s="76">
        <v>0</v>
      </c>
      <c r="X1491" s="76">
        <v>0</v>
      </c>
      <c r="Y1491" s="76">
        <v>0</v>
      </c>
      <c r="Z1491" s="76">
        <v>0</v>
      </c>
      <c r="AA1491" s="76">
        <v>0</v>
      </c>
      <c r="AB1491" s="76">
        <v>0</v>
      </c>
      <c r="AC1491" s="76"/>
      <c r="AD1491" s="76"/>
      <c r="AE1491" s="76"/>
      <c r="AF1491" s="76">
        <v>1</v>
      </c>
      <c r="AG1491" s="76">
        <v>1</v>
      </c>
      <c r="AH1491" s="73"/>
      <c r="AI1491" s="57"/>
      <c r="AJ1491" s="45"/>
      <c r="AK1491" s="45"/>
      <c r="AL1491" s="45"/>
    </row>
    <row r="1492" spans="1:38" hidden="1" outlineLevel="3" x14ac:dyDescent="0.35">
      <c r="A1492" s="45"/>
      <c r="B1492" s="54"/>
      <c r="C1492" s="47">
        <f t="shared" si="205"/>
        <v>4</v>
      </c>
      <c r="D1492" s="73"/>
      <c r="E1492" s="70"/>
      <c r="F1492" s="70" t="str">
        <f>SUBSTITUTE(F1488,",4)",",8)")</f>
        <v>C(U2,24,8)</v>
      </c>
      <c r="G1492" s="73"/>
      <c r="H1492" s="391" t="s">
        <v>2834</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2" x14ac:dyDescent="0.35">
      <c r="A1493" s="45"/>
      <c r="B1493" s="54"/>
      <c r="C1493" s="47">
        <f t="shared" si="205"/>
        <v>4</v>
      </c>
      <c r="D1493" s="73"/>
      <c r="E1493" s="70"/>
      <c r="F1493" s="70" t="str">
        <f>SUBSTITUTE(F1489,",5)",",9)")</f>
        <v>C(U2,24,9)</v>
      </c>
      <c r="G1493" s="73"/>
      <c r="H1493" s="391" t="s">
        <v>2831</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35">
      <c r="A1494" s="45"/>
      <c r="B1494" s="54"/>
      <c r="C1494" s="47">
        <f t="shared" si="205"/>
        <v>4</v>
      </c>
      <c r="D1494" s="73"/>
      <c r="E1494" s="70"/>
      <c r="F1494" s="70" t="str">
        <f>SUBSTITUTE(F1490,",6)",",10)")</f>
        <v>C(U2,24,10)</v>
      </c>
      <c r="G1494" s="73"/>
      <c r="H1494" s="391" t="s">
        <v>2832</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hidden="1" outlineLevel="2" x14ac:dyDescent="0.35">
      <c r="A1495" s="45"/>
      <c r="B1495" s="54"/>
      <c r="C1495" s="47">
        <f t="shared" si="205"/>
        <v>4</v>
      </c>
      <c r="D1495" s="73"/>
      <c r="E1495" s="70"/>
      <c r="F1495" s="70" t="str">
        <f>SUBSTITUTE(F1491,",7)",",11)")</f>
        <v>C(U2,24,11)</v>
      </c>
      <c r="G1495" s="73"/>
      <c r="H1495" s="391" t="s">
        <v>2833</v>
      </c>
      <c r="I1495" s="9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v>1</v>
      </c>
      <c r="AG1495" s="76">
        <v>1</v>
      </c>
      <c r="AH1495" s="73"/>
      <c r="AI1495" s="57"/>
      <c r="AJ1495" s="45"/>
      <c r="AK1495" s="45"/>
      <c r="AL1495" s="45"/>
    </row>
    <row r="1496" spans="1:38" hidden="1" outlineLevel="2" x14ac:dyDescent="0.35">
      <c r="A1496" s="45"/>
      <c r="B1496" s="54"/>
      <c r="C1496" s="47">
        <f>INT($C$29)+2</f>
        <v>3</v>
      </c>
      <c r="D1496" s="73"/>
      <c r="E1496" s="70"/>
      <c r="F1496" s="70" t="s">
        <v>2445</v>
      </c>
      <c r="G1496" s="73"/>
      <c r="H1496" s="76" t="s">
        <v>2841</v>
      </c>
      <c r="I1496" s="76"/>
      <c r="J1496" s="76"/>
      <c r="K1496" s="76"/>
      <c r="L1496" s="76"/>
      <c r="M1496" s="76"/>
      <c r="N1496" s="76"/>
      <c r="O1496" s="76"/>
      <c r="P1496" s="76"/>
      <c r="Q1496" s="76"/>
      <c r="R1496" s="76"/>
      <c r="S1496" s="76"/>
      <c r="T1496" s="76"/>
      <c r="U1496" s="97">
        <f>19.4829</f>
        <v>19.482900000000001</v>
      </c>
      <c r="V1496" s="262">
        <f t="shared" ref="V1496:W1499" si="206">U1496</f>
        <v>19.482900000000001</v>
      </c>
      <c r="W1496" s="262">
        <f t="shared" si="206"/>
        <v>19.482900000000001</v>
      </c>
      <c r="X1496" s="262">
        <f>Y1496</f>
        <v>16.702999999999999</v>
      </c>
      <c r="Y1496" s="97">
        <v>16.702999999999999</v>
      </c>
      <c r="Z1496" s="262">
        <f t="shared" ref="Z1496:AB1499" si="207">Y1496</f>
        <v>16.702999999999999</v>
      </c>
      <c r="AA1496" s="262">
        <f t="shared" si="207"/>
        <v>16.702999999999999</v>
      </c>
      <c r="AB1496" s="262">
        <f t="shared" si="207"/>
        <v>16.702999999999999</v>
      </c>
      <c r="AC1496" s="76"/>
      <c r="AD1496" s="76"/>
      <c r="AE1496" s="76"/>
      <c r="AF1496" s="97">
        <v>1</v>
      </c>
      <c r="AG1496" s="97">
        <v>1</v>
      </c>
      <c r="AH1496" s="73"/>
      <c r="AI1496" s="57"/>
      <c r="AJ1496" s="45"/>
      <c r="AK1496" s="45"/>
      <c r="AL1496" s="45"/>
    </row>
    <row r="1497" spans="1:38" hidden="1" outlineLevel="2" x14ac:dyDescent="0.35">
      <c r="A1497" s="45"/>
      <c r="B1497" s="54"/>
      <c r="C1497" s="47">
        <f>INT($C$29)+2</f>
        <v>3</v>
      </c>
      <c r="D1497" s="73"/>
      <c r="E1497" s="70"/>
      <c r="F1497" s="70" t="s">
        <v>2494</v>
      </c>
      <c r="G1497" s="73"/>
      <c r="H1497" s="76" t="s">
        <v>2558</v>
      </c>
      <c r="I1497" s="76"/>
      <c r="J1497" s="76"/>
      <c r="K1497" s="76"/>
      <c r="L1497" s="76"/>
      <c r="M1497" s="76"/>
      <c r="N1497" s="76"/>
      <c r="O1497" s="76"/>
      <c r="P1497" s="76"/>
      <c r="Q1497" s="76"/>
      <c r="R1497" s="76"/>
      <c r="S1497" s="76"/>
      <c r="T1497" s="76"/>
      <c r="U1497" s="97">
        <v>-9.8000000000000004E-2</v>
      </c>
      <c r="V1497" s="262">
        <f t="shared" si="206"/>
        <v>-9.8000000000000004E-2</v>
      </c>
      <c r="W1497" s="262">
        <f t="shared" si="206"/>
        <v>-9.8000000000000004E-2</v>
      </c>
      <c r="X1497" s="262">
        <f>Y1497</f>
        <v>-3.9480000000000001E-2</v>
      </c>
      <c r="Y1497" s="97">
        <v>-3.9480000000000001E-2</v>
      </c>
      <c r="Z1497" s="262">
        <f t="shared" si="207"/>
        <v>-3.9480000000000001E-2</v>
      </c>
      <c r="AA1497" s="262">
        <f t="shared" si="207"/>
        <v>-3.9480000000000001E-2</v>
      </c>
      <c r="AB1497" s="262">
        <f t="shared" si="207"/>
        <v>-3.9480000000000001E-2</v>
      </c>
      <c r="AC1497" s="76"/>
      <c r="AD1497" s="97" t="s">
        <v>2842</v>
      </c>
      <c r="AE1497" s="76"/>
      <c r="AF1497" s="97">
        <v>1</v>
      </c>
      <c r="AG1497" s="97">
        <v>1</v>
      </c>
      <c r="AH1497" s="73"/>
      <c r="AI1497" s="57"/>
      <c r="AJ1497" s="45"/>
      <c r="AK1497" s="45"/>
      <c r="AL1497" s="45"/>
    </row>
    <row r="1498" spans="1:38" hidden="1" outlineLevel="2" collapsed="1" x14ac:dyDescent="0.35">
      <c r="A1498" s="45"/>
      <c r="B1498" s="54"/>
      <c r="C1498" s="47">
        <f>INT($C$29)+2</f>
        <v>3</v>
      </c>
      <c r="D1498" s="73"/>
      <c r="E1498" s="70"/>
      <c r="F1498" s="70" t="s">
        <v>2495</v>
      </c>
      <c r="G1498" s="73"/>
      <c r="H1498" s="76" t="s">
        <v>2518</v>
      </c>
      <c r="I1498" s="76"/>
      <c r="J1498" s="76"/>
      <c r="K1498" s="76"/>
      <c r="L1498" s="76"/>
      <c r="M1498" s="76"/>
      <c r="N1498" s="76"/>
      <c r="O1498" s="76"/>
      <c r="P1498" s="76"/>
      <c r="Q1498" s="76"/>
      <c r="R1498" s="76"/>
      <c r="S1498" s="76"/>
      <c r="T1498" s="76"/>
      <c r="U1498" s="97">
        <v>0</v>
      </c>
      <c r="V1498" s="262">
        <f t="shared" si="206"/>
        <v>0</v>
      </c>
      <c r="W1498" s="262">
        <f t="shared" si="206"/>
        <v>0</v>
      </c>
      <c r="X1498" s="262">
        <f>Y1498</f>
        <v>0</v>
      </c>
      <c r="Y1498" s="97">
        <v>0</v>
      </c>
      <c r="Z1498" s="262">
        <f t="shared" si="207"/>
        <v>0</v>
      </c>
      <c r="AA1498" s="262">
        <f t="shared" si="207"/>
        <v>0</v>
      </c>
      <c r="AB1498" s="262">
        <f t="shared" si="207"/>
        <v>0</v>
      </c>
      <c r="AC1498" s="76"/>
      <c r="AD1498" s="76"/>
      <c r="AE1498" s="76"/>
      <c r="AF1498" s="97">
        <v>1</v>
      </c>
      <c r="AG1498" s="97">
        <v>1</v>
      </c>
      <c r="AH1498" s="73"/>
      <c r="AI1498" s="57"/>
      <c r="AJ1498" s="45"/>
      <c r="AK1498" s="45"/>
      <c r="AL1498" s="45"/>
    </row>
    <row r="1499" spans="1:38" hidden="1" outlineLevel="3" collapsed="1" x14ac:dyDescent="0.35">
      <c r="A1499" s="45"/>
      <c r="B1499" s="54"/>
      <c r="C1499" s="47">
        <f t="shared" ref="C1499:C1508" si="208">INT($C$29)+3</f>
        <v>4</v>
      </c>
      <c r="D1499" s="73"/>
      <c r="E1499" s="70"/>
      <c r="F1499" s="70" t="s">
        <v>2496</v>
      </c>
      <c r="G1499" s="73"/>
      <c r="H1499" s="391" t="s">
        <v>2519</v>
      </c>
      <c r="I1499" s="76"/>
      <c r="J1499" s="76"/>
      <c r="K1499" s="76"/>
      <c r="L1499" s="76"/>
      <c r="M1499" s="76"/>
      <c r="N1499" s="76"/>
      <c r="O1499" s="76"/>
      <c r="P1499" s="76"/>
      <c r="Q1499" s="76"/>
      <c r="R1499" s="76"/>
      <c r="S1499" s="76"/>
      <c r="T1499" s="76"/>
      <c r="U1499" s="97">
        <v>0</v>
      </c>
      <c r="V1499" s="262">
        <f t="shared" si="206"/>
        <v>0</v>
      </c>
      <c r="W1499" s="262">
        <f t="shared" si="206"/>
        <v>0</v>
      </c>
      <c r="X1499" s="262">
        <f>Y1499</f>
        <v>0</v>
      </c>
      <c r="Y1499" s="97">
        <v>0</v>
      </c>
      <c r="Z1499" s="262">
        <f t="shared" si="207"/>
        <v>0</v>
      </c>
      <c r="AA1499" s="262">
        <f t="shared" si="207"/>
        <v>0</v>
      </c>
      <c r="AB1499" s="262">
        <f t="shared" si="207"/>
        <v>0</v>
      </c>
      <c r="AC1499" s="76"/>
      <c r="AD1499" s="76"/>
      <c r="AE1499" s="76"/>
      <c r="AF1499" s="97">
        <v>1</v>
      </c>
      <c r="AG1499" s="97">
        <v>1</v>
      </c>
      <c r="AH1499" s="73"/>
      <c r="AI1499" s="57"/>
      <c r="AJ1499" s="45"/>
      <c r="AK1499" s="45"/>
      <c r="AL1499" s="45"/>
    </row>
    <row r="1500" spans="1:38" hidden="1" outlineLevel="3" x14ac:dyDescent="0.35">
      <c r="A1500" s="45"/>
      <c r="B1500" s="54"/>
      <c r="C1500" s="47">
        <f t="shared" si="208"/>
        <v>4</v>
      </c>
      <c r="D1500" s="73"/>
      <c r="E1500" s="70"/>
      <c r="F1500" s="70" t="s">
        <v>2497</v>
      </c>
      <c r="G1500" s="73"/>
      <c r="H1500" s="391" t="s">
        <v>2777</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hidden="1" outlineLevel="2" collapsed="1" x14ac:dyDescent="0.35">
      <c r="A1501" s="45"/>
      <c r="B1501" s="54"/>
      <c r="C1501" s="47">
        <f t="shared" si="208"/>
        <v>4</v>
      </c>
      <c r="D1501" s="73"/>
      <c r="E1501" s="70"/>
      <c r="F1501" s="70" t="s">
        <v>2498</v>
      </c>
      <c r="G1501" s="73"/>
      <c r="H1501" s="391" t="s">
        <v>2520</v>
      </c>
      <c r="I1501" s="76"/>
      <c r="J1501" s="76"/>
      <c r="K1501" s="76"/>
      <c r="L1501" s="76"/>
      <c r="M1501" s="76"/>
      <c r="N1501" s="76"/>
      <c r="O1501" s="76"/>
      <c r="P1501" s="76"/>
      <c r="Q1501" s="76"/>
      <c r="R1501" s="76"/>
      <c r="S1501" s="76"/>
      <c r="T1501" s="76"/>
      <c r="U1501" s="97">
        <v>0</v>
      </c>
      <c r="V1501" s="262">
        <f>U1501</f>
        <v>0</v>
      </c>
      <c r="W1501" s="262">
        <f>V1501</f>
        <v>0</v>
      </c>
      <c r="X1501" s="262">
        <f>Y1501</f>
        <v>0</v>
      </c>
      <c r="Y1501" s="97">
        <v>0</v>
      </c>
      <c r="Z1501" s="262">
        <f>Y1501</f>
        <v>0</v>
      </c>
      <c r="AA1501" s="262">
        <f>Z1501</f>
        <v>0</v>
      </c>
      <c r="AB1501" s="262">
        <f>AA1501</f>
        <v>0</v>
      </c>
      <c r="AC1501" s="76"/>
      <c r="AD1501" s="76"/>
      <c r="AE1501" s="76"/>
      <c r="AF1501" s="97">
        <v>1</v>
      </c>
      <c r="AG1501" s="97">
        <v>1</v>
      </c>
      <c r="AH1501" s="73"/>
      <c r="AI1501" s="57"/>
      <c r="AJ1501" s="45"/>
      <c r="AK1501" s="45"/>
      <c r="AL1501" s="45"/>
    </row>
    <row r="1502" spans="1:38" hidden="1" outlineLevel="3" x14ac:dyDescent="0.35">
      <c r="A1502" s="45"/>
      <c r="B1502" s="54"/>
      <c r="C1502" s="47">
        <f t="shared" si="208"/>
        <v>4</v>
      </c>
      <c r="D1502" s="73"/>
      <c r="E1502" s="70"/>
      <c r="F1502" s="70" t="s">
        <v>2499</v>
      </c>
      <c r="G1502" s="73"/>
      <c r="H1502" s="390" t="s">
        <v>2776</v>
      </c>
      <c r="I1502" s="76"/>
      <c r="J1502" s="76"/>
      <c r="K1502" s="76"/>
      <c r="L1502" s="76"/>
      <c r="M1502" s="76"/>
      <c r="N1502" s="76"/>
      <c r="O1502" s="76"/>
      <c r="P1502" s="76"/>
      <c r="Q1502" s="76"/>
      <c r="R1502" s="76"/>
      <c r="S1502" s="76"/>
      <c r="T1502" s="76"/>
      <c r="U1502" s="76">
        <v>0</v>
      </c>
      <c r="V1502" s="76">
        <v>0</v>
      </c>
      <c r="W1502" s="76">
        <v>0</v>
      </c>
      <c r="X1502" s="76">
        <v>0</v>
      </c>
      <c r="Y1502" s="76">
        <v>0</v>
      </c>
      <c r="Z1502" s="76">
        <v>0</v>
      </c>
      <c r="AA1502" s="76">
        <v>0</v>
      </c>
      <c r="AB1502" s="76">
        <v>0</v>
      </c>
      <c r="AC1502" s="76"/>
      <c r="AD1502" s="76"/>
      <c r="AE1502" s="76"/>
      <c r="AF1502" s="76">
        <v>1</v>
      </c>
      <c r="AG1502" s="76">
        <v>1</v>
      </c>
      <c r="AH1502" s="73"/>
      <c r="AI1502" s="57"/>
      <c r="AJ1502" s="45"/>
      <c r="AK1502" s="45"/>
      <c r="AL1502" s="45"/>
    </row>
    <row r="1503" spans="1:38" hidden="1" outlineLevel="2" collapsed="1" x14ac:dyDescent="0.35">
      <c r="A1503" s="45"/>
      <c r="B1503" s="54"/>
      <c r="C1503" s="47">
        <f t="shared" si="208"/>
        <v>4</v>
      </c>
      <c r="D1503" s="73"/>
      <c r="E1503" s="70"/>
      <c r="F1503" s="70" t="s">
        <v>2500</v>
      </c>
      <c r="G1503" s="73"/>
      <c r="H1503" s="391" t="s">
        <v>2521</v>
      </c>
      <c r="I1503" s="76"/>
      <c r="J1503" s="76"/>
      <c r="K1503" s="76"/>
      <c r="L1503" s="76"/>
      <c r="M1503" s="76"/>
      <c r="N1503" s="76"/>
      <c r="O1503" s="76"/>
      <c r="P1503" s="76"/>
      <c r="Q1503" s="76"/>
      <c r="R1503" s="76"/>
      <c r="S1503" s="76"/>
      <c r="T1503" s="76"/>
      <c r="U1503" s="97">
        <v>-3.7749999999999999E-2</v>
      </c>
      <c r="V1503" s="262">
        <f>U1503</f>
        <v>-3.7749999999999999E-2</v>
      </c>
      <c r="W1503" s="262">
        <f>V1503</f>
        <v>-3.7749999999999999E-2</v>
      </c>
      <c r="X1503" s="262">
        <f>Y1503</f>
        <v>-2.775E-2</v>
      </c>
      <c r="Y1503" s="97">
        <v>-2.775E-2</v>
      </c>
      <c r="Z1503" s="262">
        <f>Y1503</f>
        <v>-2.775E-2</v>
      </c>
      <c r="AA1503" s="262">
        <f>Z1503</f>
        <v>-2.775E-2</v>
      </c>
      <c r="AB1503" s="262">
        <f>AA1503</f>
        <v>-2.775E-2</v>
      </c>
      <c r="AC1503" s="76"/>
      <c r="AD1503" s="76"/>
      <c r="AE1503" s="76"/>
      <c r="AF1503" s="97">
        <v>1</v>
      </c>
      <c r="AG1503" s="97">
        <v>1</v>
      </c>
      <c r="AH1503" s="73"/>
      <c r="AI1503" s="57"/>
      <c r="AJ1503" s="45"/>
      <c r="AK1503" s="45"/>
      <c r="AL1503" s="45"/>
    </row>
    <row r="1504" spans="1:38" hidden="1" outlineLevel="3" x14ac:dyDescent="0.35">
      <c r="A1504" s="45"/>
      <c r="B1504" s="54"/>
      <c r="C1504" s="47">
        <f t="shared" si="208"/>
        <v>4</v>
      </c>
      <c r="D1504" s="73"/>
      <c r="E1504" s="70"/>
      <c r="F1504" s="70" t="s">
        <v>2501</v>
      </c>
      <c r="G1504" s="73"/>
      <c r="H1504" s="390" t="s">
        <v>2778</v>
      </c>
      <c r="I1504" s="76"/>
      <c r="J1504" s="76"/>
      <c r="K1504" s="76"/>
      <c r="L1504" s="76"/>
      <c r="M1504" s="76"/>
      <c r="N1504" s="76"/>
      <c r="O1504" s="76"/>
      <c r="P1504" s="76"/>
      <c r="Q1504" s="76"/>
      <c r="R1504" s="76"/>
      <c r="S1504" s="76"/>
      <c r="T1504" s="76"/>
      <c r="U1504" s="76">
        <v>0</v>
      </c>
      <c r="V1504" s="76">
        <v>0</v>
      </c>
      <c r="W1504" s="76">
        <v>0</v>
      </c>
      <c r="X1504" s="76">
        <v>0</v>
      </c>
      <c r="Y1504" s="76">
        <v>0</v>
      </c>
      <c r="Z1504" s="76">
        <v>0</v>
      </c>
      <c r="AA1504" s="76">
        <v>0</v>
      </c>
      <c r="AB1504" s="76">
        <v>0</v>
      </c>
      <c r="AC1504" s="76"/>
      <c r="AD1504" s="76"/>
      <c r="AE1504" s="76"/>
      <c r="AF1504" s="76">
        <v>1</v>
      </c>
      <c r="AG1504" s="76">
        <v>1</v>
      </c>
      <c r="AH1504" s="73"/>
      <c r="AI1504" s="57"/>
      <c r="AJ1504" s="45"/>
      <c r="AK1504" s="45"/>
      <c r="AL1504" s="45"/>
    </row>
    <row r="1505" spans="1:38" hidden="1" outlineLevel="2" x14ac:dyDescent="0.35">
      <c r="A1505" s="45"/>
      <c r="B1505" s="54"/>
      <c r="C1505" s="47">
        <f t="shared" si="208"/>
        <v>4</v>
      </c>
      <c r="D1505" s="73"/>
      <c r="E1505" s="70"/>
      <c r="F1505" s="70" t="str">
        <f>SUBSTITUTE(F1501,",4)",",8)")</f>
        <v>C(U2,25,8)</v>
      </c>
      <c r="G1505" s="73"/>
      <c r="H1505" s="391" t="s">
        <v>2773</v>
      </c>
      <c r="I1505" s="96"/>
      <c r="J1505" s="76"/>
      <c r="K1505" s="76"/>
      <c r="L1505" s="76"/>
      <c r="M1505" s="76"/>
      <c r="N1505" s="76"/>
      <c r="O1505" s="76"/>
      <c r="P1505" s="76"/>
      <c r="Q1505" s="76"/>
      <c r="R1505" s="76"/>
      <c r="S1505" s="76"/>
      <c r="T1505" s="76"/>
      <c r="U1505" s="97">
        <v>0.05</v>
      </c>
      <c r="V1505" s="262">
        <f t="shared" ref="V1505:W1509" si="209">U1505</f>
        <v>0.05</v>
      </c>
      <c r="W1505" s="262">
        <f t="shared" si="209"/>
        <v>0.05</v>
      </c>
      <c r="X1505" s="262">
        <f>Y1505</f>
        <v>0</v>
      </c>
      <c r="Y1505" s="97">
        <v>0</v>
      </c>
      <c r="Z1505" s="262">
        <f t="shared" ref="Z1505:AB1509" si="210">Y1505</f>
        <v>0</v>
      </c>
      <c r="AA1505" s="262">
        <f t="shared" si="210"/>
        <v>0</v>
      </c>
      <c r="AB1505" s="262">
        <f t="shared" si="210"/>
        <v>0</v>
      </c>
      <c r="AC1505" s="76"/>
      <c r="AD1505" s="76"/>
      <c r="AE1505" s="76"/>
      <c r="AF1505" s="76">
        <v>1</v>
      </c>
      <c r="AG1505" s="76">
        <v>1</v>
      </c>
      <c r="AH1505" s="73"/>
      <c r="AI1505" s="57"/>
      <c r="AJ1505" s="45"/>
      <c r="AK1505" s="45"/>
      <c r="AL1505" s="45"/>
    </row>
    <row r="1506" spans="1:38" hidden="1" outlineLevel="2" x14ac:dyDescent="0.35">
      <c r="A1506" s="45"/>
      <c r="B1506" s="54"/>
      <c r="C1506" s="47">
        <f t="shared" si="208"/>
        <v>4</v>
      </c>
      <c r="D1506" s="73"/>
      <c r="E1506" s="70"/>
      <c r="F1506" s="70" t="str">
        <f>SUBSTITUTE(F1502,",5)",",9)")</f>
        <v>C(U2,25,9)</v>
      </c>
      <c r="G1506" s="73"/>
      <c r="H1506" s="391" t="s">
        <v>2830</v>
      </c>
      <c r="I1506" s="96"/>
      <c r="J1506" s="76"/>
      <c r="K1506" s="76"/>
      <c r="L1506" s="76"/>
      <c r="M1506" s="76"/>
      <c r="N1506" s="76"/>
      <c r="O1506" s="76"/>
      <c r="P1506" s="76"/>
      <c r="Q1506" s="76"/>
      <c r="R1506" s="76"/>
      <c r="S1506" s="76"/>
      <c r="T1506" s="76"/>
      <c r="U1506" s="97">
        <v>-9.3500000000000007E-3</v>
      </c>
      <c r="V1506" s="262">
        <f t="shared" si="209"/>
        <v>-9.3500000000000007E-3</v>
      </c>
      <c r="W1506" s="262">
        <f t="shared" si="209"/>
        <v>-9.3500000000000007E-3</v>
      </c>
      <c r="X1506" s="262">
        <f>Y1506</f>
        <v>-9.3500000000000007E-3</v>
      </c>
      <c r="Y1506" s="97">
        <v>-9.3500000000000007E-3</v>
      </c>
      <c r="Z1506" s="262">
        <f t="shared" si="210"/>
        <v>-9.3500000000000007E-3</v>
      </c>
      <c r="AA1506" s="262">
        <f t="shared" si="210"/>
        <v>-9.3500000000000007E-3</v>
      </c>
      <c r="AB1506" s="262">
        <f t="shared" si="210"/>
        <v>-9.3500000000000007E-3</v>
      </c>
      <c r="AC1506" s="76"/>
      <c r="AD1506" s="76"/>
      <c r="AE1506" s="76"/>
      <c r="AF1506" s="76">
        <v>1</v>
      </c>
      <c r="AG1506" s="76">
        <v>1</v>
      </c>
      <c r="AH1506" s="73"/>
      <c r="AI1506" s="57"/>
      <c r="AJ1506" s="45"/>
      <c r="AK1506" s="45"/>
      <c r="AL1506" s="45"/>
    </row>
    <row r="1507" spans="1:38" hidden="1" outlineLevel="2" x14ac:dyDescent="0.35">
      <c r="A1507" s="45"/>
      <c r="B1507" s="54"/>
      <c r="C1507" s="47">
        <f t="shared" si="208"/>
        <v>4</v>
      </c>
      <c r="D1507" s="73"/>
      <c r="E1507" s="70"/>
      <c r="F1507" s="70" t="str">
        <f>SUBSTITUTE(F1503,",6)",",10)")</f>
        <v>C(U2,25,10)</v>
      </c>
      <c r="G1507" s="73"/>
      <c r="H1507" s="391" t="s">
        <v>2829</v>
      </c>
      <c r="I1507" s="96"/>
      <c r="J1507" s="76"/>
      <c r="K1507" s="76"/>
      <c r="L1507" s="76"/>
      <c r="M1507" s="76"/>
      <c r="N1507" s="76"/>
      <c r="O1507" s="76"/>
      <c r="P1507" s="76"/>
      <c r="Q1507" s="76"/>
      <c r="R1507" s="76"/>
      <c r="S1507" s="76"/>
      <c r="T1507" s="76"/>
      <c r="U1507" s="97">
        <v>-7.0369200000000003E-3</v>
      </c>
      <c r="V1507" s="262">
        <f t="shared" si="209"/>
        <v>-7.0369200000000003E-3</v>
      </c>
      <c r="W1507" s="262">
        <f t="shared" si="209"/>
        <v>-7.0369200000000003E-3</v>
      </c>
      <c r="X1507" s="262">
        <f>Y1507</f>
        <v>-7.0369200000000003E-3</v>
      </c>
      <c r="Y1507" s="97">
        <v>-7.0369200000000003E-3</v>
      </c>
      <c r="Z1507" s="262">
        <f t="shared" si="210"/>
        <v>-7.0369200000000003E-3</v>
      </c>
      <c r="AA1507" s="262">
        <f t="shared" si="210"/>
        <v>-7.0369200000000003E-3</v>
      </c>
      <c r="AB1507" s="262">
        <f t="shared" si="210"/>
        <v>-7.0369200000000003E-3</v>
      </c>
      <c r="AC1507" s="76"/>
      <c r="AD1507" s="76"/>
      <c r="AE1507" s="76"/>
      <c r="AF1507" s="76">
        <v>1</v>
      </c>
      <c r="AG1507" s="76">
        <v>1</v>
      </c>
      <c r="AH1507" s="73"/>
      <c r="AI1507" s="57"/>
      <c r="AJ1507" s="45"/>
      <c r="AK1507" s="45"/>
      <c r="AL1507" s="45"/>
    </row>
    <row r="1508" spans="1:38" hidden="1" outlineLevel="2" x14ac:dyDescent="0.35">
      <c r="A1508" s="45"/>
      <c r="B1508" s="54"/>
      <c r="C1508" s="47">
        <f t="shared" si="208"/>
        <v>4</v>
      </c>
      <c r="D1508" s="73"/>
      <c r="E1508" s="70"/>
      <c r="F1508" s="70" t="str">
        <f>SUBSTITUTE(F1504,",7)",",11)")</f>
        <v>C(U2,25,11)</v>
      </c>
      <c r="G1508" s="73"/>
      <c r="H1508" s="391" t="s">
        <v>2779</v>
      </c>
      <c r="I1508" s="96"/>
      <c r="J1508" s="76"/>
      <c r="K1508" s="76"/>
      <c r="L1508" s="76"/>
      <c r="M1508" s="76"/>
      <c r="N1508" s="76"/>
      <c r="O1508" s="76"/>
      <c r="P1508" s="76"/>
      <c r="Q1508" s="76"/>
      <c r="R1508" s="76"/>
      <c r="S1508" s="76"/>
      <c r="T1508" s="76"/>
      <c r="U1508" s="97">
        <v>7.4569999999999999E-5</v>
      </c>
      <c r="V1508" s="262">
        <f t="shared" si="209"/>
        <v>7.4569999999999999E-5</v>
      </c>
      <c r="W1508" s="262">
        <f t="shared" si="209"/>
        <v>7.4569999999999999E-5</v>
      </c>
      <c r="X1508" s="262">
        <f>Y1508</f>
        <v>7.4569999999999999E-5</v>
      </c>
      <c r="Y1508" s="97">
        <v>7.4569999999999999E-5</v>
      </c>
      <c r="Z1508" s="262">
        <f t="shared" si="210"/>
        <v>7.4569999999999999E-5</v>
      </c>
      <c r="AA1508" s="262">
        <f t="shared" si="210"/>
        <v>7.4569999999999999E-5</v>
      </c>
      <c r="AB1508" s="262">
        <f t="shared" si="210"/>
        <v>7.4569999999999999E-5</v>
      </c>
      <c r="AC1508" s="76"/>
      <c r="AD1508" s="76"/>
      <c r="AE1508" s="76"/>
      <c r="AF1508" s="76">
        <v>1</v>
      </c>
      <c r="AG1508" s="76">
        <v>1</v>
      </c>
      <c r="AH1508" s="73"/>
      <c r="AI1508" s="57"/>
      <c r="AJ1508" s="45"/>
      <c r="AK1508" s="45"/>
      <c r="AL1508" s="45"/>
    </row>
    <row r="1509" spans="1:38" hidden="1" outlineLevel="2" x14ac:dyDescent="0.35">
      <c r="A1509" s="45"/>
      <c r="B1509" s="54"/>
      <c r="C1509" s="47">
        <f>INT($C$29)+2</f>
        <v>3</v>
      </c>
      <c r="D1509" s="73"/>
      <c r="E1509" s="70"/>
      <c r="F1509" s="70" t="s">
        <v>2502</v>
      </c>
      <c r="G1509" s="73"/>
      <c r="H1509" s="76" t="s">
        <v>2522</v>
      </c>
      <c r="I1509" s="76"/>
      <c r="J1509" s="76"/>
      <c r="K1509" s="76"/>
      <c r="L1509" s="76"/>
      <c r="M1509" s="76"/>
      <c r="N1509" s="76"/>
      <c r="O1509" s="76"/>
      <c r="P1509" s="76"/>
      <c r="Q1509" s="76"/>
      <c r="R1509" s="76"/>
      <c r="S1509" s="76"/>
      <c r="T1509" s="76"/>
      <c r="U1509" s="97">
        <v>-1.8110552</v>
      </c>
      <c r="V1509" s="262">
        <f t="shared" si="209"/>
        <v>-1.8110552</v>
      </c>
      <c r="W1509" s="262">
        <f t="shared" si="209"/>
        <v>-1.8110552</v>
      </c>
      <c r="X1509" s="262">
        <f>Y1509</f>
        <v>-0.49941732500000002</v>
      </c>
      <c r="Y1509" s="97">
        <v>-0.49941732500000002</v>
      </c>
      <c r="Z1509" s="262">
        <f t="shared" si="210"/>
        <v>-0.49941732500000002</v>
      </c>
      <c r="AA1509" s="262">
        <f t="shared" si="210"/>
        <v>-0.49941732500000002</v>
      </c>
      <c r="AB1509" s="262">
        <f t="shared" si="210"/>
        <v>-0.49941732500000002</v>
      </c>
      <c r="AC1509" s="76"/>
      <c r="AD1509" s="97" t="s">
        <v>2775</v>
      </c>
      <c r="AE1509" s="76"/>
      <c r="AF1509" s="97">
        <v>1</v>
      </c>
      <c r="AG1509" s="97">
        <v>1</v>
      </c>
      <c r="AH1509" s="73"/>
      <c r="AI1509" s="57"/>
      <c r="AJ1509" s="45"/>
      <c r="AK1509" s="45"/>
      <c r="AL1509" s="45"/>
    </row>
    <row r="1510" spans="1:38" hidden="1" outlineLevel="2" x14ac:dyDescent="0.3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hidden="1" outlineLevel="2" collapsed="1"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t="5.15" hidden="1" customHeight="1" outlineLevel="3" x14ac:dyDescent="0.35">
      <c r="A1512" s="45"/>
      <c r="B1512" s="54"/>
      <c r="C1512" s="47">
        <f>INT($C$29)+3.005</f>
        <v>4.0049999999999999</v>
      </c>
      <c r="D1512" s="73"/>
      <c r="E1512" s="73"/>
      <c r="F1512" s="73"/>
      <c r="G1512" s="73"/>
      <c r="H1512" s="73"/>
      <c r="I1512" s="73"/>
      <c r="J1512" s="73"/>
      <c r="K1512" s="73"/>
      <c r="L1512" s="73"/>
      <c r="M1512" s="73"/>
      <c r="N1512" s="73"/>
      <c r="O1512" s="73"/>
      <c r="P1512" s="73"/>
      <c r="Q1512" s="73"/>
      <c r="R1512" s="73"/>
      <c r="S1512" s="73"/>
      <c r="T1512" s="73"/>
      <c r="U1512" s="73"/>
      <c r="V1512" s="73"/>
      <c r="W1512" s="73"/>
      <c r="X1512" s="73"/>
      <c r="Y1512" s="73"/>
      <c r="Z1512" s="73"/>
      <c r="AA1512" s="73"/>
      <c r="AB1512" s="73"/>
      <c r="AC1512" s="73"/>
      <c r="AD1512" s="73"/>
      <c r="AE1512" s="73"/>
      <c r="AF1512" s="73"/>
      <c r="AG1512" s="73"/>
      <c r="AH1512" s="73" t="s">
        <v>144</v>
      </c>
      <c r="AI1512" s="57"/>
      <c r="AJ1512" s="45"/>
      <c r="AK1512" s="45"/>
      <c r="AL1512" s="45"/>
    </row>
    <row r="1513" spans="1:38" ht="5.15" hidden="1" customHeight="1" outlineLevel="2" x14ac:dyDescent="0.35">
      <c r="A1513" s="45"/>
      <c r="B1513" s="54"/>
      <c r="C1513" s="47">
        <f>INT($C$29)+2.005</f>
        <v>3.0049999999999999</v>
      </c>
      <c r="D1513" s="73" t="s">
        <v>140</v>
      </c>
      <c r="E1513" s="73"/>
      <c r="F1513" s="73"/>
      <c r="G1513" s="73"/>
      <c r="H1513" s="73"/>
      <c r="I1513" s="73"/>
      <c r="J1513" s="73"/>
      <c r="K1513" s="73"/>
      <c r="L1513" s="73"/>
      <c r="M1513" s="73"/>
      <c r="N1513" s="73"/>
      <c r="O1513" s="73"/>
      <c r="P1513" s="73"/>
      <c r="Q1513" s="73"/>
      <c r="R1513" s="73"/>
      <c r="S1513" s="73"/>
      <c r="T1513" s="73"/>
      <c r="U1513" s="73"/>
      <c r="V1513" s="73"/>
      <c r="W1513" s="73"/>
      <c r="X1513" s="73"/>
      <c r="Y1513" s="73"/>
      <c r="Z1513" s="73"/>
      <c r="AA1513" s="73"/>
      <c r="AB1513" s="73"/>
      <c r="AC1513" s="73"/>
      <c r="AD1513" s="73"/>
      <c r="AE1513" s="73"/>
      <c r="AF1513" s="73"/>
      <c r="AG1513" s="73"/>
      <c r="AH1513" s="73"/>
      <c r="AI1513" s="57"/>
      <c r="AJ1513" s="45"/>
      <c r="AK1513" s="45"/>
      <c r="AL1513" s="45"/>
    </row>
    <row r="1514" spans="1:38" hidden="1" outlineLevel="2" x14ac:dyDescent="0.35">
      <c r="A1514" s="45"/>
      <c r="B1514" s="54"/>
      <c r="C1514" s="47">
        <f>INT($C$29)+2</f>
        <v>3</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idden="1" outlineLevel="2" collapsed="1" x14ac:dyDescent="0.35">
      <c r="A1515" s="45"/>
      <c r="B1515" s="54"/>
      <c r="C1515" s="47">
        <f>INT($C$29)+2</f>
        <v>3</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hidden="1" outlineLevel="3" x14ac:dyDescent="0.35">
      <c r="A1516" s="45"/>
      <c r="B1516" s="54"/>
      <c r="C1516" s="47">
        <f>INT($C$29)+3</f>
        <v>4</v>
      </c>
      <c r="D1516" s="73"/>
      <c r="E1516" s="70"/>
      <c r="F1516" s="70"/>
      <c r="G1516" s="73"/>
      <c r="H1516" s="76"/>
      <c r="I1516" s="76"/>
      <c r="J1516" s="76"/>
      <c r="K1516" s="76"/>
      <c r="L1516" s="76"/>
      <c r="M1516" s="76"/>
      <c r="N1516" s="76"/>
      <c r="O1516" s="76"/>
      <c r="P1516" s="76"/>
      <c r="Q1516" s="76"/>
      <c r="R1516" s="76"/>
      <c r="S1516" s="76"/>
      <c r="T1516" s="76"/>
      <c r="U1516" s="76"/>
      <c r="V1516" s="76"/>
      <c r="W1516" s="76"/>
      <c r="X1516" s="76"/>
      <c r="Y1516" s="76"/>
      <c r="Z1516" s="76"/>
      <c r="AA1516" s="76"/>
      <c r="AB1516" s="76"/>
      <c r="AC1516" s="76"/>
      <c r="AD1516" s="76"/>
      <c r="AE1516" s="76"/>
      <c r="AF1516" s="76"/>
      <c r="AG1516" s="76"/>
      <c r="AH1516" s="73"/>
      <c r="AI1516" s="57"/>
      <c r="AJ1516" s="45"/>
      <c r="AK1516" s="45"/>
      <c r="AL1516" s="45"/>
    </row>
    <row r="1517" spans="1:38" hidden="1" outlineLevel="3" x14ac:dyDescent="0.35">
      <c r="A1517" s="45"/>
      <c r="B1517" s="54"/>
      <c r="C1517" s="47">
        <f>INT($C$29)+3</f>
        <v>4</v>
      </c>
      <c r="D1517" s="73"/>
      <c r="E1517" s="70"/>
      <c r="F1517" s="70"/>
      <c r="G1517" s="73"/>
      <c r="H1517" s="76"/>
      <c r="I1517" s="76"/>
      <c r="J1517" s="76"/>
      <c r="K1517" s="76"/>
      <c r="L1517" s="76"/>
      <c r="M1517" s="76"/>
      <c r="N1517" s="76"/>
      <c r="O1517" s="76"/>
      <c r="P1517" s="76"/>
      <c r="Q1517" s="76"/>
      <c r="R1517" s="76"/>
      <c r="S1517" s="76"/>
      <c r="T1517" s="76"/>
      <c r="U1517" s="76"/>
      <c r="V1517" s="76"/>
      <c r="W1517" s="76"/>
      <c r="X1517" s="76"/>
      <c r="Y1517" s="76"/>
      <c r="Z1517" s="76"/>
      <c r="AA1517" s="76"/>
      <c r="AB1517" s="76"/>
      <c r="AC1517" s="76"/>
      <c r="AD1517" s="76"/>
      <c r="AE1517" s="76"/>
      <c r="AF1517" s="76"/>
      <c r="AG1517" s="76"/>
      <c r="AH1517" s="73"/>
      <c r="AI1517" s="57"/>
      <c r="AJ1517" s="45"/>
      <c r="AK1517" s="45"/>
      <c r="AL1517" s="45"/>
    </row>
    <row r="1518" spans="1:38" hidden="1" outlineLevel="3" x14ac:dyDescent="0.35">
      <c r="A1518" s="45"/>
      <c r="B1518" s="54"/>
      <c r="C1518" s="47">
        <f>INT($C$29)+3</f>
        <v>4</v>
      </c>
      <c r="D1518" s="73"/>
      <c r="E1518" s="70"/>
      <c r="F1518" s="70"/>
      <c r="G1518" s="73"/>
      <c r="H1518" s="76"/>
      <c r="I1518" s="76"/>
      <c r="J1518" s="76"/>
      <c r="K1518" s="76"/>
      <c r="L1518" s="76"/>
      <c r="M1518" s="76"/>
      <c r="N1518" s="76"/>
      <c r="O1518" s="76"/>
      <c r="P1518" s="76"/>
      <c r="Q1518" s="76"/>
      <c r="R1518" s="76"/>
      <c r="S1518" s="76"/>
      <c r="T1518" s="76"/>
      <c r="U1518" s="76"/>
      <c r="V1518" s="76"/>
      <c r="W1518" s="76"/>
      <c r="X1518" s="76"/>
      <c r="Y1518" s="76"/>
      <c r="Z1518" s="76"/>
      <c r="AA1518" s="76"/>
      <c r="AB1518" s="76"/>
      <c r="AC1518" s="76"/>
      <c r="AD1518" s="76"/>
      <c r="AE1518" s="76"/>
      <c r="AF1518" s="76"/>
      <c r="AG1518" s="76"/>
      <c r="AH1518" s="73"/>
      <c r="AI1518" s="57"/>
      <c r="AJ1518" s="45"/>
      <c r="AK1518" s="45"/>
      <c r="AL1518" s="45"/>
    </row>
    <row r="1519" spans="1:38" ht="5.15" hidden="1" customHeight="1" outlineLevel="3" x14ac:dyDescent="0.35">
      <c r="A1519" s="45"/>
      <c r="B1519" s="54"/>
      <c r="C1519" s="47">
        <f>INT($C$29)+3.005</f>
        <v>4.0049999999999999</v>
      </c>
      <c r="D1519" s="73"/>
      <c r="E1519" s="73"/>
      <c r="F1519" s="73"/>
      <c r="G1519" s="73"/>
      <c r="H1519" s="73"/>
      <c r="I1519" s="73"/>
      <c r="J1519" s="73"/>
      <c r="K1519" s="73"/>
      <c r="L1519" s="73"/>
      <c r="M1519" s="73"/>
      <c r="N1519" s="73"/>
      <c r="O1519" s="73"/>
      <c r="P1519" s="73"/>
      <c r="Q1519" s="73"/>
      <c r="R1519" s="73"/>
      <c r="S1519" s="73"/>
      <c r="T1519" s="73"/>
      <c r="U1519" s="73"/>
      <c r="V1519" s="73"/>
      <c r="W1519" s="73"/>
      <c r="X1519" s="73"/>
      <c r="Y1519" s="73"/>
      <c r="Z1519" s="73"/>
      <c r="AA1519" s="73"/>
      <c r="AB1519" s="73"/>
      <c r="AC1519" s="76"/>
      <c r="AD1519" s="73"/>
      <c r="AE1519" s="73"/>
      <c r="AF1519" s="73"/>
      <c r="AG1519" s="73"/>
      <c r="AH1519" s="73" t="s">
        <v>144</v>
      </c>
      <c r="AI1519" s="57"/>
      <c r="AJ1519" s="45"/>
      <c r="AK1519" s="45"/>
      <c r="AL1519" s="45"/>
    </row>
    <row r="1520" spans="1:38" ht="5.15" hidden="1" customHeight="1" outlineLevel="2" x14ac:dyDescent="0.35">
      <c r="A1520" s="45"/>
      <c r="B1520" s="54"/>
      <c r="C1520" s="47">
        <f>INT($C$29)+2.005</f>
        <v>3.0049999999999999</v>
      </c>
      <c r="D1520" s="73"/>
      <c r="E1520" s="73"/>
      <c r="F1520" s="73"/>
      <c r="G1520" s="73"/>
      <c r="H1520" s="73"/>
      <c r="I1520" s="73"/>
      <c r="J1520" s="73"/>
      <c r="K1520" s="73"/>
      <c r="L1520" s="73"/>
      <c r="M1520" s="73"/>
      <c r="N1520" s="73"/>
      <c r="O1520" s="73"/>
      <c r="P1520" s="73"/>
      <c r="Q1520" s="73"/>
      <c r="R1520" s="73"/>
      <c r="S1520" s="73"/>
      <c r="T1520" s="73"/>
      <c r="U1520" s="73"/>
      <c r="V1520" s="73"/>
      <c r="W1520" s="73"/>
      <c r="X1520" s="73"/>
      <c r="Y1520" s="73"/>
      <c r="Z1520" s="73"/>
      <c r="AA1520" s="73"/>
      <c r="AB1520" s="73"/>
      <c r="AC1520" s="76"/>
      <c r="AD1520" s="73"/>
      <c r="AE1520" s="73"/>
      <c r="AF1520" s="73"/>
      <c r="AG1520" s="73"/>
      <c r="AH1520" s="73"/>
      <c r="AI1520" s="57"/>
      <c r="AJ1520" s="45"/>
      <c r="AK1520" s="45"/>
      <c r="AL1520" s="45"/>
    </row>
    <row r="1521" spans="1:38" ht="5.15" customHeight="1" outlineLevel="1" x14ac:dyDescent="0.35">
      <c r="A1521" s="45"/>
      <c r="B1521" s="81"/>
      <c r="C1521" s="82">
        <f>INT($C$29)+1.005</f>
        <v>2.0049999999999999</v>
      </c>
      <c r="D1521" s="83"/>
      <c r="E1521" s="83"/>
      <c r="F1521" s="83"/>
      <c r="G1521" s="83"/>
      <c r="H1521" s="83"/>
      <c r="I1521" s="83"/>
      <c r="J1521" s="83"/>
      <c r="K1521" s="83"/>
      <c r="L1521" s="83"/>
      <c r="M1521" s="83"/>
      <c r="N1521" s="83"/>
      <c r="O1521" s="83"/>
      <c r="P1521" s="83"/>
      <c r="Q1521" s="83"/>
      <c r="R1521" s="83"/>
      <c r="S1521" s="83"/>
      <c r="T1521" s="83"/>
      <c r="U1521" s="83"/>
      <c r="V1521" s="83"/>
      <c r="W1521" s="83"/>
      <c r="X1521" s="83"/>
      <c r="Y1521" s="83"/>
      <c r="Z1521" s="83"/>
      <c r="AA1521" s="83"/>
      <c r="AB1521" s="83"/>
      <c r="AC1521" s="83"/>
      <c r="AD1521" s="83"/>
      <c r="AE1521" s="83"/>
      <c r="AF1521" s="83"/>
      <c r="AG1521" s="83"/>
      <c r="AH1521" s="83"/>
      <c r="AI1521" s="84" t="s">
        <v>153</v>
      </c>
      <c r="AJ1521" s="45"/>
      <c r="AK1521" s="45"/>
      <c r="AL1521" s="45"/>
    </row>
    <row r="1522" spans="1:38" ht="5.15" customHeight="1" collapsed="1" x14ac:dyDescent="0.35">
      <c r="A1522" s="45"/>
      <c r="B1522" s="85"/>
      <c r="C1522" s="86">
        <f>INT($C$29)+0.005</f>
        <v>1.0049999999999999</v>
      </c>
      <c r="D1522" s="85"/>
      <c r="E1522" s="85"/>
      <c r="F1522" s="85"/>
      <c r="G1522" s="85"/>
      <c r="H1522" s="85"/>
      <c r="I1522" s="85"/>
      <c r="J1522" s="85"/>
      <c r="K1522" s="85"/>
      <c r="L1522" s="85"/>
      <c r="M1522" s="85"/>
      <c r="N1522" s="85"/>
      <c r="O1522" s="85"/>
      <c r="P1522" s="85"/>
      <c r="Q1522" s="85"/>
      <c r="R1522" s="85"/>
      <c r="S1522" s="85"/>
      <c r="T1522" s="85"/>
      <c r="U1522" s="85"/>
      <c r="V1522" s="85"/>
      <c r="W1522" s="85"/>
      <c r="X1522" s="85"/>
      <c r="Y1522" s="85"/>
      <c r="Z1522" s="85"/>
      <c r="AA1522" s="85"/>
      <c r="AB1522" s="85"/>
      <c r="AC1522" s="85"/>
      <c r="AD1522" s="85"/>
      <c r="AE1522" s="85"/>
      <c r="AF1522" s="85"/>
      <c r="AG1522" s="85"/>
      <c r="AH1522" s="85"/>
      <c r="AI1522" s="85"/>
      <c r="AJ1522" s="45"/>
      <c r="AK1522" s="45"/>
      <c r="AL1522" s="45"/>
    </row>
    <row r="1523" spans="1:38" hidden="1" outlineLevel="2" x14ac:dyDescent="0.35">
      <c r="A1523" s="45"/>
      <c r="B1523" s="45"/>
      <c r="C1523" s="47">
        <f>INT($C$29)+2</f>
        <v>3</v>
      </c>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3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35">
      <c r="A1527" s="45"/>
      <c r="B1527" s="45"/>
      <c r="C1527" s="46"/>
      <c r="D1527" s="45"/>
      <c r="E1527" s="45"/>
      <c r="F1527" s="45"/>
      <c r="G1527" s="45"/>
      <c r="H1527" s="45"/>
      <c r="I1527" s="45"/>
      <c r="J1527" s="45"/>
      <c r="K1527" s="45"/>
      <c r="L1527" s="45"/>
      <c r="M1527" s="45"/>
      <c r="N1527" s="45"/>
      <c r="O1527" s="45"/>
      <c r="P1527" s="45"/>
      <c r="Q1527" s="45"/>
      <c r="R1527" s="45"/>
      <c r="S1527" s="45"/>
      <c r="T1527" s="45"/>
      <c r="U1527" s="45"/>
      <c r="V1527" s="45"/>
      <c r="W1527" s="45"/>
      <c r="X1527" s="45"/>
      <c r="Y1527" s="45"/>
      <c r="Z1527" s="45"/>
      <c r="AA1527" s="45"/>
      <c r="AB1527" s="45"/>
      <c r="AC1527" s="45"/>
      <c r="AD1527" s="45"/>
      <c r="AE1527" s="45"/>
      <c r="AF1527" s="45"/>
      <c r="AG1527" s="45"/>
      <c r="AH1527" s="45"/>
      <c r="AI1527" s="45"/>
      <c r="AJ1527" s="45"/>
      <c r="AK1527" s="45"/>
      <c r="AL1527" s="45"/>
    </row>
    <row r="1528" spans="1:38" x14ac:dyDescent="0.35">
      <c r="A1528" s="45"/>
      <c r="B1528" s="45"/>
      <c r="C1528" s="46"/>
      <c r="D1528" s="45"/>
      <c r="E1528" s="45"/>
      <c r="F1528" s="45"/>
      <c r="G1528" s="45"/>
      <c r="H1528" s="45"/>
      <c r="I1528" s="45"/>
      <c r="J1528" s="45"/>
      <c r="K1528" s="45"/>
      <c r="L1528" s="45"/>
      <c r="M1528" s="45"/>
      <c r="N1528" s="45"/>
      <c r="O1528" s="45"/>
      <c r="P1528" s="45"/>
      <c r="Q1528" s="45"/>
      <c r="R1528" s="45"/>
      <c r="S1528" s="45"/>
      <c r="T1528" s="45"/>
      <c r="U1528" s="45"/>
      <c r="V1528" s="45"/>
      <c r="W1528" s="45"/>
      <c r="X1528" s="45"/>
      <c r="Y1528" s="45"/>
      <c r="Z1528" s="45"/>
      <c r="AA1528" s="45"/>
      <c r="AB1528" s="45"/>
      <c r="AC1528" s="45"/>
      <c r="AD1528" s="45"/>
      <c r="AE1528" s="45"/>
      <c r="AF1528" s="45"/>
      <c r="AG1528" s="45"/>
      <c r="AH1528" s="45"/>
      <c r="AI1528" s="45"/>
      <c r="AJ1528" s="45"/>
      <c r="AK1528" s="45"/>
      <c r="AL1528" s="45"/>
    </row>
    <row r="1529" spans="1:38" x14ac:dyDescent="0.35">
      <c r="A1529" s="45"/>
      <c r="B1529" s="45"/>
      <c r="C1529" s="46"/>
      <c r="D1529" s="45"/>
      <c r="E1529" s="45"/>
      <c r="F1529" s="45"/>
      <c r="G1529" s="45"/>
      <c r="H1529" s="45"/>
      <c r="I1529" s="45"/>
      <c r="J1529" s="45"/>
      <c r="K1529" s="45"/>
      <c r="L1529" s="45"/>
      <c r="M1529" s="45"/>
      <c r="N1529" s="45"/>
      <c r="O1529" s="45"/>
      <c r="P1529" s="45"/>
      <c r="Q1529" s="45"/>
      <c r="R1529" s="45"/>
      <c r="S1529" s="45"/>
      <c r="T1529" s="45"/>
      <c r="U1529" s="45"/>
      <c r="V1529" s="45"/>
      <c r="W1529" s="45"/>
      <c r="X1529" s="45"/>
      <c r="Y1529" s="45"/>
      <c r="Z1529" s="45"/>
      <c r="AA1529" s="45"/>
      <c r="AB1529" s="45"/>
      <c r="AC1529" s="45"/>
      <c r="AD1529" s="45"/>
      <c r="AE1529" s="45"/>
      <c r="AF1529" s="45"/>
      <c r="AG1529" s="45"/>
      <c r="AH1529" s="45"/>
      <c r="AI1529" s="45"/>
      <c r="AJ1529" s="45"/>
      <c r="AK1529" s="45"/>
      <c r="AL1529" s="45"/>
    </row>
    <row r="1530" spans="1:38" x14ac:dyDescent="0.35">
      <c r="C1530" s="240" t="s">
        <v>431</v>
      </c>
    </row>
  </sheetData>
  <autoFilter ref="E36:AH1523"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71" min="4" max="9" man="1"/>
    <brk id="339"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H15" sqref="H15"/>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142</v>
      </c>
      <c r="I11" s="310">
        <v>44653.716487384299</v>
      </c>
      <c r="J11" s="617" t="s">
        <v>2393</v>
      </c>
      <c r="K11" s="613"/>
      <c r="L11" s="613"/>
      <c r="M11" s="613"/>
      <c r="N11" s="613"/>
      <c r="O11" s="613"/>
      <c r="P11" s="613"/>
      <c r="Q11" s="613"/>
      <c r="R11" s="613"/>
      <c r="S11" s="613"/>
      <c r="T11" s="613"/>
      <c r="U11" s="613"/>
      <c r="V11" s="613"/>
      <c r="W11" s="613"/>
      <c r="X11" s="613"/>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143</v>
      </c>
      <c r="I12" s="314">
        <v>44664.379814814798</v>
      </c>
      <c r="J12" s="614" t="s">
        <v>2404</v>
      </c>
      <c r="K12" s="615"/>
      <c r="L12" s="615"/>
      <c r="M12" s="615"/>
      <c r="N12" s="615"/>
      <c r="O12" s="615"/>
      <c r="P12" s="615"/>
      <c r="Q12" s="615"/>
      <c r="R12" s="615"/>
      <c r="S12" s="615"/>
      <c r="T12" s="615"/>
      <c r="U12" s="615"/>
      <c r="V12" s="615"/>
      <c r="W12" s="615"/>
      <c r="X12" s="616"/>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2102</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445</v>
      </c>
      <c r="J35" s="72"/>
      <c r="K35" s="72" t="s">
        <v>2267</v>
      </c>
      <c r="L35" s="72"/>
      <c r="M35" s="72"/>
      <c r="N35" s="72"/>
      <c r="O35" s="72"/>
      <c r="P35" s="72"/>
      <c r="Q35" s="72"/>
      <c r="R35" s="72" t="s">
        <v>2103</v>
      </c>
      <c r="S35" s="246" t="s">
        <v>2395</v>
      </c>
      <c r="T35" s="246"/>
      <c r="U35" s="246"/>
      <c r="V35" s="246"/>
      <c r="W35" s="246"/>
      <c r="X35" s="246"/>
      <c r="Y35" s="246"/>
      <c r="Z35" s="55"/>
      <c r="AA35" s="57"/>
      <c r="AB35" s="45"/>
      <c r="AC35" s="45"/>
      <c r="AD35" s="45"/>
    </row>
    <row r="36" spans="1:30"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2104</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2105</v>
      </c>
      <c r="I41" s="76" t="s">
        <v>2106</v>
      </c>
      <c r="J41" s="76"/>
      <c r="K41" s="97">
        <f>30/1000</f>
        <v>0.03</v>
      </c>
      <c r="L41" s="76"/>
      <c r="M41" s="76"/>
      <c r="N41" s="76"/>
      <c r="O41" s="76"/>
      <c r="P41" s="76"/>
      <c r="Q41" s="76"/>
      <c r="R41" s="97" t="s">
        <v>2378</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2379</v>
      </c>
      <c r="I42" s="76" t="s">
        <v>2380</v>
      </c>
      <c r="J42" s="76"/>
      <c r="K42" s="97">
        <v>200</v>
      </c>
      <c r="L42" s="76"/>
      <c r="M42" s="76"/>
      <c r="N42" s="76"/>
      <c r="O42" s="76"/>
      <c r="P42" s="76"/>
      <c r="Q42" s="76"/>
      <c r="R42" s="97" t="s">
        <v>2403</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2107</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15" customHeight="1" outlineLevel="2" x14ac:dyDescent="0.3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1734</v>
      </c>
      <c r="G47" s="73"/>
      <c r="H47" s="315" t="s">
        <v>2108</v>
      </c>
      <c r="I47" s="110">
        <v>2</v>
      </c>
      <c r="J47" s="316" t="s">
        <v>1060</v>
      </c>
      <c r="K47" s="110">
        <v>3</v>
      </c>
      <c r="L47" s="110">
        <v>10</v>
      </c>
      <c r="M47" s="162"/>
      <c r="N47" s="162"/>
      <c r="O47" s="162"/>
      <c r="P47" s="162"/>
      <c r="Q47" s="162"/>
      <c r="R47" s="160" t="s">
        <v>2109</v>
      </c>
      <c r="S47" s="162"/>
      <c r="T47" s="162"/>
      <c r="U47" s="162"/>
      <c r="V47" s="162"/>
      <c r="W47" s="162"/>
      <c r="X47" s="162"/>
      <c r="Y47" s="162"/>
      <c r="Z47" s="73"/>
      <c r="AA47" s="57"/>
      <c r="AB47" s="45"/>
      <c r="AC47" s="45"/>
      <c r="AD47" s="45"/>
    </row>
    <row r="48" spans="1:30" outlineLevel="2" x14ac:dyDescent="0.35">
      <c r="A48" s="45"/>
      <c r="B48" s="54"/>
      <c r="C48" s="87">
        <f>INT($C$29)+2</f>
        <v>3</v>
      </c>
      <c r="D48" s="73"/>
      <c r="E48" s="70" t="s">
        <v>2110</v>
      </c>
      <c r="F48" s="70" t="s">
        <v>2111</v>
      </c>
      <c r="G48" s="73"/>
      <c r="H48" s="317" t="s">
        <v>2381</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2112</v>
      </c>
      <c r="G49" s="73"/>
      <c r="H49" s="76" t="s">
        <v>2263</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2113</v>
      </c>
      <c r="G50" s="73"/>
      <c r="H50" s="76" t="s">
        <v>2114</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2115</v>
      </c>
      <c r="G51" s="73"/>
      <c r="H51" s="76" t="s">
        <v>2264</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2116</v>
      </c>
      <c r="G52" s="73"/>
      <c r="H52" s="76" t="s">
        <v>2117</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2118</v>
      </c>
      <c r="G53" s="73"/>
      <c r="H53" s="76" t="s">
        <v>2265</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2116</v>
      </c>
      <c r="G54" s="73"/>
      <c r="H54" s="76" t="s">
        <v>2304</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2118</v>
      </c>
      <c r="G55" s="73"/>
      <c r="H55" s="76" t="s">
        <v>2266</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2116</v>
      </c>
      <c r="G56" s="73"/>
      <c r="H56" s="76" t="s">
        <v>2304</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2118</v>
      </c>
      <c r="G57" s="73"/>
      <c r="H57" s="225" t="s">
        <v>2266</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35">
      <c r="A58" s="45"/>
      <c r="B58" s="54"/>
      <c r="C58" s="87">
        <f t="shared" si="0"/>
        <v>4</v>
      </c>
      <c r="D58" s="73"/>
      <c r="E58" s="70"/>
      <c r="F58" s="70" t="s">
        <v>2119</v>
      </c>
      <c r="G58" s="73"/>
      <c r="H58" s="317" t="s">
        <v>2382</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2120</v>
      </c>
      <c r="G59" s="73"/>
      <c r="H59" s="76" t="s">
        <v>2263</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2121</v>
      </c>
      <c r="G60" s="73"/>
      <c r="H60" s="76" t="s">
        <v>2114</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2122</v>
      </c>
      <c r="G61" s="73"/>
      <c r="H61" s="76" t="s">
        <v>2264</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2123</v>
      </c>
      <c r="G62" s="73"/>
      <c r="H62" s="76" t="s">
        <v>2117</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2124</v>
      </c>
      <c r="G63" s="73"/>
      <c r="H63" s="76" t="s">
        <v>2265</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2116</v>
      </c>
      <c r="G64" s="73"/>
      <c r="H64" s="76" t="s">
        <v>2304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2118</v>
      </c>
      <c r="G65" s="73"/>
      <c r="H65" s="76" t="s">
        <v>2266</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2116</v>
      </c>
      <c r="G66" s="73"/>
      <c r="H66" s="76" t="s">
        <v>2304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2118</v>
      </c>
      <c r="G67" s="73"/>
      <c r="H67" s="225" t="s">
        <v>2266</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2125</v>
      </c>
      <c r="G68" s="73"/>
      <c r="H68" s="317" t="s">
        <v>2383</v>
      </c>
      <c r="I68" s="317"/>
      <c r="J68" s="317"/>
      <c r="K68" s="318">
        <v>0</v>
      </c>
      <c r="L68" s="318"/>
      <c r="M68" s="318"/>
      <c r="N68" s="318"/>
      <c r="O68" s="317"/>
      <c r="P68" s="317"/>
      <c r="Q68" s="317"/>
      <c r="R68" s="317"/>
      <c r="S68" s="317"/>
      <c r="T68" s="317">
        <f t="shared" ref="T68:T77" si="3">(K68)</f>
        <v>0</v>
      </c>
      <c r="U68" s="317"/>
      <c r="V68" s="317"/>
      <c r="W68" s="317"/>
      <c r="X68" s="317"/>
      <c r="Y68" s="317"/>
      <c r="Z68" s="73"/>
      <c r="AA68" s="57"/>
      <c r="AB68" s="45"/>
      <c r="AC68" s="45"/>
      <c r="AD68" s="45"/>
    </row>
    <row r="69" spans="1:30" outlineLevel="3" x14ac:dyDescent="0.35">
      <c r="A69" s="45"/>
      <c r="B69" s="54"/>
      <c r="C69" s="87">
        <f t="shared" si="0"/>
        <v>4</v>
      </c>
      <c r="D69" s="73"/>
      <c r="E69" s="70"/>
      <c r="F69" s="70" t="s">
        <v>2126</v>
      </c>
      <c r="G69" s="73"/>
      <c r="H69" s="76" t="s">
        <v>2263</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2127</v>
      </c>
      <c r="G70" s="73"/>
      <c r="H70" s="76" t="s">
        <v>2114</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2128</v>
      </c>
      <c r="G71" s="73"/>
      <c r="H71" s="76" t="s">
        <v>2264</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2129</v>
      </c>
      <c r="G72" s="73"/>
      <c r="H72" s="76" t="s">
        <v>2117</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35">
      <c r="A73" s="45"/>
      <c r="B73" s="54"/>
      <c r="C73" s="87">
        <f t="shared" si="0"/>
        <v>4</v>
      </c>
      <c r="D73" s="73"/>
      <c r="E73" s="70"/>
      <c r="F73" s="70" t="s">
        <v>2130</v>
      </c>
      <c r="G73" s="73"/>
      <c r="H73" s="76" t="s">
        <v>2265</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35">
      <c r="A74" s="45"/>
      <c r="B74" s="54"/>
      <c r="C74" s="87">
        <f t="shared" si="0"/>
        <v>4</v>
      </c>
      <c r="D74" s="73"/>
      <c r="E74" s="70"/>
      <c r="F74" s="70" t="s">
        <v>2129</v>
      </c>
      <c r="G74" s="73"/>
      <c r="H74" s="76" t="s">
        <v>2304</v>
      </c>
      <c r="I74" s="76"/>
      <c r="J74" s="76"/>
      <c r="K74" s="97">
        <v>-200</v>
      </c>
      <c r="L74" s="97"/>
      <c r="M74" s="97"/>
      <c r="N74" s="97"/>
      <c r="O74" s="76"/>
      <c r="P74" s="76"/>
      <c r="Q74" s="76"/>
      <c r="R74" s="97" t="s">
        <v>2305</v>
      </c>
      <c r="S74" s="76"/>
      <c r="T74" s="76">
        <f t="shared" si="3"/>
        <v>-200</v>
      </c>
      <c r="U74" s="76"/>
      <c r="V74" s="76"/>
      <c r="W74" s="76"/>
      <c r="X74" s="76"/>
      <c r="Y74" s="76"/>
      <c r="Z74" s="73"/>
      <c r="AA74" s="57"/>
      <c r="AB74" s="45"/>
      <c r="AC74" s="45"/>
      <c r="AD74" s="45"/>
    </row>
    <row r="75" spans="1:30" outlineLevel="3" x14ac:dyDescent="0.35">
      <c r="A75" s="45"/>
      <c r="B75" s="54"/>
      <c r="C75" s="87">
        <f t="shared" si="0"/>
        <v>4</v>
      </c>
      <c r="D75" s="73"/>
      <c r="E75" s="70"/>
      <c r="F75" s="70" t="s">
        <v>2130</v>
      </c>
      <c r="G75" s="73"/>
      <c r="H75" s="76" t="s">
        <v>2266</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35">
      <c r="A76" s="45"/>
      <c r="B76" s="54"/>
      <c r="C76" s="87">
        <f t="shared" si="0"/>
        <v>4</v>
      </c>
      <c r="D76" s="73"/>
      <c r="E76" s="70"/>
      <c r="F76" s="70" t="s">
        <v>2129</v>
      </c>
      <c r="G76" s="73"/>
      <c r="H76" s="76" t="s">
        <v>2307</v>
      </c>
      <c r="I76" s="76"/>
      <c r="J76" s="76"/>
      <c r="K76" s="97">
        <v>-100</v>
      </c>
      <c r="L76" s="97"/>
      <c r="M76" s="97"/>
      <c r="N76" s="97"/>
      <c r="O76" s="76"/>
      <c r="P76" s="76"/>
      <c r="Q76" s="76"/>
      <c r="R76" s="97" t="s">
        <v>2306</v>
      </c>
      <c r="S76" s="76"/>
      <c r="T76" s="76">
        <f t="shared" si="3"/>
        <v>-100</v>
      </c>
      <c r="U76" s="76"/>
      <c r="V76" s="76"/>
      <c r="W76" s="76"/>
      <c r="X76" s="76"/>
      <c r="Y76" s="76"/>
      <c r="Z76" s="73"/>
      <c r="AA76" s="57"/>
      <c r="AB76" s="45"/>
      <c r="AC76" s="45"/>
      <c r="AD76" s="45"/>
    </row>
    <row r="77" spans="1:30" outlineLevel="3" x14ac:dyDescent="0.35">
      <c r="A77" s="45"/>
      <c r="B77" s="54"/>
      <c r="C77" s="87">
        <f t="shared" si="0"/>
        <v>4</v>
      </c>
      <c r="D77" s="73"/>
      <c r="E77" s="70"/>
      <c r="F77" s="70" t="s">
        <v>2130</v>
      </c>
      <c r="G77" s="73"/>
      <c r="H77" s="225" t="s">
        <v>2266</v>
      </c>
      <c r="I77" s="225"/>
      <c r="J77" s="225"/>
      <c r="K77" s="319">
        <v>-100</v>
      </c>
      <c r="L77" s="319"/>
      <c r="M77" s="319"/>
      <c r="N77" s="319"/>
      <c r="O77" s="225"/>
      <c r="P77" s="225"/>
      <c r="Q77" s="225"/>
      <c r="R77" s="225"/>
      <c r="S77" s="225"/>
      <c r="T77" s="225">
        <f t="shared" si="3"/>
        <v>-100</v>
      </c>
      <c r="U77" s="225"/>
      <c r="V77" s="225"/>
      <c r="W77" s="225"/>
      <c r="X77" s="225"/>
      <c r="Y77" s="225"/>
      <c r="Z77" s="73"/>
      <c r="AA77" s="57"/>
      <c r="AB77" s="45"/>
      <c r="AC77" s="45"/>
      <c r="AD77" s="45"/>
    </row>
    <row r="78" spans="1:30" outlineLevel="3" x14ac:dyDescent="0.35">
      <c r="A78" s="45"/>
      <c r="B78" s="54"/>
      <c r="C78" s="87">
        <f t="shared" si="0"/>
        <v>4</v>
      </c>
      <c r="D78" s="73"/>
      <c r="E78" s="70"/>
      <c r="F78" s="272" t="s">
        <v>1734</v>
      </c>
      <c r="G78" s="73"/>
      <c r="H78" s="274" t="s">
        <v>2131</v>
      </c>
      <c r="I78" s="136"/>
      <c r="J78" s="136" t="s">
        <v>1060</v>
      </c>
      <c r="K78" s="79">
        <v>6</v>
      </c>
      <c r="L78" s="79">
        <v>10</v>
      </c>
      <c r="M78" s="76"/>
      <c r="N78" s="76"/>
      <c r="O78" s="76"/>
      <c r="P78" s="76"/>
      <c r="Q78" s="76"/>
      <c r="R78" s="97" t="s">
        <v>2109</v>
      </c>
      <c r="S78" s="76" t="s">
        <v>2390</v>
      </c>
      <c r="T78" s="76"/>
      <c r="U78" s="76" t="s">
        <v>2391</v>
      </c>
      <c r="V78" s="76" t="s">
        <v>2392</v>
      </c>
      <c r="W78" s="76"/>
      <c r="X78" s="76"/>
      <c r="Y78" s="76"/>
      <c r="Z78" s="73"/>
      <c r="AA78" s="57"/>
      <c r="AB78" s="45"/>
      <c r="AC78" s="45"/>
      <c r="AD78" s="45"/>
    </row>
    <row r="79" spans="1:30" outlineLevel="3" x14ac:dyDescent="0.35">
      <c r="A79" s="45"/>
      <c r="B79" s="54"/>
      <c r="C79" s="87">
        <f t="shared" si="0"/>
        <v>4</v>
      </c>
      <c r="D79" s="73"/>
      <c r="E79" s="70" t="s">
        <v>2132</v>
      </c>
      <c r="F79" s="70" t="s">
        <v>2133</v>
      </c>
      <c r="G79" s="73"/>
      <c r="H79" s="317" t="s">
        <v>2384</v>
      </c>
      <c r="I79" s="317"/>
      <c r="J79" s="317"/>
      <c r="K79" s="318">
        <v>-100</v>
      </c>
      <c r="L79" s="318"/>
      <c r="M79" s="318"/>
      <c r="N79" s="318"/>
      <c r="O79" s="317"/>
      <c r="P79" s="317"/>
      <c r="Q79" s="317"/>
      <c r="R79" s="317"/>
      <c r="S79" s="97">
        <v>918</v>
      </c>
      <c r="T79" s="317">
        <f t="shared" ref="T79:T88" si="4">EXP(K79*$S$79)</f>
        <v>0</v>
      </c>
      <c r="U79" s="371">
        <f t="shared" ref="U79:U88" si="5">SUM(T79,T89,T99,T109,T119,T129)</f>
        <v>27.540000000000092</v>
      </c>
      <c r="V79" s="379">
        <f>SUM(T48,T58,T68)</f>
        <v>918</v>
      </c>
      <c r="W79" s="317"/>
      <c r="X79" s="317"/>
      <c r="Y79" s="317"/>
      <c r="Z79" s="73"/>
      <c r="AA79" s="57"/>
      <c r="AB79" s="45"/>
      <c r="AC79" s="45"/>
      <c r="AD79" s="45"/>
    </row>
    <row r="80" spans="1:30" outlineLevel="3" x14ac:dyDescent="0.35">
      <c r="A80" s="45"/>
      <c r="B80" s="54"/>
      <c r="C80" s="87">
        <f t="shared" si="0"/>
        <v>4</v>
      </c>
      <c r="D80" s="73"/>
      <c r="E80" s="70"/>
      <c r="F80" s="70" t="s">
        <v>2134</v>
      </c>
      <c r="G80" s="73"/>
      <c r="H80" s="76" t="s">
        <v>2263</v>
      </c>
      <c r="I80" s="76"/>
      <c r="J80" s="76"/>
      <c r="K80" s="97">
        <v>-100</v>
      </c>
      <c r="L80" s="97"/>
      <c r="M80" s="97"/>
      <c r="N80" s="97"/>
      <c r="O80" s="76"/>
      <c r="P80" s="76"/>
      <c r="Q80" s="76"/>
      <c r="R80" s="76"/>
      <c r="S80" s="76"/>
      <c r="T80" s="76">
        <f t="shared" si="4"/>
        <v>0</v>
      </c>
      <c r="U80" s="372">
        <f t="shared" si="5"/>
        <v>27.540000000000092</v>
      </c>
      <c r="V80" s="378">
        <f t="shared" ref="V80:V88" si="6">SUM(T49,T59,T69)</f>
        <v>918</v>
      </c>
      <c r="W80" s="76"/>
      <c r="X80" s="76"/>
      <c r="Y80" s="76"/>
      <c r="Z80" s="73"/>
      <c r="AA80" s="57"/>
      <c r="AB80" s="45"/>
      <c r="AC80" s="45"/>
      <c r="AD80" s="45"/>
    </row>
    <row r="81" spans="1:30" outlineLevel="3" x14ac:dyDescent="0.35">
      <c r="A81" s="45"/>
      <c r="B81" s="54"/>
      <c r="C81" s="87">
        <f t="shared" si="0"/>
        <v>4</v>
      </c>
      <c r="D81" s="73"/>
      <c r="E81" s="70"/>
      <c r="F81" s="70" t="s">
        <v>2135</v>
      </c>
      <c r="G81" s="73"/>
      <c r="H81" s="76" t="s">
        <v>2114</v>
      </c>
      <c r="I81" s="76"/>
      <c r="J81" s="76"/>
      <c r="K81" s="97">
        <v>-100</v>
      </c>
      <c r="L81" s="97"/>
      <c r="M81" s="97"/>
      <c r="N81" s="97"/>
      <c r="O81" s="76"/>
      <c r="P81" s="76"/>
      <c r="Q81" s="76"/>
      <c r="R81" s="76"/>
      <c r="S81" s="76"/>
      <c r="T81" s="76">
        <f t="shared" si="4"/>
        <v>0</v>
      </c>
      <c r="U81" s="372">
        <f t="shared" si="5"/>
        <v>19.676946000000097</v>
      </c>
      <c r="V81" s="378">
        <f t="shared" si="6"/>
        <v>489.32130000000006</v>
      </c>
      <c r="W81" s="76"/>
      <c r="X81" s="76"/>
      <c r="Y81" s="76"/>
      <c r="Z81" s="73"/>
      <c r="AA81" s="57"/>
      <c r="AB81" s="45"/>
      <c r="AC81" s="45"/>
      <c r="AD81" s="45"/>
    </row>
    <row r="82" spans="1:30" outlineLevel="3" x14ac:dyDescent="0.35">
      <c r="A82" s="45"/>
      <c r="B82" s="54"/>
      <c r="C82" s="87">
        <f t="shared" si="0"/>
        <v>4</v>
      </c>
      <c r="D82" s="73"/>
      <c r="E82" s="70"/>
      <c r="F82" s="70" t="s">
        <v>2136</v>
      </c>
      <c r="G82" s="73"/>
      <c r="H82" s="76" t="s">
        <v>2264</v>
      </c>
      <c r="I82" s="76"/>
      <c r="J82" s="76"/>
      <c r="K82" s="97">
        <v>-100</v>
      </c>
      <c r="L82" s="97"/>
      <c r="M82" s="97"/>
      <c r="N82" s="97"/>
      <c r="O82" s="76"/>
      <c r="P82" s="76"/>
      <c r="Q82" s="76"/>
      <c r="R82" s="76"/>
      <c r="S82" s="76"/>
      <c r="T82" s="76">
        <f t="shared" si="4"/>
        <v>0</v>
      </c>
      <c r="U82" s="374">
        <f t="shared" si="5"/>
        <v>11.812258400000093</v>
      </c>
      <c r="V82" s="378">
        <f t="shared" si="6"/>
        <v>489.32130000000006</v>
      </c>
      <c r="W82" s="76"/>
      <c r="X82" s="78" t="s">
        <v>2394</v>
      </c>
      <c r="Y82" s="76" t="s">
        <v>2396</v>
      </c>
      <c r="Z82" s="73"/>
      <c r="AA82" s="57"/>
      <c r="AB82" s="45"/>
      <c r="AC82" s="45"/>
      <c r="AD82" s="45"/>
    </row>
    <row r="83" spans="1:30" outlineLevel="3" x14ac:dyDescent="0.35">
      <c r="A83" s="45"/>
      <c r="B83" s="54"/>
      <c r="C83" s="87">
        <f t="shared" si="0"/>
        <v>4</v>
      </c>
      <c r="D83" s="73"/>
      <c r="E83" s="70"/>
      <c r="F83" s="70" t="s">
        <v>2137</v>
      </c>
      <c r="G83" s="73"/>
      <c r="H83" s="76" t="s">
        <v>2117</v>
      </c>
      <c r="I83" s="76"/>
      <c r="J83" s="76"/>
      <c r="K83" s="97">
        <v>1.01E-3</v>
      </c>
      <c r="L83" s="97"/>
      <c r="M83" s="97"/>
      <c r="N83" s="97"/>
      <c r="O83" s="76"/>
      <c r="P83" s="76"/>
      <c r="Q83" s="76"/>
      <c r="R83" s="76"/>
      <c r="S83" s="76">
        <f>U83/$S$79*100</f>
        <v>1.6712797330596103</v>
      </c>
      <c r="T83" s="181">
        <f t="shared" si="4"/>
        <v>2.5273719299859865</v>
      </c>
      <c r="U83" s="376">
        <f t="shared" si="5"/>
        <v>15.342347949487225</v>
      </c>
      <c r="V83" s="380">
        <f t="shared" si="6"/>
        <v>936.07399999999996</v>
      </c>
      <c r="W83" s="76">
        <f>U83/U79</f>
        <v>0.55709324435320162</v>
      </c>
      <c r="X83" s="372">
        <f>U83*1.25</f>
        <v>19.177934936859032</v>
      </c>
      <c r="Y83" s="378">
        <f>V83-$S$79</f>
        <v>18.073999999999955</v>
      </c>
      <c r="Z83" s="73"/>
      <c r="AA83" s="57"/>
      <c r="AB83" s="45"/>
      <c r="AC83" s="45"/>
      <c r="AD83" s="45"/>
    </row>
    <row r="84" spans="1:30" outlineLevel="3" x14ac:dyDescent="0.35">
      <c r="A84" s="45"/>
      <c r="B84" s="54"/>
      <c r="C84" s="87">
        <f t="shared" si="0"/>
        <v>4</v>
      </c>
      <c r="D84" s="73"/>
      <c r="E84" s="70"/>
      <c r="F84" s="70" t="s">
        <v>2138</v>
      </c>
      <c r="G84" s="73"/>
      <c r="H84" s="76" t="s">
        <v>2265</v>
      </c>
      <c r="I84" s="76"/>
      <c r="J84" s="76"/>
      <c r="K84" s="97">
        <v>8.4000000000000003E-4</v>
      </c>
      <c r="L84" s="97"/>
      <c r="M84" s="97"/>
      <c r="N84" s="97"/>
      <c r="O84" s="76"/>
      <c r="P84" s="76"/>
      <c r="Q84" s="76"/>
      <c r="R84" s="76"/>
      <c r="S84" s="76">
        <f>U84/$S$79*100</f>
        <v>1.1751031819134548</v>
      </c>
      <c r="T84" s="181">
        <f t="shared" si="4"/>
        <v>2.1621865471004096</v>
      </c>
      <c r="U84" s="377">
        <f t="shared" si="5"/>
        <v>10.787447209965514</v>
      </c>
      <c r="V84" s="380">
        <f t="shared" si="6"/>
        <v>514.42000000000007</v>
      </c>
      <c r="W84" s="76">
        <f>U84/U80</f>
        <v>0.3917010606378169</v>
      </c>
      <c r="X84" s="372">
        <f>U84*1.25</f>
        <v>13.484309012456892</v>
      </c>
      <c r="Y84" s="378">
        <f>V84-$S$79</f>
        <v>-403.57999999999993</v>
      </c>
      <c r="Z84" s="73"/>
      <c r="AA84" s="57"/>
      <c r="AB84" s="45"/>
      <c r="AC84" s="45"/>
      <c r="AD84" s="45"/>
    </row>
    <row r="85" spans="1:30" outlineLevel="3" x14ac:dyDescent="0.35">
      <c r="A85" s="45"/>
      <c r="B85" s="54"/>
      <c r="C85" s="87">
        <f t="shared" si="0"/>
        <v>4</v>
      </c>
      <c r="D85" s="73"/>
      <c r="E85" s="70"/>
      <c r="F85" s="70" t="s">
        <v>2129</v>
      </c>
      <c r="G85" s="73"/>
      <c r="H85" s="76" t="s">
        <v>2304</v>
      </c>
      <c r="I85" s="76"/>
      <c r="J85" s="76"/>
      <c r="K85" s="97">
        <v>-100</v>
      </c>
      <c r="L85" s="97"/>
      <c r="M85" s="97"/>
      <c r="N85" s="97"/>
      <c r="O85" s="76"/>
      <c r="P85" s="76"/>
      <c r="Q85" s="76"/>
      <c r="R85" s="76"/>
      <c r="S85" s="76"/>
      <c r="T85" s="76">
        <f t="shared" si="4"/>
        <v>0</v>
      </c>
      <c r="U85" s="375">
        <f t="shared" si="5"/>
        <v>21.540000000000092</v>
      </c>
      <c r="V85" s="378">
        <f t="shared" si="6"/>
        <v>718</v>
      </c>
      <c r="W85" s="76"/>
      <c r="X85" s="76"/>
      <c r="Y85" s="76"/>
      <c r="Z85" s="73"/>
      <c r="AA85" s="57"/>
      <c r="AB85" s="45"/>
      <c r="AC85" s="45"/>
      <c r="AD85" s="45"/>
    </row>
    <row r="86" spans="1:30" outlineLevel="3" x14ac:dyDescent="0.35">
      <c r="A86" s="45"/>
      <c r="B86" s="54"/>
      <c r="C86" s="87">
        <f t="shared" si="0"/>
        <v>4</v>
      </c>
      <c r="D86" s="73"/>
      <c r="E86" s="70"/>
      <c r="F86" s="70" t="s">
        <v>2138</v>
      </c>
      <c r="G86" s="73"/>
      <c r="H86" s="76" t="s">
        <v>2265</v>
      </c>
      <c r="I86" s="76"/>
      <c r="J86" s="76"/>
      <c r="K86" s="97">
        <v>-100</v>
      </c>
      <c r="L86" s="97"/>
      <c r="M86" s="97"/>
      <c r="N86" s="97"/>
      <c r="O86" s="76"/>
      <c r="P86" s="76"/>
      <c r="Q86" s="76"/>
      <c r="R86" s="76"/>
      <c r="S86" s="76"/>
      <c r="T86" s="76">
        <f t="shared" si="4"/>
        <v>0</v>
      </c>
      <c r="U86" s="372">
        <f t="shared" si="5"/>
        <v>21.540000000000092</v>
      </c>
      <c r="V86" s="378">
        <f t="shared" si="6"/>
        <v>718</v>
      </c>
      <c r="W86" s="76"/>
      <c r="X86" s="76"/>
      <c r="Y86" s="76"/>
      <c r="Z86" s="73"/>
      <c r="AA86" s="57"/>
      <c r="AB86" s="45"/>
      <c r="AC86" s="45"/>
      <c r="AD86" s="45"/>
    </row>
    <row r="87" spans="1:30" outlineLevel="3" x14ac:dyDescent="0.35">
      <c r="A87" s="45"/>
      <c r="B87" s="54"/>
      <c r="C87" s="87">
        <f t="shared" si="0"/>
        <v>4</v>
      </c>
      <c r="D87" s="73"/>
      <c r="E87" s="70"/>
      <c r="F87" s="70" t="s">
        <v>2129</v>
      </c>
      <c r="G87" s="73"/>
      <c r="H87" s="76" t="s">
        <v>2307</v>
      </c>
      <c r="I87" s="76"/>
      <c r="J87" s="76"/>
      <c r="K87" s="97">
        <v>-100</v>
      </c>
      <c r="L87" s="97"/>
      <c r="M87" s="97"/>
      <c r="N87" s="97"/>
      <c r="O87" s="76"/>
      <c r="P87" s="76"/>
      <c r="Q87" s="76"/>
      <c r="R87" s="76"/>
      <c r="S87" s="76"/>
      <c r="T87" s="76">
        <f t="shared" si="4"/>
        <v>0</v>
      </c>
      <c r="U87" s="372">
        <f t="shared" si="5"/>
        <v>24.540000000000092</v>
      </c>
      <c r="V87" s="378">
        <f t="shared" si="6"/>
        <v>818</v>
      </c>
      <c r="W87" s="76"/>
      <c r="X87" s="76"/>
      <c r="Y87" s="76"/>
      <c r="Z87" s="73"/>
      <c r="AA87" s="57"/>
      <c r="AB87" s="45"/>
      <c r="AC87" s="45"/>
      <c r="AD87" s="45"/>
    </row>
    <row r="88" spans="1:30" outlineLevel="3" x14ac:dyDescent="0.35">
      <c r="A88" s="45"/>
      <c r="B88" s="54"/>
      <c r="C88" s="87">
        <f t="shared" si="0"/>
        <v>4</v>
      </c>
      <c r="D88" s="73"/>
      <c r="E88" s="70"/>
      <c r="F88" s="70" t="s">
        <v>2130</v>
      </c>
      <c r="G88" s="73"/>
      <c r="H88" s="225" t="s">
        <v>2266</v>
      </c>
      <c r="I88" s="225"/>
      <c r="J88" s="225"/>
      <c r="K88" s="319">
        <v>-100</v>
      </c>
      <c r="L88" s="319"/>
      <c r="M88" s="319"/>
      <c r="N88" s="319"/>
      <c r="O88" s="225"/>
      <c r="P88" s="225"/>
      <c r="Q88" s="225"/>
      <c r="R88" s="225"/>
      <c r="S88" s="225"/>
      <c r="T88" s="76">
        <f t="shared" si="4"/>
        <v>0</v>
      </c>
      <c r="U88" s="372">
        <f t="shared" si="5"/>
        <v>24.540000000000092</v>
      </c>
      <c r="V88" s="381">
        <f t="shared" si="6"/>
        <v>818</v>
      </c>
      <c r="W88" s="225"/>
      <c r="X88" s="225"/>
      <c r="Y88" s="225"/>
      <c r="Z88" s="73"/>
      <c r="AA88" s="57"/>
      <c r="AB88" s="45"/>
      <c r="AC88" s="45"/>
      <c r="AD88" s="45"/>
    </row>
    <row r="89" spans="1:30" outlineLevel="3" x14ac:dyDescent="0.35">
      <c r="A89" s="45"/>
      <c r="B89" s="54"/>
      <c r="C89" s="87">
        <f t="shared" si="0"/>
        <v>4</v>
      </c>
      <c r="D89" s="73"/>
      <c r="E89" s="70"/>
      <c r="F89" s="70" t="s">
        <v>2139</v>
      </c>
      <c r="G89" s="73"/>
      <c r="H89" s="317" t="s">
        <v>2385</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2140</v>
      </c>
      <c r="G90" s="73"/>
      <c r="H90" s="76" t="s">
        <v>2263</v>
      </c>
      <c r="I90" s="76"/>
      <c r="J90" s="76"/>
      <c r="K90" s="97">
        <v>-100</v>
      </c>
      <c r="L90" s="97"/>
      <c r="M90" s="97"/>
      <c r="N90" s="97"/>
      <c r="O90" s="76"/>
      <c r="P90" s="76"/>
      <c r="Q90" s="76"/>
      <c r="R90" s="76"/>
      <c r="S90" s="76"/>
      <c r="T90" s="369">
        <f t="shared" ref="T90:T98" si="7">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2141</v>
      </c>
      <c r="G91" s="73"/>
      <c r="H91" s="76" t="s">
        <v>2114</v>
      </c>
      <c r="I91" s="76"/>
      <c r="J91" s="76"/>
      <c r="K91" s="97">
        <v>-100</v>
      </c>
      <c r="L91" s="97"/>
      <c r="M91" s="97"/>
      <c r="N91" s="97"/>
      <c r="O91" s="76"/>
      <c r="P91" s="76"/>
      <c r="Q91" s="76"/>
      <c r="R91" s="76"/>
      <c r="S91" s="76"/>
      <c r="T91" s="369">
        <f t="shared" si="7"/>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2142</v>
      </c>
      <c r="G92" s="73"/>
      <c r="H92" s="76" t="s">
        <v>2264</v>
      </c>
      <c r="I92" s="76"/>
      <c r="J92" s="76"/>
      <c r="K92" s="97">
        <v>-100</v>
      </c>
      <c r="L92" s="97"/>
      <c r="M92" s="97"/>
      <c r="N92" s="97"/>
      <c r="O92" s="76"/>
      <c r="P92" s="76"/>
      <c r="Q92" s="76"/>
      <c r="R92" s="76"/>
      <c r="S92" s="76"/>
      <c r="T92" s="369">
        <f t="shared" si="7"/>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2143</v>
      </c>
      <c r="G93" s="73"/>
      <c r="H93" s="76" t="s">
        <v>2117</v>
      </c>
      <c r="I93" s="76"/>
      <c r="J93" s="76"/>
      <c r="K93" s="97">
        <v>-0.46</v>
      </c>
      <c r="L93" s="97"/>
      <c r="M93" s="97"/>
      <c r="N93" s="97"/>
      <c r="O93" s="76"/>
      <c r="P93" s="76"/>
      <c r="Q93" s="76"/>
      <c r="R93" s="76"/>
      <c r="S93" s="76"/>
      <c r="T93" s="369">
        <f t="shared" si="7"/>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2144</v>
      </c>
      <c r="G94" s="73"/>
      <c r="H94" s="76" t="s">
        <v>2265</v>
      </c>
      <c r="I94" s="76"/>
      <c r="J94" s="76"/>
      <c r="K94" s="97">
        <v>-0.22</v>
      </c>
      <c r="L94" s="97"/>
      <c r="M94" s="97"/>
      <c r="N94" s="97"/>
      <c r="O94" s="76"/>
      <c r="P94" s="76"/>
      <c r="Q94" s="76"/>
      <c r="R94" s="76"/>
      <c r="S94" s="76"/>
      <c r="T94" s="369">
        <f t="shared" si="7"/>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2129</v>
      </c>
      <c r="G95" s="73"/>
      <c r="H95" s="76" t="s">
        <v>2304</v>
      </c>
      <c r="I95" s="76"/>
      <c r="J95" s="76"/>
      <c r="K95" s="97">
        <v>-100</v>
      </c>
      <c r="L95" s="97"/>
      <c r="M95" s="97"/>
      <c r="N95" s="97"/>
      <c r="O95" s="76"/>
      <c r="P95" s="76"/>
      <c r="Q95" s="76"/>
      <c r="R95" s="76"/>
      <c r="S95" s="76"/>
      <c r="T95" s="369">
        <f t="shared" si="7"/>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2138</v>
      </c>
      <c r="G96" s="73"/>
      <c r="H96" s="76" t="s">
        <v>2265</v>
      </c>
      <c r="I96" s="76"/>
      <c r="J96" s="76"/>
      <c r="K96" s="97">
        <v>-100</v>
      </c>
      <c r="L96" s="97"/>
      <c r="M96" s="97"/>
      <c r="N96" s="97"/>
      <c r="O96" s="76"/>
      <c r="P96" s="76"/>
      <c r="Q96" s="76"/>
      <c r="R96" s="76"/>
      <c r="S96" s="76"/>
      <c r="T96" s="369">
        <f t="shared" si="7"/>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2129</v>
      </c>
      <c r="G97" s="73"/>
      <c r="H97" s="76" t="s">
        <v>2307</v>
      </c>
      <c r="I97" s="76"/>
      <c r="J97" s="76"/>
      <c r="K97" s="97">
        <v>-100</v>
      </c>
      <c r="L97" s="97"/>
      <c r="M97" s="97"/>
      <c r="N97" s="97"/>
      <c r="O97" s="76"/>
      <c r="P97" s="76"/>
      <c r="Q97" s="76"/>
      <c r="R97" s="76"/>
      <c r="S97" s="76"/>
      <c r="T97" s="369">
        <f t="shared" si="7"/>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2130</v>
      </c>
      <c r="G98" s="73"/>
      <c r="H98" s="225" t="s">
        <v>2266</v>
      </c>
      <c r="I98" s="225"/>
      <c r="J98" s="225"/>
      <c r="K98" s="319">
        <v>-100</v>
      </c>
      <c r="L98" s="319"/>
      <c r="M98" s="319"/>
      <c r="N98" s="319"/>
      <c r="O98" s="225"/>
      <c r="P98" s="225"/>
      <c r="Q98" s="225"/>
      <c r="R98" s="225"/>
      <c r="S98" s="225"/>
      <c r="T98" s="370">
        <f t="shared" si="7"/>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2145</v>
      </c>
      <c r="G99" s="73"/>
      <c r="H99" s="317" t="s">
        <v>2386</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2146</v>
      </c>
      <c r="G100" s="73"/>
      <c r="H100" s="76" t="s">
        <v>2263</v>
      </c>
      <c r="I100" s="76"/>
      <c r="J100" s="76"/>
      <c r="K100" s="97">
        <v>-100</v>
      </c>
      <c r="L100" s="97"/>
      <c r="M100" s="97"/>
      <c r="N100" s="97"/>
      <c r="O100" s="76"/>
      <c r="P100" s="76"/>
      <c r="Q100" s="76"/>
      <c r="R100" s="76"/>
      <c r="S100" s="76"/>
      <c r="T100" s="369">
        <f t="shared" ref="T100:T108" si="8">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2147</v>
      </c>
      <c r="G101" s="73"/>
      <c r="H101" s="76" t="s">
        <v>2114</v>
      </c>
      <c r="I101" s="76"/>
      <c r="J101" s="76"/>
      <c r="K101" s="97">
        <v>-100</v>
      </c>
      <c r="L101" s="97"/>
      <c r="M101" s="97"/>
      <c r="N101" s="97"/>
      <c r="O101" s="76"/>
      <c r="P101" s="76"/>
      <c r="Q101" s="76"/>
      <c r="R101" s="76"/>
      <c r="S101" s="76"/>
      <c r="T101" s="369">
        <f t="shared" si="8"/>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2148</v>
      </c>
      <c r="G102" s="73"/>
      <c r="H102" s="76" t="s">
        <v>2264</v>
      </c>
      <c r="I102" s="76"/>
      <c r="J102" s="76"/>
      <c r="K102" s="97">
        <v>-100</v>
      </c>
      <c r="L102" s="97"/>
      <c r="M102" s="97"/>
      <c r="N102" s="97"/>
      <c r="O102" s="76"/>
      <c r="P102" s="76"/>
      <c r="Q102" s="76"/>
      <c r="R102" s="76"/>
      <c r="S102" s="76"/>
      <c r="T102" s="369">
        <f t="shared" si="8"/>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2149</v>
      </c>
      <c r="G103" s="73"/>
      <c r="H103" s="76" t="s">
        <v>2117</v>
      </c>
      <c r="I103" s="76"/>
      <c r="J103" s="76"/>
      <c r="K103" s="97">
        <v>-2.9999999999999997E-4</v>
      </c>
      <c r="L103" s="97"/>
      <c r="M103" s="97"/>
      <c r="N103" s="97"/>
      <c r="O103" s="76"/>
      <c r="P103" s="76"/>
      <c r="Q103" s="76"/>
      <c r="R103" s="76"/>
      <c r="S103" s="76"/>
      <c r="T103" s="369">
        <f t="shared" si="8"/>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2150</v>
      </c>
      <c r="G104" s="73"/>
      <c r="H104" s="76" t="s">
        <v>2265</v>
      </c>
      <c r="I104" s="76"/>
      <c r="J104" s="76"/>
      <c r="K104" s="97">
        <v>-2.4000000000000001E-4</v>
      </c>
      <c r="L104" s="97"/>
      <c r="M104" s="97"/>
      <c r="N104" s="97"/>
      <c r="O104" s="76"/>
      <c r="P104" s="76"/>
      <c r="Q104" s="76"/>
      <c r="R104" s="76"/>
      <c r="S104" s="76"/>
      <c r="T104" s="369">
        <f t="shared" si="8"/>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2129</v>
      </c>
      <c r="G105" s="73"/>
      <c r="H105" s="76" t="s">
        <v>2304</v>
      </c>
      <c r="I105" s="76"/>
      <c r="J105" s="76"/>
      <c r="K105" s="97">
        <v>-100</v>
      </c>
      <c r="L105" s="97"/>
      <c r="M105" s="97"/>
      <c r="N105" s="97"/>
      <c r="O105" s="76"/>
      <c r="P105" s="76"/>
      <c r="Q105" s="76"/>
      <c r="R105" s="76"/>
      <c r="S105" s="76"/>
      <c r="T105" s="369">
        <f t="shared" si="8"/>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2138</v>
      </c>
      <c r="G106" s="73"/>
      <c r="H106" s="76" t="s">
        <v>2265</v>
      </c>
      <c r="I106" s="76"/>
      <c r="J106" s="76"/>
      <c r="K106" s="97">
        <v>-100</v>
      </c>
      <c r="L106" s="97"/>
      <c r="M106" s="97"/>
      <c r="N106" s="97"/>
      <c r="O106" s="76"/>
      <c r="P106" s="76"/>
      <c r="Q106" s="76"/>
      <c r="R106" s="76"/>
      <c r="S106" s="76"/>
      <c r="T106" s="369">
        <f t="shared" si="8"/>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2129</v>
      </c>
      <c r="G107" s="73"/>
      <c r="H107" s="76" t="s">
        <v>2307</v>
      </c>
      <c r="I107" s="76"/>
      <c r="J107" s="76"/>
      <c r="K107" s="97">
        <v>-100</v>
      </c>
      <c r="L107" s="97"/>
      <c r="M107" s="97"/>
      <c r="N107" s="97"/>
      <c r="O107" s="76"/>
      <c r="P107" s="76"/>
      <c r="Q107" s="76"/>
      <c r="R107" s="76"/>
      <c r="S107" s="76"/>
      <c r="T107" s="369">
        <f t="shared" si="8"/>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2130</v>
      </c>
      <c r="G108" s="73"/>
      <c r="H108" s="225" t="s">
        <v>2266</v>
      </c>
      <c r="I108" s="225"/>
      <c r="J108" s="225"/>
      <c r="K108" s="319">
        <v>-100</v>
      </c>
      <c r="L108" s="319"/>
      <c r="M108" s="319"/>
      <c r="N108" s="319"/>
      <c r="O108" s="225"/>
      <c r="P108" s="225"/>
      <c r="Q108" s="225"/>
      <c r="R108" s="225"/>
      <c r="S108" s="225"/>
      <c r="T108" s="370">
        <f t="shared" si="8"/>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2151</v>
      </c>
      <c r="G109" s="73"/>
      <c r="H109" s="317" t="s">
        <v>2387</v>
      </c>
      <c r="I109" s="317"/>
      <c r="J109" s="317"/>
      <c r="K109" s="318">
        <v>-100</v>
      </c>
      <c r="L109" s="318"/>
      <c r="M109" s="318"/>
      <c r="N109" s="318"/>
      <c r="O109" s="317"/>
      <c r="P109" s="317"/>
      <c r="Q109" s="317"/>
      <c r="R109" s="317"/>
      <c r="S109" s="317"/>
      <c r="T109" s="371">
        <f t="shared" ref="T109:T118" si="9">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2152</v>
      </c>
      <c r="G110" s="73"/>
      <c r="H110" s="76" t="s">
        <v>2263</v>
      </c>
      <c r="I110" s="76"/>
      <c r="J110" s="76"/>
      <c r="K110" s="97">
        <v>-100</v>
      </c>
      <c r="L110" s="97"/>
      <c r="M110" s="97"/>
      <c r="N110" s="97"/>
      <c r="O110" s="76"/>
      <c r="P110" s="76"/>
      <c r="Q110" s="76"/>
      <c r="R110" s="76"/>
      <c r="S110" s="76"/>
      <c r="T110" s="372">
        <f t="shared" si="9"/>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2153</v>
      </c>
      <c r="G111" s="73"/>
      <c r="H111" s="76" t="s">
        <v>2114</v>
      </c>
      <c r="I111" s="76"/>
      <c r="J111" s="76"/>
      <c r="K111" s="97">
        <v>-100</v>
      </c>
      <c r="L111" s="97"/>
      <c r="M111" s="97"/>
      <c r="N111" s="97"/>
      <c r="O111" s="76"/>
      <c r="P111" s="76"/>
      <c r="Q111" s="76"/>
      <c r="R111" s="76"/>
      <c r="S111" s="76"/>
      <c r="T111" s="372">
        <f t="shared" si="9"/>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2154</v>
      </c>
      <c r="G112" s="73"/>
      <c r="H112" s="76" t="s">
        <v>2264</v>
      </c>
      <c r="I112" s="76"/>
      <c r="J112" s="76"/>
      <c r="K112" s="97">
        <v>-100</v>
      </c>
      <c r="L112" s="97"/>
      <c r="M112" s="97"/>
      <c r="N112" s="97"/>
      <c r="O112" s="76"/>
      <c r="P112" s="76"/>
      <c r="Q112" s="76"/>
      <c r="R112" s="76"/>
      <c r="S112" s="76"/>
      <c r="T112" s="372">
        <f t="shared" si="9"/>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2155</v>
      </c>
      <c r="G113" s="73"/>
      <c r="H113" s="76" t="s">
        <v>2117</v>
      </c>
      <c r="I113" s="76"/>
      <c r="J113" s="76"/>
      <c r="K113" s="97">
        <v>2.4</v>
      </c>
      <c r="L113" s="97"/>
      <c r="M113" s="97"/>
      <c r="N113" s="97"/>
      <c r="O113" s="76"/>
      <c r="P113" s="76"/>
      <c r="Q113" s="76"/>
      <c r="R113" s="76"/>
      <c r="S113" s="76"/>
      <c r="T113" s="372">
        <f t="shared" si="9"/>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2156</v>
      </c>
      <c r="G114" s="73"/>
      <c r="H114" s="76" t="s">
        <v>2265</v>
      </c>
      <c r="I114" s="76"/>
      <c r="J114" s="76"/>
      <c r="K114" s="97">
        <v>1.91</v>
      </c>
      <c r="L114" s="97"/>
      <c r="M114" s="97"/>
      <c r="N114" s="97"/>
      <c r="O114" s="76"/>
      <c r="P114" s="76"/>
      <c r="Q114" s="76"/>
      <c r="R114" s="76"/>
      <c r="S114" s="76"/>
      <c r="T114" s="372">
        <f t="shared" si="9"/>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2129</v>
      </c>
      <c r="G115" s="73"/>
      <c r="H115" s="76" t="s">
        <v>2304</v>
      </c>
      <c r="I115" s="76"/>
      <c r="J115" s="76"/>
      <c r="K115" s="97">
        <v>-100</v>
      </c>
      <c r="L115" s="97"/>
      <c r="M115" s="97"/>
      <c r="N115" s="97"/>
      <c r="O115" s="76"/>
      <c r="P115" s="76"/>
      <c r="Q115" s="76"/>
      <c r="R115" s="76"/>
      <c r="S115" s="76"/>
      <c r="T115" s="372">
        <f t="shared" si="9"/>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2138</v>
      </c>
      <c r="G116" s="73"/>
      <c r="H116" s="76" t="s">
        <v>2265</v>
      </c>
      <c r="I116" s="76"/>
      <c r="J116" s="76"/>
      <c r="K116" s="97">
        <v>-100</v>
      </c>
      <c r="L116" s="97"/>
      <c r="M116" s="97"/>
      <c r="N116" s="97"/>
      <c r="O116" s="76"/>
      <c r="P116" s="76"/>
      <c r="Q116" s="76"/>
      <c r="R116" s="76"/>
      <c r="S116" s="76"/>
      <c r="T116" s="372">
        <f t="shared" si="9"/>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2129</v>
      </c>
      <c r="G117" s="73"/>
      <c r="H117" s="76" t="s">
        <v>2307</v>
      </c>
      <c r="I117" s="76"/>
      <c r="J117" s="76"/>
      <c r="K117" s="97">
        <v>-100</v>
      </c>
      <c r="L117" s="97"/>
      <c r="M117" s="97"/>
      <c r="N117" s="97"/>
      <c r="O117" s="76"/>
      <c r="P117" s="76"/>
      <c r="Q117" s="76"/>
      <c r="R117" s="76"/>
      <c r="S117" s="76"/>
      <c r="T117" s="372">
        <f t="shared" si="9"/>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2130</v>
      </c>
      <c r="G118" s="73"/>
      <c r="H118" s="225" t="s">
        <v>2266</v>
      </c>
      <c r="I118" s="225"/>
      <c r="J118" s="225"/>
      <c r="K118" s="319">
        <v>-100</v>
      </c>
      <c r="L118" s="319"/>
      <c r="M118" s="319"/>
      <c r="N118" s="319"/>
      <c r="O118" s="225"/>
      <c r="P118" s="225"/>
      <c r="Q118" s="225"/>
      <c r="R118" s="225"/>
      <c r="S118" s="225"/>
      <c r="T118" s="373">
        <f t="shared" si="9"/>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2157</v>
      </c>
      <c r="G119" s="73"/>
      <c r="H119" s="317" t="s">
        <v>2388</v>
      </c>
      <c r="I119" s="317" t="s">
        <v>2158</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2159</v>
      </c>
      <c r="G120" s="73"/>
      <c r="H120" s="76" t="s">
        <v>2263</v>
      </c>
      <c r="I120" s="76" t="s">
        <v>2158</v>
      </c>
      <c r="J120" s="76"/>
      <c r="K120" s="97">
        <f>30/1000</f>
        <v>0.03</v>
      </c>
      <c r="L120" s="97"/>
      <c r="M120" s="97"/>
      <c r="N120" s="97"/>
      <c r="O120" s="76"/>
      <c r="P120" s="76"/>
      <c r="Q120" s="76"/>
      <c r="R120" s="76"/>
      <c r="S120" s="76"/>
      <c r="T120" s="372">
        <f t="shared" ref="T120:T128" si="10">(K120*$S$119)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2160</v>
      </c>
      <c r="G121" s="73"/>
      <c r="H121" s="76" t="s">
        <v>2114</v>
      </c>
      <c r="I121" s="76" t="s">
        <v>2158</v>
      </c>
      <c r="J121" s="76"/>
      <c r="K121" s="97">
        <v>4.9147000000000003E-2</v>
      </c>
      <c r="L121" s="97"/>
      <c r="M121" s="97"/>
      <c r="N121" s="97"/>
      <c r="O121" s="76"/>
      <c r="P121" s="76"/>
      <c r="Q121" s="76"/>
      <c r="R121" s="76"/>
      <c r="S121" s="76"/>
      <c r="T121" s="372">
        <f t="shared" si="10"/>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2161</v>
      </c>
      <c r="G122" s="73"/>
      <c r="H122" s="76" t="s">
        <v>2264</v>
      </c>
      <c r="I122" s="76" t="s">
        <v>2158</v>
      </c>
      <c r="J122" s="76"/>
      <c r="K122" s="97">
        <v>3.4518800000000002E-2</v>
      </c>
      <c r="L122" s="97"/>
      <c r="M122" s="97"/>
      <c r="N122" s="97"/>
      <c r="O122" s="76"/>
      <c r="P122" s="76"/>
      <c r="Q122" s="76"/>
      <c r="R122" s="76"/>
      <c r="S122" s="76"/>
      <c r="T122" s="372">
        <f t="shared" si="10"/>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2162</v>
      </c>
      <c r="G123" s="73"/>
      <c r="H123" s="76" t="s">
        <v>2117</v>
      </c>
      <c r="I123" s="76" t="s">
        <v>2158</v>
      </c>
      <c r="J123" s="76"/>
      <c r="K123" s="97">
        <v>0</v>
      </c>
      <c r="L123" s="97"/>
      <c r="M123" s="97"/>
      <c r="N123" s="97"/>
      <c r="O123" s="76"/>
      <c r="P123" s="76"/>
      <c r="Q123" s="76"/>
      <c r="R123" s="76"/>
      <c r="S123" s="76"/>
      <c r="T123" s="372">
        <f t="shared" si="10"/>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2163</v>
      </c>
      <c r="G124" s="73"/>
      <c r="H124" s="76" t="s">
        <v>2265</v>
      </c>
      <c r="I124" s="76" t="s">
        <v>2158</v>
      </c>
      <c r="J124" s="76"/>
      <c r="K124" s="97">
        <v>0</v>
      </c>
      <c r="L124" s="97"/>
      <c r="M124" s="97"/>
      <c r="N124" s="97"/>
      <c r="O124" s="76"/>
      <c r="P124" s="76"/>
      <c r="Q124" s="76"/>
      <c r="R124" s="76"/>
      <c r="S124" s="76"/>
      <c r="T124" s="372">
        <f t="shared" si="10"/>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2129</v>
      </c>
      <c r="G125" s="73"/>
      <c r="H125" s="76" t="s">
        <v>2304</v>
      </c>
      <c r="I125" s="76" t="s">
        <v>2158</v>
      </c>
      <c r="J125" s="76"/>
      <c r="K125" s="97">
        <f>30/1000</f>
        <v>0.03</v>
      </c>
      <c r="L125" s="97"/>
      <c r="M125" s="97"/>
      <c r="N125" s="97"/>
      <c r="O125" s="76"/>
      <c r="P125" s="76"/>
      <c r="Q125" s="76"/>
      <c r="R125" s="76"/>
      <c r="S125" s="76"/>
      <c r="T125" s="372">
        <f t="shared" si="10"/>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2138</v>
      </c>
      <c r="G126" s="73"/>
      <c r="H126" s="76" t="s">
        <v>2265</v>
      </c>
      <c r="I126" s="76" t="s">
        <v>2158</v>
      </c>
      <c r="J126" s="76"/>
      <c r="K126" s="97">
        <f>30/1000</f>
        <v>0.03</v>
      </c>
      <c r="L126" s="97"/>
      <c r="M126" s="97"/>
      <c r="N126" s="97"/>
      <c r="O126" s="76"/>
      <c r="P126" s="76"/>
      <c r="Q126" s="76"/>
      <c r="R126" s="76"/>
      <c r="S126" s="76"/>
      <c r="T126" s="372">
        <f t="shared" si="10"/>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2129</v>
      </c>
      <c r="G127" s="73"/>
      <c r="H127" s="76" t="s">
        <v>2307</v>
      </c>
      <c r="I127" s="76" t="s">
        <v>2158</v>
      </c>
      <c r="J127" s="76"/>
      <c r="K127" s="97">
        <f>30/1000</f>
        <v>0.03</v>
      </c>
      <c r="L127" s="97"/>
      <c r="M127" s="97"/>
      <c r="N127" s="97"/>
      <c r="O127" s="76"/>
      <c r="P127" s="76"/>
      <c r="Q127" s="76"/>
      <c r="R127" s="76"/>
      <c r="S127" s="76"/>
      <c r="T127" s="372">
        <f t="shared" si="10"/>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2130</v>
      </c>
      <c r="G128" s="73"/>
      <c r="H128" s="225" t="s">
        <v>2266</v>
      </c>
      <c r="I128" s="225" t="s">
        <v>2158</v>
      </c>
      <c r="J128" s="225"/>
      <c r="K128" s="319">
        <f>30/1000</f>
        <v>0.03</v>
      </c>
      <c r="L128" s="319"/>
      <c r="M128" s="319"/>
      <c r="N128" s="319"/>
      <c r="O128" s="225"/>
      <c r="P128" s="225"/>
      <c r="Q128" s="225"/>
      <c r="R128" s="225"/>
      <c r="S128" s="225"/>
      <c r="T128" s="373">
        <f t="shared" si="10"/>
        <v>27.54</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2164</v>
      </c>
      <c r="G129" s="73"/>
      <c r="H129" s="317" t="s">
        <v>2389</v>
      </c>
      <c r="I129" s="317" t="s">
        <v>2165</v>
      </c>
      <c r="J129" s="317"/>
      <c r="K129" s="318">
        <v>0</v>
      </c>
      <c r="L129" s="318"/>
      <c r="M129" s="318"/>
      <c r="N129" s="318"/>
      <c r="O129" s="317"/>
      <c r="P129" s="317"/>
      <c r="Q129" s="317"/>
      <c r="R129" s="317"/>
      <c r="S129" s="317"/>
      <c r="T129" s="371">
        <f t="shared" ref="T129:T138" si="11">(K129)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2166</v>
      </c>
      <c r="G130" s="73"/>
      <c r="H130" s="76" t="s">
        <v>2263</v>
      </c>
      <c r="I130" s="76" t="s">
        <v>2165</v>
      </c>
      <c r="J130" s="76"/>
      <c r="K130" s="97">
        <v>0</v>
      </c>
      <c r="L130" s="97"/>
      <c r="M130" s="97"/>
      <c r="N130" s="97"/>
      <c r="O130" s="76"/>
      <c r="P130" s="76"/>
      <c r="Q130" s="76"/>
      <c r="R130" s="76"/>
      <c r="S130" s="76"/>
      <c r="T130" s="372">
        <f t="shared" si="11"/>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2167</v>
      </c>
      <c r="G131" s="73"/>
      <c r="H131" s="76" t="s">
        <v>2114</v>
      </c>
      <c r="I131" s="76" t="s">
        <v>2165</v>
      </c>
      <c r="J131" s="76"/>
      <c r="K131" s="97">
        <v>-25.44</v>
      </c>
      <c r="L131" s="97"/>
      <c r="M131" s="97"/>
      <c r="N131" s="97"/>
      <c r="O131" s="76"/>
      <c r="P131" s="76"/>
      <c r="Q131" s="76"/>
      <c r="R131" s="76"/>
      <c r="S131" s="76"/>
      <c r="T131" s="372">
        <f t="shared" si="11"/>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2168</v>
      </c>
      <c r="G132" s="73"/>
      <c r="H132" s="76" t="s">
        <v>2264</v>
      </c>
      <c r="I132" s="76" t="s">
        <v>2165</v>
      </c>
      <c r="J132" s="76"/>
      <c r="K132" s="97">
        <v>-19.876000000000001</v>
      </c>
      <c r="L132" s="97"/>
      <c r="M132" s="97"/>
      <c r="N132" s="97"/>
      <c r="O132" s="76"/>
      <c r="P132" s="76"/>
      <c r="Q132" s="76"/>
      <c r="R132" s="76"/>
      <c r="S132" s="76"/>
      <c r="T132" s="372">
        <f t="shared" si="11"/>
        <v>-19.876000000000001</v>
      </c>
      <c r="U132" s="76"/>
      <c r="V132" s="76"/>
      <c r="W132" s="76"/>
      <c r="X132" s="76"/>
      <c r="Y132" s="76"/>
      <c r="Z132" s="73"/>
      <c r="AA132" s="57"/>
      <c r="AB132" s="45"/>
      <c r="AC132" s="45"/>
      <c r="AD132" s="45"/>
    </row>
    <row r="133" spans="1:30" outlineLevel="3" x14ac:dyDescent="0.35">
      <c r="A133" s="45"/>
      <c r="B133" s="54"/>
      <c r="C133" s="87">
        <f t="shared" ref="C133:C139" si="12">INT($C$29)+3</f>
        <v>4</v>
      </c>
      <c r="D133" s="73"/>
      <c r="E133" s="70"/>
      <c r="F133" s="70" t="s">
        <v>2169</v>
      </c>
      <c r="G133" s="73"/>
      <c r="H133" s="76" t="s">
        <v>2117</v>
      </c>
      <c r="I133" s="76" t="s">
        <v>2165</v>
      </c>
      <c r="J133" s="76"/>
      <c r="K133" s="97">
        <v>0</v>
      </c>
      <c r="L133" s="97"/>
      <c r="M133" s="97"/>
      <c r="N133" s="97"/>
      <c r="O133" s="76"/>
      <c r="P133" s="76"/>
      <c r="Q133" s="76"/>
      <c r="R133" s="76"/>
      <c r="S133" s="76"/>
      <c r="T133" s="372">
        <f t="shared" si="11"/>
        <v>0</v>
      </c>
      <c r="U133" s="76"/>
      <c r="V133" s="76"/>
      <c r="W133" s="76"/>
      <c r="X133" s="76"/>
      <c r="Y133" s="76"/>
      <c r="Z133" s="73"/>
      <c r="AA133" s="57"/>
      <c r="AB133" s="45"/>
      <c r="AC133" s="45"/>
      <c r="AD133" s="45"/>
    </row>
    <row r="134" spans="1:30" outlineLevel="3" x14ac:dyDescent="0.35">
      <c r="A134" s="45"/>
      <c r="B134" s="54"/>
      <c r="C134" s="87">
        <f t="shared" si="12"/>
        <v>4</v>
      </c>
      <c r="D134" s="73"/>
      <c r="E134" s="70"/>
      <c r="F134" s="70" t="s">
        <v>2170</v>
      </c>
      <c r="G134" s="73"/>
      <c r="H134" s="76" t="s">
        <v>2265</v>
      </c>
      <c r="I134" s="76" t="s">
        <v>2165</v>
      </c>
      <c r="J134" s="76"/>
      <c r="K134" s="97">
        <v>0</v>
      </c>
      <c r="L134" s="97"/>
      <c r="M134" s="97"/>
      <c r="N134" s="97"/>
      <c r="O134" s="76"/>
      <c r="P134" s="76"/>
      <c r="Q134" s="76"/>
      <c r="R134" s="76"/>
      <c r="S134" s="76"/>
      <c r="T134" s="372">
        <f t="shared" si="11"/>
        <v>0</v>
      </c>
      <c r="U134" s="76"/>
      <c r="V134" s="76"/>
      <c r="W134" s="76"/>
      <c r="X134" s="76"/>
      <c r="Y134" s="76"/>
      <c r="Z134" s="73"/>
      <c r="AA134" s="57"/>
      <c r="AB134" s="45"/>
      <c r="AC134" s="45"/>
      <c r="AD134" s="45"/>
    </row>
    <row r="135" spans="1:30" outlineLevel="3" x14ac:dyDescent="0.35">
      <c r="A135" s="45"/>
      <c r="B135" s="54"/>
      <c r="C135" s="87">
        <f t="shared" si="12"/>
        <v>4</v>
      </c>
      <c r="D135" s="73"/>
      <c r="E135" s="70"/>
      <c r="F135" s="70" t="s">
        <v>2169</v>
      </c>
      <c r="G135" s="73"/>
      <c r="H135" s="76" t="s">
        <v>2304</v>
      </c>
      <c r="I135" s="76" t="s">
        <v>2165</v>
      </c>
      <c r="J135" s="76"/>
      <c r="K135" s="97">
        <f>K125*K74</f>
        <v>-6</v>
      </c>
      <c r="L135" s="97"/>
      <c r="M135" s="97"/>
      <c r="N135" s="97"/>
      <c r="O135" s="76"/>
      <c r="P135" s="76"/>
      <c r="Q135" s="76"/>
      <c r="R135" s="76"/>
      <c r="S135" s="76"/>
      <c r="T135" s="372">
        <f t="shared" si="11"/>
        <v>-6</v>
      </c>
      <c r="U135" s="76"/>
      <c r="V135" s="76"/>
      <c r="W135" s="76"/>
      <c r="X135" s="76"/>
      <c r="Y135" s="76"/>
      <c r="Z135" s="73"/>
      <c r="AA135" s="57"/>
      <c r="AB135" s="45"/>
      <c r="AC135" s="45"/>
      <c r="AD135" s="45"/>
    </row>
    <row r="136" spans="1:30" outlineLevel="3" x14ac:dyDescent="0.35">
      <c r="A136" s="45"/>
      <c r="B136" s="54"/>
      <c r="C136" s="87">
        <f t="shared" si="12"/>
        <v>4</v>
      </c>
      <c r="D136" s="73"/>
      <c r="E136" s="70"/>
      <c r="F136" s="70" t="s">
        <v>2138</v>
      </c>
      <c r="G136" s="73"/>
      <c r="H136" s="76" t="s">
        <v>2265</v>
      </c>
      <c r="I136" s="76" t="s">
        <v>2165</v>
      </c>
      <c r="J136" s="76"/>
      <c r="K136" s="97">
        <f>K126*K75</f>
        <v>-6</v>
      </c>
      <c r="L136" s="97"/>
      <c r="M136" s="97"/>
      <c r="N136" s="97"/>
      <c r="O136" s="76"/>
      <c r="P136" s="76"/>
      <c r="Q136" s="76"/>
      <c r="R136" s="76"/>
      <c r="S136" s="76"/>
      <c r="T136" s="372">
        <f t="shared" si="11"/>
        <v>-6</v>
      </c>
      <c r="U136" s="76"/>
      <c r="V136" s="76"/>
      <c r="W136" s="76"/>
      <c r="X136" s="76"/>
      <c r="Y136" s="76"/>
      <c r="Z136" s="73"/>
      <c r="AA136" s="57"/>
      <c r="AB136" s="45"/>
      <c r="AC136" s="45"/>
      <c r="AD136" s="45"/>
    </row>
    <row r="137" spans="1:30" outlineLevel="3" x14ac:dyDescent="0.35">
      <c r="A137" s="45"/>
      <c r="B137" s="54"/>
      <c r="C137" s="87">
        <f t="shared" si="12"/>
        <v>4</v>
      </c>
      <c r="D137" s="73"/>
      <c r="E137" s="70"/>
      <c r="F137" s="70" t="s">
        <v>2129</v>
      </c>
      <c r="G137" s="73"/>
      <c r="H137" s="76" t="s">
        <v>2307</v>
      </c>
      <c r="I137" s="76" t="s">
        <v>2165</v>
      </c>
      <c r="J137" s="76"/>
      <c r="K137" s="97">
        <f>K127*K76</f>
        <v>-3</v>
      </c>
      <c r="L137" s="97"/>
      <c r="M137" s="97"/>
      <c r="N137" s="97"/>
      <c r="O137" s="76"/>
      <c r="P137" s="76"/>
      <c r="Q137" s="76"/>
      <c r="R137" s="76"/>
      <c r="S137" s="76"/>
      <c r="T137" s="372">
        <f t="shared" si="11"/>
        <v>-3</v>
      </c>
      <c r="U137" s="76"/>
      <c r="V137" s="76"/>
      <c r="W137" s="76"/>
      <c r="X137" s="76"/>
      <c r="Y137" s="76"/>
      <c r="Z137" s="73"/>
      <c r="AA137" s="57"/>
      <c r="AB137" s="45"/>
      <c r="AC137" s="45"/>
      <c r="AD137" s="45"/>
    </row>
    <row r="138" spans="1:30" outlineLevel="3" x14ac:dyDescent="0.35">
      <c r="A138" s="45"/>
      <c r="B138" s="54"/>
      <c r="C138" s="87">
        <f t="shared" si="12"/>
        <v>4</v>
      </c>
      <c r="D138" s="73"/>
      <c r="E138" s="70"/>
      <c r="F138" s="70" t="s">
        <v>2170</v>
      </c>
      <c r="G138" s="73"/>
      <c r="H138" s="225" t="s">
        <v>2266</v>
      </c>
      <c r="I138" s="225" t="s">
        <v>2165</v>
      </c>
      <c r="J138" s="225"/>
      <c r="K138" s="319">
        <f>K128*K77</f>
        <v>-3</v>
      </c>
      <c r="L138" s="319"/>
      <c r="M138" s="319"/>
      <c r="N138" s="319"/>
      <c r="O138" s="225"/>
      <c r="P138" s="225"/>
      <c r="Q138" s="225"/>
      <c r="R138" s="225"/>
      <c r="S138" s="225"/>
      <c r="T138" s="373">
        <f t="shared" si="11"/>
        <v>-3</v>
      </c>
      <c r="U138" s="225"/>
      <c r="V138" s="225"/>
      <c r="W138" s="225"/>
      <c r="X138" s="225"/>
      <c r="Y138" s="225"/>
      <c r="Z138" s="73"/>
      <c r="AA138" s="57"/>
      <c r="AB138" s="45"/>
      <c r="AC138" s="45"/>
      <c r="AD138" s="45"/>
    </row>
    <row r="139" spans="1:30" outlineLevel="3" x14ac:dyDescent="0.3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431</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2936</v>
      </c>
      <c r="B3" s="510">
        <v>6.9999999999999994E-5</v>
      </c>
      <c r="C3" s="1" t="s">
        <v>2940</v>
      </c>
    </row>
    <row r="4" spans="1:3" x14ac:dyDescent="0.35">
      <c r="A4" t="s">
        <v>2937</v>
      </c>
      <c r="B4" s="510">
        <v>1.2999999999999999E-4</v>
      </c>
      <c r="C4" s="1" t="s">
        <v>2941</v>
      </c>
    </row>
    <row r="5" spans="1:3" x14ac:dyDescent="0.35">
      <c r="A5" t="s">
        <v>2938</v>
      </c>
      <c r="B5" s="510">
        <v>1.9000000000000001E-4</v>
      </c>
      <c r="C5" s="1" t="s">
        <v>2942</v>
      </c>
    </row>
    <row r="6" spans="1:3" x14ac:dyDescent="0.35">
      <c r="A6" t="s">
        <v>2939</v>
      </c>
      <c r="B6" s="510">
        <v>1.9000000000000001E-4</v>
      </c>
      <c r="C6" s="1" t="s">
        <v>2941</v>
      </c>
    </row>
    <row r="8" spans="1:3" x14ac:dyDescent="0.35">
      <c r="A8" s="3" t="s">
        <v>63</v>
      </c>
    </row>
    <row r="9" spans="1:3" x14ac:dyDescent="0.35">
      <c r="A9" t="s">
        <v>64</v>
      </c>
      <c r="B9">
        <v>7</v>
      </c>
    </row>
    <row r="10" spans="1:3" ht="9.65" customHeight="1" x14ac:dyDescent="0.35">
      <c r="A10" s="3"/>
    </row>
    <row r="12" spans="1:3" x14ac:dyDescent="0.35">
      <c r="A12" s="3" t="s">
        <v>62</v>
      </c>
    </row>
    <row r="13" spans="1:3" ht="6.65" customHeight="1" x14ac:dyDescent="0.35"/>
    <row r="14" spans="1:3" x14ac:dyDescent="0.35">
      <c r="A14" t="s">
        <v>2948</v>
      </c>
      <c r="B14"/>
    </row>
    <row r="15" spans="1:3" x14ac:dyDescent="0.35">
      <c r="A15" s="354" t="str">
        <f>General!G37</f>
        <v>b</v>
      </c>
      <c r="B15">
        <v>20</v>
      </c>
      <c r="C15" s="1" t="s">
        <v>2946</v>
      </c>
    </row>
    <row r="16" spans="1:3" x14ac:dyDescent="0.35">
      <c r="A16" s="354" t="str">
        <f>General!G38</f>
        <v>bd</v>
      </c>
      <c r="B16">
        <v>20</v>
      </c>
      <c r="C16" s="1" t="s">
        <v>2946</v>
      </c>
    </row>
    <row r="17" spans="1:3" x14ac:dyDescent="0.35">
      <c r="A17" s="354" t="str">
        <f>General!G39</f>
        <v>f</v>
      </c>
      <c r="B17">
        <v>7</v>
      </c>
      <c r="C17" s="1" t="s">
        <v>2946</v>
      </c>
    </row>
    <row r="18" spans="1:3" x14ac:dyDescent="0.35">
      <c r="A18" s="354" t="str">
        <f>General!G40</f>
        <v>h</v>
      </c>
      <c r="B18">
        <v>20</v>
      </c>
      <c r="C18" s="1" t="s">
        <v>2946</v>
      </c>
    </row>
    <row r="19" spans="1:3" x14ac:dyDescent="0.35">
      <c r="A19" s="354" t="str">
        <f>General!G41</f>
        <v>i</v>
      </c>
      <c r="B19">
        <v>7</v>
      </c>
      <c r="C19" s="1" t="s">
        <v>2946</v>
      </c>
    </row>
    <row r="20" spans="1:3" x14ac:dyDescent="0.35">
      <c r="A20" s="354" t="str">
        <f>General!G42</f>
        <v>k</v>
      </c>
      <c r="B20">
        <v>7</v>
      </c>
      <c r="C20" s="1" t="s">
        <v>2946</v>
      </c>
    </row>
    <row r="21" spans="1:3" x14ac:dyDescent="0.35">
      <c r="A21" s="354" t="str">
        <f>General!G43</f>
        <v>l</v>
      </c>
      <c r="B21">
        <v>7</v>
      </c>
      <c r="C21" s="1" t="s">
        <v>2946</v>
      </c>
    </row>
    <row r="22" spans="1:3" x14ac:dyDescent="0.35">
      <c r="A22" s="354" t="str">
        <f>General!G44</f>
        <v>ms</v>
      </c>
      <c r="B22">
        <v>12</v>
      </c>
      <c r="C22" s="1" t="s">
        <v>2946</v>
      </c>
    </row>
    <row r="23" spans="1:3" x14ac:dyDescent="0.35">
      <c r="A23" s="354" t="str">
        <f>General!G45</f>
        <v>o</v>
      </c>
      <c r="B23">
        <v>20</v>
      </c>
      <c r="C23" s="1" t="s">
        <v>2946</v>
      </c>
    </row>
    <row r="24" spans="1:3" x14ac:dyDescent="0.35">
      <c r="A24" s="354" t="str">
        <f>General!G46</f>
        <v>od</v>
      </c>
      <c r="B24">
        <v>20</v>
      </c>
      <c r="C24" s="1" t="s">
        <v>2946</v>
      </c>
    </row>
    <row r="25" spans="1:3" x14ac:dyDescent="0.35">
      <c r="A25" s="354" t="str">
        <f>General!G47</f>
        <v>of</v>
      </c>
      <c r="B25">
        <v>20</v>
      </c>
      <c r="C25" s="1" t="s">
        <v>2946</v>
      </c>
    </row>
    <row r="26" spans="1:3" x14ac:dyDescent="0.35">
      <c r="A26" s="354" t="str">
        <f>General!G48</f>
        <v>r</v>
      </c>
      <c r="B26">
        <v>7</v>
      </c>
      <c r="C26" s="1" t="s">
        <v>2946</v>
      </c>
    </row>
    <row r="27" spans="1:3" x14ac:dyDescent="0.35">
      <c r="A27" s="354" t="str">
        <f>General!G49</f>
        <v>rd</v>
      </c>
      <c r="B27">
        <v>7</v>
      </c>
      <c r="C27" s="1" t="s">
        <v>2946</v>
      </c>
    </row>
    <row r="28" spans="1:3" x14ac:dyDescent="0.35">
      <c r="A28" s="354" t="str">
        <f>General!G50</f>
        <v>v</v>
      </c>
      <c r="B28">
        <v>7</v>
      </c>
      <c r="C28" s="1" t="s">
        <v>2946</v>
      </c>
    </row>
    <row r="29" spans="1:3" x14ac:dyDescent="0.35">
      <c r="A29" s="354" t="str">
        <f>General!G51</f>
        <v>w</v>
      </c>
      <c r="B29">
        <v>20</v>
      </c>
      <c r="C29" s="1" t="s">
        <v>2946</v>
      </c>
    </row>
    <row r="30" spans="1:3" x14ac:dyDescent="0.35">
      <c r="A30" s="354" t="str">
        <f>General!G52</f>
        <v>wd</v>
      </c>
      <c r="B30">
        <v>20</v>
      </c>
      <c r="C30" s="1" t="s">
        <v>2946</v>
      </c>
    </row>
    <row r="31" spans="1:3" x14ac:dyDescent="0.35">
      <c r="A31" s="354" t="str">
        <f>General!G53</f>
        <v>z</v>
      </c>
      <c r="B31">
        <v>7</v>
      </c>
      <c r="C31" s="1" t="s">
        <v>2946</v>
      </c>
    </row>
    <row r="32" spans="1:3" x14ac:dyDescent="0.35">
      <c r="A32" s="354" t="str">
        <f>General!G54</f>
        <v>zd</v>
      </c>
      <c r="B32">
        <v>7</v>
      </c>
      <c r="C32" s="1" t="s">
        <v>2946</v>
      </c>
    </row>
    <row r="34" spans="1:3" x14ac:dyDescent="0.35">
      <c r="A34" t="s">
        <v>87</v>
      </c>
      <c r="B34" s="398">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98" workbookViewId="0">
      <selection activeCell="B111" sqref="B111:B112"/>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2180</v>
      </c>
    </row>
    <row r="11" spans="1:17" x14ac:dyDescent="0.35">
      <c r="A11" t="s">
        <v>77</v>
      </c>
      <c r="B11" t="s">
        <v>78</v>
      </c>
      <c r="C11" t="s">
        <v>128</v>
      </c>
      <c r="D11" t="s">
        <v>129</v>
      </c>
      <c r="E11" t="s">
        <v>2943</v>
      </c>
      <c r="F11" t="s">
        <v>2944</v>
      </c>
    </row>
    <row r="12" spans="1:17" x14ac:dyDescent="0.35">
      <c r="A12" t="s">
        <v>2812</v>
      </c>
      <c r="B12">
        <v>188000</v>
      </c>
      <c r="C12" s="44">
        <v>1</v>
      </c>
      <c r="D12" s="44">
        <v>0</v>
      </c>
      <c r="E12" s="44">
        <v>0</v>
      </c>
      <c r="F12" s="44">
        <v>0</v>
      </c>
    </row>
    <row r="13" spans="1:17" x14ac:dyDescent="0.35">
      <c r="A13" t="s">
        <v>2810</v>
      </c>
      <c r="B13">
        <v>87000</v>
      </c>
      <c r="C13" s="44">
        <v>1</v>
      </c>
      <c r="D13" s="44">
        <v>0</v>
      </c>
      <c r="E13" s="44">
        <v>0</v>
      </c>
      <c r="F13" s="44">
        <v>0</v>
      </c>
    </row>
    <row r="14" spans="1:17" x14ac:dyDescent="0.35">
      <c r="A14" t="s">
        <v>2811</v>
      </c>
      <c r="B14">
        <v>297000</v>
      </c>
      <c r="C14" s="44">
        <v>0</v>
      </c>
      <c r="D14" s="44">
        <v>1</v>
      </c>
      <c r="E14" s="44">
        <v>0</v>
      </c>
      <c r="F14" s="44">
        <v>0</v>
      </c>
    </row>
    <row r="15" spans="1:17" x14ac:dyDescent="0.35">
      <c r="A15" t="s">
        <v>127</v>
      </c>
      <c r="B15">
        <v>30000</v>
      </c>
      <c r="C15" s="44">
        <v>0</v>
      </c>
      <c r="D15" s="44">
        <v>1</v>
      </c>
      <c r="E15" s="44">
        <v>0</v>
      </c>
      <c r="F15" s="44">
        <v>0</v>
      </c>
      <c r="Q15" s="498"/>
    </row>
    <row r="16" spans="1:17" x14ac:dyDescent="0.35">
      <c r="A16" t="s">
        <v>2813</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2815</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2814</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3" x14ac:dyDescent="0.35">
      <c r="A33" s="3" t="s">
        <v>36</v>
      </c>
    </row>
    <row r="34" spans="1:3" x14ac:dyDescent="0.35">
      <c r="A34" t="s">
        <v>2808</v>
      </c>
      <c r="B34" s="452">
        <v>1</v>
      </c>
    </row>
    <row r="35" spans="1:3" ht="7.4" customHeight="1" x14ac:dyDescent="0.35"/>
    <row r="36" spans="1:3" x14ac:dyDescent="0.35">
      <c r="A36" t="s">
        <v>2950</v>
      </c>
      <c r="B36">
        <v>8.6999999999999993</v>
      </c>
      <c r="C36" s="1" t="s">
        <v>2949</v>
      </c>
    </row>
    <row r="37" spans="1:3" ht="7.15" customHeight="1" x14ac:dyDescent="0.35"/>
    <row r="38" spans="1:3" x14ac:dyDescent="0.35">
      <c r="A38" t="s">
        <v>61</v>
      </c>
      <c r="B38">
        <v>5.41</v>
      </c>
    </row>
    <row r="39" spans="1:3" ht="7.15" customHeight="1" x14ac:dyDescent="0.35"/>
    <row r="40" spans="1:3" x14ac:dyDescent="0.35">
      <c r="A40" t="s">
        <v>60</v>
      </c>
      <c r="B40">
        <v>1.08</v>
      </c>
    </row>
    <row r="41" spans="1:3" ht="7.15" customHeight="1" x14ac:dyDescent="0.35"/>
    <row r="42" spans="1:3" x14ac:dyDescent="0.35">
      <c r="A42" t="s">
        <v>59</v>
      </c>
      <c r="B42">
        <v>2.0699999999999998</v>
      </c>
    </row>
    <row r="43" spans="1:3" ht="7.15" customHeight="1" x14ac:dyDescent="0.35"/>
    <row r="44" spans="1:3" x14ac:dyDescent="0.35">
      <c r="A44" t="s">
        <v>58</v>
      </c>
      <c r="B44"/>
    </row>
    <row r="45" spans="1:3" x14ac:dyDescent="0.35">
      <c r="A45" s="354" t="str">
        <f>General!I37</f>
        <v>a</v>
      </c>
      <c r="B45">
        <v>1</v>
      </c>
    </row>
    <row r="46" spans="1:3" x14ac:dyDescent="0.35">
      <c r="A46" s="354" t="str">
        <f>General!I38</f>
        <v>a2</v>
      </c>
      <c r="B46">
        <v>1</v>
      </c>
    </row>
    <row r="47" spans="1:3" x14ac:dyDescent="0.35">
      <c r="A47" s="354" t="str">
        <f>General!I39</f>
        <v>b</v>
      </c>
      <c r="B47">
        <v>1</v>
      </c>
    </row>
    <row r="48" spans="1:3" x14ac:dyDescent="0.35">
      <c r="A48" s="354" t="str">
        <f>General!I40</f>
        <v>bd</v>
      </c>
      <c r="B48">
        <v>1</v>
      </c>
    </row>
    <row r="49" spans="1:2" x14ac:dyDescent="0.35">
      <c r="A49" s="354" t="str">
        <f>General!I41</f>
        <v>f</v>
      </c>
      <c r="B49">
        <v>1</v>
      </c>
    </row>
    <row r="50" spans="1:2" x14ac:dyDescent="0.35">
      <c r="A50" s="354" t="str">
        <f>General!I42</f>
        <v>h</v>
      </c>
      <c r="B50">
        <v>1</v>
      </c>
    </row>
    <row r="51" spans="1:2" x14ac:dyDescent="0.35">
      <c r="A51" s="354" t="str">
        <f>General!I43</f>
        <v>i</v>
      </c>
      <c r="B51">
        <v>1</v>
      </c>
    </row>
    <row r="52" spans="1:2" x14ac:dyDescent="0.35">
      <c r="A52" s="354" t="str">
        <f>General!I44</f>
        <v>j</v>
      </c>
      <c r="B52">
        <v>1</v>
      </c>
    </row>
    <row r="53" spans="1:2" x14ac:dyDescent="0.35">
      <c r="A53" s="354" t="str">
        <f>General!I45</f>
        <v>jc</v>
      </c>
      <c r="B53">
        <v>1</v>
      </c>
    </row>
    <row r="54" spans="1:2" x14ac:dyDescent="0.35">
      <c r="A54" s="354" t="str">
        <f>General!I46</f>
        <v>k</v>
      </c>
      <c r="B54">
        <v>1</v>
      </c>
    </row>
    <row r="55" spans="1:2" x14ac:dyDescent="0.35">
      <c r="A55" s="354" t="str">
        <f>General!I47</f>
        <v>l</v>
      </c>
      <c r="B55">
        <v>1</v>
      </c>
    </row>
    <row r="56" spans="1:2" x14ac:dyDescent="0.35">
      <c r="A56" s="354" t="str">
        <f>General!I48</f>
        <v>m</v>
      </c>
      <c r="B56">
        <v>1</v>
      </c>
    </row>
    <row r="57" spans="1:2" x14ac:dyDescent="0.35">
      <c r="A57" s="354" t="str">
        <f>General!I49</f>
        <v>ms</v>
      </c>
      <c r="B57">
        <v>1</v>
      </c>
    </row>
    <row r="58" spans="1:2" x14ac:dyDescent="0.35">
      <c r="A58" s="354" t="str">
        <f>General!I50</f>
        <v>o</v>
      </c>
      <c r="B58">
        <v>1</v>
      </c>
    </row>
    <row r="59" spans="1:2" x14ac:dyDescent="0.35">
      <c r="A59" s="354" t="str">
        <f>General!I51</f>
        <v>od</v>
      </c>
      <c r="B59">
        <v>1</v>
      </c>
    </row>
    <row r="60" spans="1:2" x14ac:dyDescent="0.35">
      <c r="A60" s="354" t="str">
        <f>General!I52</f>
        <v>of</v>
      </c>
      <c r="B60">
        <v>1</v>
      </c>
    </row>
    <row r="61" spans="1:2" x14ac:dyDescent="0.35">
      <c r="A61" s="354" t="str">
        <f>General!I53</f>
        <v>r</v>
      </c>
      <c r="B61">
        <v>1</v>
      </c>
    </row>
    <row r="62" spans="1:2" x14ac:dyDescent="0.35">
      <c r="A62" s="354" t="str">
        <f>General!I54</f>
        <v>rd</v>
      </c>
      <c r="B62">
        <v>1</v>
      </c>
    </row>
    <row r="63" spans="1:2" x14ac:dyDescent="0.35">
      <c r="A63" s="354" t="str">
        <f>General!I55</f>
        <v>s</v>
      </c>
      <c r="B63">
        <v>1</v>
      </c>
    </row>
    <row r="64" spans="1:2" x14ac:dyDescent="0.35">
      <c r="A64" s="354" t="str">
        <f>General!I56</f>
        <v>sp</v>
      </c>
      <c r="B64">
        <v>1</v>
      </c>
    </row>
    <row r="65" spans="1:2" x14ac:dyDescent="0.35">
      <c r="A65" s="354" t="str">
        <f>General!I57</f>
        <v>t</v>
      </c>
      <c r="B65">
        <v>1</v>
      </c>
    </row>
    <row r="66" spans="1:2" x14ac:dyDescent="0.35">
      <c r="A66" s="354" t="str">
        <f>General!I58</f>
        <v>tc</v>
      </c>
      <c r="B66">
        <v>1</v>
      </c>
    </row>
    <row r="67" spans="1:2" x14ac:dyDescent="0.35">
      <c r="A67" s="354" t="str">
        <f>General!I59</f>
        <v>u</v>
      </c>
      <c r="B67">
        <v>1</v>
      </c>
    </row>
    <row r="68" spans="1:2" x14ac:dyDescent="0.35">
      <c r="A68" s="354" t="str">
        <f>General!I60</f>
        <v>uc</v>
      </c>
      <c r="B68">
        <v>1</v>
      </c>
    </row>
    <row r="69" spans="1:2" x14ac:dyDescent="0.35">
      <c r="A69" s="354" t="str">
        <f>General!I61</f>
        <v>v</v>
      </c>
      <c r="B69">
        <v>1</v>
      </c>
    </row>
    <row r="70" spans="1:2" x14ac:dyDescent="0.35">
      <c r="A70" s="354" t="str">
        <f>General!I62</f>
        <v>w</v>
      </c>
      <c r="B70">
        <v>1</v>
      </c>
    </row>
    <row r="71" spans="1:2" x14ac:dyDescent="0.35">
      <c r="A71" s="354" t="str">
        <f>General!I63</f>
        <v>wd</v>
      </c>
      <c r="B71">
        <v>1</v>
      </c>
    </row>
    <row r="72" spans="1:2" x14ac:dyDescent="0.35">
      <c r="A72" s="354" t="str">
        <f>General!I64</f>
        <v>x</v>
      </c>
      <c r="B72">
        <v>1</v>
      </c>
    </row>
    <row r="73" spans="1:2" x14ac:dyDescent="0.35">
      <c r="A73" s="354" t="str">
        <f>General!I65</f>
        <v>xc</v>
      </c>
      <c r="B73">
        <v>1</v>
      </c>
    </row>
    <row r="74" spans="1:2" x14ac:dyDescent="0.35">
      <c r="A74" s="354" t="str">
        <f>General!I66</f>
        <v>z</v>
      </c>
      <c r="B74">
        <v>1</v>
      </c>
    </row>
    <row r="75" spans="1:2" x14ac:dyDescent="0.35">
      <c r="A75" s="354" t="str">
        <f>General!I67</f>
        <v>zd</v>
      </c>
      <c r="B75">
        <v>1</v>
      </c>
    </row>
    <row r="77" spans="1:2" x14ac:dyDescent="0.35">
      <c r="A77" s="3" t="s">
        <v>38</v>
      </c>
    </row>
    <row r="78" spans="1:2" x14ac:dyDescent="0.35">
      <c r="A78" t="s">
        <v>2809</v>
      </c>
      <c r="B78" s="452">
        <v>1</v>
      </c>
    </row>
    <row r="79" spans="1:2" ht="7.4" customHeight="1" x14ac:dyDescent="0.35"/>
    <row r="80" spans="1:2" x14ac:dyDescent="0.35">
      <c r="A80" t="s">
        <v>2935</v>
      </c>
      <c r="B80">
        <v>63</v>
      </c>
    </row>
    <row r="81" spans="1:5" ht="7.15" customHeight="1" x14ac:dyDescent="0.35"/>
    <row r="82" spans="1:5" x14ac:dyDescent="0.35">
      <c r="A82" t="s">
        <v>40</v>
      </c>
      <c r="B82">
        <v>0.3</v>
      </c>
      <c r="C82" s="1" t="s">
        <v>120</v>
      </c>
    </row>
    <row r="83" spans="1:5" ht="7.15" customHeight="1" x14ac:dyDescent="0.35"/>
    <row r="84" spans="1:5" x14ac:dyDescent="0.35">
      <c r="A84" t="s">
        <v>2945</v>
      </c>
      <c r="B84"/>
    </row>
    <row r="85" spans="1:5" x14ac:dyDescent="0.35">
      <c r="A85" s="354" t="str">
        <f>General!G37</f>
        <v>b</v>
      </c>
      <c r="B85">
        <v>20</v>
      </c>
      <c r="C85" s="1" t="s">
        <v>2946</v>
      </c>
      <c r="E85" s="1" t="s">
        <v>2947</v>
      </c>
    </row>
    <row r="86" spans="1:5" x14ac:dyDescent="0.35">
      <c r="A86" s="354" t="str">
        <f>General!G38</f>
        <v>bd</v>
      </c>
      <c r="B86">
        <v>20</v>
      </c>
      <c r="C86" s="1" t="s">
        <v>2946</v>
      </c>
    </row>
    <row r="87" spans="1:5" x14ac:dyDescent="0.35">
      <c r="A87" s="354" t="str">
        <f>General!G39</f>
        <v>f</v>
      </c>
      <c r="B87">
        <v>12</v>
      </c>
      <c r="C87" s="1" t="s">
        <v>2946</v>
      </c>
    </row>
    <row r="88" spans="1:5" x14ac:dyDescent="0.35">
      <c r="A88" s="354" t="str">
        <f>General!G40</f>
        <v>h</v>
      </c>
      <c r="B88">
        <v>20</v>
      </c>
      <c r="C88" s="1" t="s">
        <v>2946</v>
      </c>
    </row>
    <row r="89" spans="1:5" x14ac:dyDescent="0.35">
      <c r="A89" s="354" t="str">
        <f>General!G41</f>
        <v>i</v>
      </c>
      <c r="B89">
        <v>12</v>
      </c>
      <c r="C89" s="1" t="s">
        <v>2946</v>
      </c>
    </row>
    <row r="90" spans="1:5" x14ac:dyDescent="0.35">
      <c r="A90" s="354" t="str">
        <f>General!G42</f>
        <v>k</v>
      </c>
      <c r="B90">
        <v>12</v>
      </c>
      <c r="C90" s="1" t="s">
        <v>2946</v>
      </c>
    </row>
    <row r="91" spans="1:5" x14ac:dyDescent="0.35">
      <c r="A91" s="354" t="str">
        <f>General!G43</f>
        <v>l</v>
      </c>
      <c r="B91">
        <v>12</v>
      </c>
      <c r="C91" s="1" t="s">
        <v>2946</v>
      </c>
    </row>
    <row r="92" spans="1:5" x14ac:dyDescent="0.35">
      <c r="A92" s="354" t="str">
        <f>General!G44</f>
        <v>ms</v>
      </c>
      <c r="B92">
        <v>12</v>
      </c>
      <c r="C92" s="1" t="s">
        <v>2946</v>
      </c>
    </row>
    <row r="93" spans="1:5" x14ac:dyDescent="0.35">
      <c r="A93" s="354" t="str">
        <f>General!G45</f>
        <v>o</v>
      </c>
      <c r="B93">
        <v>20</v>
      </c>
      <c r="C93" s="1" t="s">
        <v>2946</v>
      </c>
    </row>
    <row r="94" spans="1:5" x14ac:dyDescent="0.35">
      <c r="A94" s="354" t="str">
        <f>General!G46</f>
        <v>od</v>
      </c>
      <c r="B94">
        <v>20</v>
      </c>
      <c r="C94" s="1" t="s">
        <v>2946</v>
      </c>
    </row>
    <row r="95" spans="1:5" x14ac:dyDescent="0.35">
      <c r="A95" s="354" t="str">
        <f>General!G47</f>
        <v>of</v>
      </c>
      <c r="B95">
        <v>20</v>
      </c>
      <c r="C95" s="1" t="s">
        <v>2946</v>
      </c>
    </row>
    <row r="96" spans="1:5" x14ac:dyDescent="0.35">
      <c r="A96" s="354" t="str">
        <f>General!G48</f>
        <v>r</v>
      </c>
      <c r="B96">
        <v>7</v>
      </c>
      <c r="C96" s="1" t="s">
        <v>2946</v>
      </c>
    </row>
    <row r="97" spans="1:3" x14ac:dyDescent="0.35">
      <c r="A97" s="354" t="str">
        <f>General!G49</f>
        <v>rd</v>
      </c>
      <c r="B97">
        <v>7</v>
      </c>
      <c r="C97" s="1" t="s">
        <v>2946</v>
      </c>
    </row>
    <row r="98" spans="1:3" x14ac:dyDescent="0.35">
      <c r="A98" s="354" t="str">
        <f>General!G50</f>
        <v>v</v>
      </c>
      <c r="B98">
        <v>12</v>
      </c>
      <c r="C98" s="1" t="s">
        <v>2946</v>
      </c>
    </row>
    <row r="99" spans="1:3" x14ac:dyDescent="0.35">
      <c r="A99" s="354" t="str">
        <f>General!G51</f>
        <v>w</v>
      </c>
      <c r="B99">
        <v>20</v>
      </c>
      <c r="C99" s="1" t="s">
        <v>2946</v>
      </c>
    </row>
    <row r="100" spans="1:3" x14ac:dyDescent="0.35">
      <c r="A100" s="354" t="str">
        <f>General!G52</f>
        <v>wd</v>
      </c>
      <c r="B100">
        <v>20</v>
      </c>
      <c r="C100" s="1" t="s">
        <v>2946</v>
      </c>
    </row>
    <row r="101" spans="1:3" x14ac:dyDescent="0.35">
      <c r="A101" s="354" t="str">
        <f>General!G53</f>
        <v>z</v>
      </c>
      <c r="B101">
        <v>7</v>
      </c>
      <c r="C101" s="1" t="s">
        <v>2946</v>
      </c>
    </row>
    <row r="102" spans="1:3" x14ac:dyDescent="0.35">
      <c r="A102" s="354" t="str">
        <f>General!G54</f>
        <v>zd</v>
      </c>
      <c r="B102">
        <v>7</v>
      </c>
      <c r="C102" s="1" t="s">
        <v>2946</v>
      </c>
    </row>
    <row r="104" spans="1:3" x14ac:dyDescent="0.35">
      <c r="A104" t="s">
        <v>41</v>
      </c>
      <c r="B104" t="s">
        <v>2934</v>
      </c>
    </row>
    <row r="105" spans="1:3" x14ac:dyDescent="0.35">
      <c r="A105" s="354" t="str">
        <f>General!G37</f>
        <v>b</v>
      </c>
      <c r="B105">
        <v>33</v>
      </c>
    </row>
    <row r="106" spans="1:3" x14ac:dyDescent="0.35">
      <c r="A106" s="354" t="str">
        <f>General!G38</f>
        <v>bd</v>
      </c>
      <c r="B106">
        <v>33</v>
      </c>
    </row>
    <row r="107" spans="1:3" x14ac:dyDescent="0.35">
      <c r="A107" s="354" t="str">
        <f>General!G39</f>
        <v>f</v>
      </c>
      <c r="B107">
        <v>38</v>
      </c>
    </row>
    <row r="108" spans="1:3" x14ac:dyDescent="0.35">
      <c r="A108" s="354" t="str">
        <f>General!G40</f>
        <v>h</v>
      </c>
      <c r="B108">
        <v>33</v>
      </c>
    </row>
    <row r="109" spans="1:3" x14ac:dyDescent="0.35">
      <c r="A109" s="354" t="str">
        <f>General!G41</f>
        <v>i</v>
      </c>
      <c r="B109">
        <v>38</v>
      </c>
    </row>
    <row r="110" spans="1:3" x14ac:dyDescent="0.35">
      <c r="A110" s="354" t="str">
        <f>General!G42</f>
        <v>k</v>
      </c>
      <c r="B110">
        <v>38</v>
      </c>
    </row>
    <row r="111" spans="1:3" x14ac:dyDescent="0.35">
      <c r="A111" s="354" t="str">
        <f>General!G43</f>
        <v>l</v>
      </c>
      <c r="B111">
        <v>33</v>
      </c>
    </row>
    <row r="112" spans="1:3" x14ac:dyDescent="0.35">
      <c r="A112" s="354" t="str">
        <f>General!G44</f>
        <v>ms</v>
      </c>
      <c r="B112">
        <v>33</v>
      </c>
    </row>
    <row r="113" spans="1:3" x14ac:dyDescent="0.35">
      <c r="A113" s="354" t="str">
        <f>General!G45</f>
        <v>o</v>
      </c>
      <c r="B113">
        <v>33</v>
      </c>
    </row>
    <row r="114" spans="1:3" x14ac:dyDescent="0.35">
      <c r="A114" s="354" t="str">
        <f>General!G46</f>
        <v>od</v>
      </c>
      <c r="B114">
        <v>33</v>
      </c>
    </row>
    <row r="115" spans="1:3" x14ac:dyDescent="0.35">
      <c r="A115" s="354" t="str">
        <f>General!G47</f>
        <v>of</v>
      </c>
      <c r="B115">
        <v>33</v>
      </c>
    </row>
    <row r="116" spans="1:3" x14ac:dyDescent="0.35">
      <c r="A116" s="354" t="str">
        <f>General!G48</f>
        <v>r</v>
      </c>
      <c r="B116">
        <v>38</v>
      </c>
    </row>
    <row r="117" spans="1:3" x14ac:dyDescent="0.35">
      <c r="A117" s="354" t="str">
        <f>General!G49</f>
        <v>rd</v>
      </c>
      <c r="B117">
        <v>38</v>
      </c>
    </row>
    <row r="118" spans="1:3" x14ac:dyDescent="0.35">
      <c r="A118" s="354" t="str">
        <f>General!G50</f>
        <v>v</v>
      </c>
      <c r="B118">
        <v>38</v>
      </c>
    </row>
    <row r="119" spans="1:3" x14ac:dyDescent="0.35">
      <c r="A119" s="354" t="str">
        <f>General!G51</f>
        <v>w</v>
      </c>
      <c r="B119">
        <v>33</v>
      </c>
    </row>
    <row r="120" spans="1:3" x14ac:dyDescent="0.35">
      <c r="A120" s="354" t="str">
        <f>General!G52</f>
        <v>wd</v>
      </c>
      <c r="B120">
        <v>33</v>
      </c>
    </row>
    <row r="121" spans="1:3" x14ac:dyDescent="0.35">
      <c r="A121" s="354" t="str">
        <f>General!G53</f>
        <v>z</v>
      </c>
      <c r="B121">
        <v>38</v>
      </c>
    </row>
    <row r="122" spans="1:3" x14ac:dyDescent="0.35">
      <c r="A122" s="354" t="str">
        <f>General!G54</f>
        <v>zd</v>
      </c>
      <c r="B122">
        <v>38</v>
      </c>
    </row>
    <row r="124" spans="1:3" x14ac:dyDescent="0.35">
      <c r="A124" s="3" t="s">
        <v>42</v>
      </c>
    </row>
    <row r="125" spans="1:3" x14ac:dyDescent="0.35">
      <c r="A125" t="s">
        <v>2951</v>
      </c>
      <c r="B125">
        <v>33</v>
      </c>
      <c r="C125" s="1" t="s">
        <v>2953</v>
      </c>
    </row>
    <row r="126" spans="1:3" ht="4.1500000000000004" customHeight="1" x14ac:dyDescent="0.35"/>
    <row r="127" spans="1:3" x14ac:dyDescent="0.35">
      <c r="A127" t="s">
        <v>43</v>
      </c>
      <c r="B127">
        <v>19.8</v>
      </c>
      <c r="C127" s="1" t="s">
        <v>2952</v>
      </c>
    </row>
    <row r="128" spans="1:3" ht="3" customHeight="1" x14ac:dyDescent="0.35"/>
    <row r="129" spans="1:3" x14ac:dyDescent="0.35">
      <c r="A129" t="s">
        <v>44</v>
      </c>
      <c r="B129">
        <v>42.9</v>
      </c>
      <c r="C129" s="1" t="s">
        <v>126</v>
      </c>
    </row>
    <row r="131" spans="1:3" x14ac:dyDescent="0.35">
      <c r="A131" s="3" t="s">
        <v>45</v>
      </c>
    </row>
    <row r="132" spans="1:3" x14ac:dyDescent="0.35">
      <c r="A132" t="s">
        <v>46</v>
      </c>
      <c r="B132">
        <v>11.3</v>
      </c>
      <c r="C132" s="1" t="s">
        <v>124</v>
      </c>
    </row>
    <row r="134" spans="1:3" x14ac:dyDescent="0.35">
      <c r="B134" t="s">
        <v>47</v>
      </c>
      <c r="C134"/>
    </row>
    <row r="135" spans="1:3" x14ac:dyDescent="0.35">
      <c r="A135" s="447" t="s">
        <v>49</v>
      </c>
      <c r="B135" t="str">
        <f>General!K37</f>
        <v>lime</v>
      </c>
      <c r="C135">
        <v>15</v>
      </c>
    </row>
    <row r="136" spans="1:3" x14ac:dyDescent="0.35">
      <c r="A136" s="447" t="s">
        <v>48</v>
      </c>
      <c r="B136" t="str">
        <f>General!K38</f>
        <v>early</v>
      </c>
      <c r="C136">
        <v>25</v>
      </c>
    </row>
    <row r="137" spans="1:3" x14ac:dyDescent="0.35">
      <c r="A137" s="447" t="s">
        <v>76</v>
      </c>
      <c r="B137" t="str">
        <f>General!K39</f>
        <v>at_seeding</v>
      </c>
      <c r="C137"/>
    </row>
    <row r="138" spans="1:3" x14ac:dyDescent="0.35">
      <c r="A138" s="447" t="s">
        <v>2954</v>
      </c>
      <c r="B138" t="str">
        <f>General!K40</f>
        <v>mid</v>
      </c>
      <c r="C138">
        <v>25</v>
      </c>
    </row>
    <row r="139" spans="1:3" x14ac:dyDescent="0.35">
      <c r="A139" s="447" t="s">
        <v>2587</v>
      </c>
      <c r="B139" t="str">
        <f>General!K41</f>
        <v>late</v>
      </c>
      <c r="C139">
        <v>30</v>
      </c>
    </row>
    <row r="141" spans="1:3" x14ac:dyDescent="0.35">
      <c r="A141" t="s">
        <v>50</v>
      </c>
      <c r="B141">
        <v>5</v>
      </c>
    </row>
    <row r="142" spans="1:3" ht="7.15" customHeight="1" x14ac:dyDescent="0.35"/>
    <row r="143" spans="1:3" x14ac:dyDescent="0.35">
      <c r="A143" t="s">
        <v>51</v>
      </c>
      <c r="B143">
        <v>0.25</v>
      </c>
      <c r="C143" s="1" t="s">
        <v>125</v>
      </c>
    </row>
    <row r="144" spans="1:3" ht="7.9" customHeight="1" x14ac:dyDescent="0.35"/>
    <row r="145" spans="1:3" x14ac:dyDescent="0.35">
      <c r="A145" t="s">
        <v>52</v>
      </c>
      <c r="B145">
        <v>20</v>
      </c>
      <c r="C145" s="1" t="s">
        <v>122</v>
      </c>
    </row>
    <row r="146" spans="1:3" ht="5.5" customHeight="1" x14ac:dyDescent="0.35"/>
    <row r="147" spans="1:3" x14ac:dyDescent="0.35">
      <c r="A147" t="s">
        <v>53</v>
      </c>
      <c r="B147">
        <v>0.5</v>
      </c>
    </row>
    <row r="148" spans="1:3" ht="6" customHeight="1" x14ac:dyDescent="0.35"/>
    <row r="149" spans="1:3" x14ac:dyDescent="0.35">
      <c r="A149" t="s">
        <v>54</v>
      </c>
      <c r="B149">
        <v>14.3</v>
      </c>
      <c r="C149" s="1" t="s">
        <v>126</v>
      </c>
    </row>
    <row r="151" spans="1:3" x14ac:dyDescent="0.35">
      <c r="A151" s="3" t="s">
        <v>55</v>
      </c>
    </row>
    <row r="152" spans="1:3" x14ac:dyDescent="0.35">
      <c r="A152" t="s">
        <v>56</v>
      </c>
      <c r="B152">
        <v>2</v>
      </c>
      <c r="C152" s="1" t="s">
        <v>123</v>
      </c>
    </row>
    <row r="153" spans="1:3" ht="6" customHeight="1" x14ac:dyDescent="0.35"/>
    <row r="154" spans="1:3" x14ac:dyDescent="0.35">
      <c r="A154" t="s">
        <v>57</v>
      </c>
      <c r="B154">
        <v>1.3</v>
      </c>
      <c r="C154" s="1" t="s">
        <v>13</v>
      </c>
    </row>
    <row r="156" spans="1:3" x14ac:dyDescent="0.35">
      <c r="A156" s="3" t="s">
        <v>88</v>
      </c>
    </row>
    <row r="157" spans="1:3" x14ac:dyDescent="0.35">
      <c r="A157" s="6"/>
      <c r="B157" s="6" t="s">
        <v>99</v>
      </c>
      <c r="C157" s="6" t="s">
        <v>100</v>
      </c>
    </row>
    <row r="158" spans="1:3" x14ac:dyDescent="0.35">
      <c r="A158" s="355" t="str">
        <f>General!G37</f>
        <v>b</v>
      </c>
      <c r="B158" s="6">
        <v>1</v>
      </c>
      <c r="C158" s="6">
        <v>1</v>
      </c>
    </row>
    <row r="159" spans="1:3" x14ac:dyDescent="0.35">
      <c r="A159" s="355" t="str">
        <f>General!G38</f>
        <v>bd</v>
      </c>
      <c r="B159" s="6">
        <v>1</v>
      </c>
      <c r="C159" s="6">
        <v>1</v>
      </c>
    </row>
    <row r="160" spans="1:3" x14ac:dyDescent="0.35">
      <c r="A160" s="355" t="str">
        <f>General!G39</f>
        <v>f</v>
      </c>
      <c r="B160" s="6">
        <v>1</v>
      </c>
      <c r="C160" s="6">
        <v>1</v>
      </c>
    </row>
    <row r="161" spans="1:3" x14ac:dyDescent="0.35">
      <c r="A161" s="355" t="str">
        <f>General!G40</f>
        <v>h</v>
      </c>
      <c r="B161" s="6">
        <v>1</v>
      </c>
      <c r="C161" s="6">
        <v>3</v>
      </c>
    </row>
    <row r="162" spans="1:3" x14ac:dyDescent="0.35">
      <c r="A162" s="355" t="str">
        <f>General!G41</f>
        <v>i</v>
      </c>
      <c r="B162" s="6">
        <v>1</v>
      </c>
      <c r="C162" s="6">
        <v>1</v>
      </c>
    </row>
    <row r="163" spans="1:3" x14ac:dyDescent="0.35">
      <c r="A163" s="355" t="str">
        <f>General!G42</f>
        <v>k</v>
      </c>
      <c r="B163" s="6">
        <v>1</v>
      </c>
      <c r="C163" s="6">
        <v>1</v>
      </c>
    </row>
    <row r="164" spans="1:3" x14ac:dyDescent="0.35">
      <c r="A164" s="355" t="str">
        <f>General!G43</f>
        <v>l</v>
      </c>
      <c r="B164" s="6">
        <v>1</v>
      </c>
      <c r="C164" s="6">
        <v>1</v>
      </c>
    </row>
    <row r="165" spans="1:3" x14ac:dyDescent="0.35">
      <c r="A165" s="355" t="str">
        <f>General!G44</f>
        <v>ms</v>
      </c>
      <c r="B165" s="6">
        <v>1</v>
      </c>
      <c r="C165" s="6">
        <v>1</v>
      </c>
    </row>
    <row r="166" spans="1:3" x14ac:dyDescent="0.35">
      <c r="A166" s="355" t="str">
        <f>General!G45</f>
        <v>o</v>
      </c>
      <c r="B166" s="6">
        <v>1</v>
      </c>
      <c r="C166" s="6">
        <v>1</v>
      </c>
    </row>
    <row r="167" spans="1:3" x14ac:dyDescent="0.35">
      <c r="A167" s="355" t="str">
        <f>General!G46</f>
        <v>od</v>
      </c>
      <c r="B167" s="6">
        <v>1</v>
      </c>
      <c r="C167" s="6">
        <v>1</v>
      </c>
    </row>
    <row r="168" spans="1:3" x14ac:dyDescent="0.35">
      <c r="A168" s="355" t="str">
        <f>General!G47</f>
        <v>of</v>
      </c>
      <c r="B168" s="6">
        <v>1</v>
      </c>
      <c r="C168" s="6">
        <v>1</v>
      </c>
    </row>
    <row r="169" spans="1:3" x14ac:dyDescent="0.35">
      <c r="A169" s="355" t="str">
        <f>General!G48</f>
        <v>r</v>
      </c>
      <c r="B169" s="6">
        <v>1</v>
      </c>
      <c r="C169" s="6">
        <v>1</v>
      </c>
    </row>
    <row r="170" spans="1:3" x14ac:dyDescent="0.35">
      <c r="A170" s="355" t="str">
        <f>General!G49</f>
        <v>rd</v>
      </c>
      <c r="B170" s="6">
        <v>1</v>
      </c>
      <c r="C170" s="6">
        <v>1</v>
      </c>
    </row>
    <row r="171" spans="1:3" x14ac:dyDescent="0.35">
      <c r="A171" s="355" t="str">
        <f>General!G50</f>
        <v>v</v>
      </c>
      <c r="B171" s="6">
        <v>1</v>
      </c>
      <c r="C171" s="6">
        <v>1</v>
      </c>
    </row>
    <row r="172" spans="1:3" x14ac:dyDescent="0.35">
      <c r="A172" s="355" t="str">
        <f>General!G51</f>
        <v>w</v>
      </c>
      <c r="B172" s="6">
        <v>1</v>
      </c>
      <c r="C172" s="6">
        <v>1</v>
      </c>
    </row>
    <row r="173" spans="1:3" x14ac:dyDescent="0.35">
      <c r="A173" s="355" t="str">
        <f>General!G52</f>
        <v>wd</v>
      </c>
      <c r="B173" s="6">
        <v>1</v>
      </c>
      <c r="C173" s="6">
        <v>1</v>
      </c>
    </row>
    <row r="174" spans="1:3" x14ac:dyDescent="0.35">
      <c r="A174" s="355" t="str">
        <f>General!G53</f>
        <v>z</v>
      </c>
      <c r="B174" s="6">
        <v>1</v>
      </c>
      <c r="C174" s="6">
        <v>1</v>
      </c>
    </row>
    <row r="175" spans="1:3" x14ac:dyDescent="0.35">
      <c r="A175" s="355"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97" workbookViewId="0">
      <selection activeCell="B112" sqref="B112:B113"/>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2180</v>
      </c>
    </row>
    <row r="11" spans="1:6" x14ac:dyDescent="0.35">
      <c r="A11" t="s">
        <v>77</v>
      </c>
      <c r="B11" t="s">
        <v>78</v>
      </c>
      <c r="C11" t="s">
        <v>128</v>
      </c>
      <c r="D11" t="s">
        <v>129</v>
      </c>
      <c r="E11" t="s">
        <v>2943</v>
      </c>
      <c r="F11" t="s">
        <v>2944</v>
      </c>
    </row>
    <row r="12" spans="1:6" x14ac:dyDescent="0.35">
      <c r="A12" t="s">
        <v>130</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127</v>
      </c>
      <c r="B15" s="327">
        <v>10000</v>
      </c>
      <c r="C15" s="44">
        <v>0</v>
      </c>
      <c r="D15" s="44">
        <v>1</v>
      </c>
      <c r="E15" s="44">
        <v>0</v>
      </c>
      <c r="F15" s="44">
        <v>0</v>
      </c>
    </row>
    <row r="16" spans="1:6" x14ac:dyDescent="0.35">
      <c r="A16" t="s">
        <v>131</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3" x14ac:dyDescent="0.35">
      <c r="A33" s="3" t="s">
        <v>36</v>
      </c>
    </row>
    <row r="34" spans="1:3" x14ac:dyDescent="0.35">
      <c r="A34" t="s">
        <v>2808</v>
      </c>
      <c r="B34" s="452">
        <v>1</v>
      </c>
    </row>
    <row r="35" spans="1:3" ht="7.4" customHeight="1" x14ac:dyDescent="0.35"/>
    <row r="36" spans="1:3" ht="4.9000000000000004" customHeight="1" x14ac:dyDescent="0.35"/>
    <row r="37" spans="1:3" x14ac:dyDescent="0.35">
      <c r="A37" t="s">
        <v>2950</v>
      </c>
      <c r="B37">
        <v>4</v>
      </c>
      <c r="C37" s="1" t="s">
        <v>2949</v>
      </c>
    </row>
    <row r="38" spans="1:3" ht="7.15" customHeight="1" x14ac:dyDescent="0.35"/>
    <row r="39" spans="1:3" x14ac:dyDescent="0.35">
      <c r="A39" t="s">
        <v>61</v>
      </c>
      <c r="B39">
        <v>5.41</v>
      </c>
    </row>
    <row r="40" spans="1:3" ht="7.15" customHeight="1" x14ac:dyDescent="0.35"/>
    <row r="41" spans="1:3" x14ac:dyDescent="0.35">
      <c r="A41" t="s">
        <v>60</v>
      </c>
      <c r="B41">
        <v>1.08</v>
      </c>
    </row>
    <row r="42" spans="1:3" ht="7.15" customHeight="1" x14ac:dyDescent="0.35"/>
    <row r="43" spans="1:3" x14ac:dyDescent="0.35">
      <c r="A43" t="s">
        <v>59</v>
      </c>
      <c r="B43">
        <v>2.0699999999999998</v>
      </c>
    </row>
    <row r="44" spans="1:3" ht="7.15" customHeight="1" x14ac:dyDescent="0.35"/>
    <row r="45" spans="1:3" x14ac:dyDescent="0.35">
      <c r="A45" t="s">
        <v>58</v>
      </c>
      <c r="B45"/>
    </row>
    <row r="46" spans="1:3" x14ac:dyDescent="0.35">
      <c r="A46" s="354" t="str">
        <f>General!I37</f>
        <v>a</v>
      </c>
      <c r="B46">
        <v>1</v>
      </c>
    </row>
    <row r="47" spans="1:3" x14ac:dyDescent="0.35">
      <c r="A47" s="354" t="str">
        <f>General!I38</f>
        <v>a2</v>
      </c>
      <c r="B47">
        <v>1</v>
      </c>
    </row>
    <row r="48" spans="1:3" x14ac:dyDescent="0.35">
      <c r="A48" s="354" t="str">
        <f>General!I39</f>
        <v>b</v>
      </c>
      <c r="B48">
        <v>1</v>
      </c>
    </row>
    <row r="49" spans="1:2" x14ac:dyDescent="0.35">
      <c r="A49" s="354" t="str">
        <f>General!I40</f>
        <v>bd</v>
      </c>
      <c r="B49">
        <v>1</v>
      </c>
    </row>
    <row r="50" spans="1:2" x14ac:dyDescent="0.35">
      <c r="A50" s="354" t="str">
        <f>General!I41</f>
        <v>f</v>
      </c>
      <c r="B50">
        <v>1</v>
      </c>
    </row>
    <row r="51" spans="1:2" x14ac:dyDescent="0.35">
      <c r="A51" s="354" t="str">
        <f>General!I42</f>
        <v>h</v>
      </c>
      <c r="B51">
        <v>1</v>
      </c>
    </row>
    <row r="52" spans="1:2" x14ac:dyDescent="0.35">
      <c r="A52" s="354" t="str">
        <f>General!I43</f>
        <v>i</v>
      </c>
      <c r="B52">
        <v>1</v>
      </c>
    </row>
    <row r="53" spans="1:2" x14ac:dyDescent="0.35">
      <c r="A53" s="354" t="str">
        <f>General!I44</f>
        <v>j</v>
      </c>
      <c r="B53">
        <v>1</v>
      </c>
    </row>
    <row r="54" spans="1:2" x14ac:dyDescent="0.35">
      <c r="A54" s="354" t="str">
        <f>General!I45</f>
        <v>jc</v>
      </c>
      <c r="B54">
        <v>1</v>
      </c>
    </row>
    <row r="55" spans="1:2" x14ac:dyDescent="0.35">
      <c r="A55" s="354" t="str">
        <f>General!I46</f>
        <v>k</v>
      </c>
      <c r="B55">
        <v>1</v>
      </c>
    </row>
    <row r="56" spans="1:2" x14ac:dyDescent="0.35">
      <c r="A56" s="354" t="str">
        <f>General!I47</f>
        <v>l</v>
      </c>
      <c r="B56">
        <v>1</v>
      </c>
    </row>
    <row r="57" spans="1:2" x14ac:dyDescent="0.35">
      <c r="A57" s="354" t="str">
        <f>General!I48</f>
        <v>m</v>
      </c>
      <c r="B57">
        <v>1</v>
      </c>
    </row>
    <row r="58" spans="1:2" x14ac:dyDescent="0.35">
      <c r="A58" s="354" t="str">
        <f>General!I49</f>
        <v>ms</v>
      </c>
      <c r="B58">
        <v>1</v>
      </c>
    </row>
    <row r="59" spans="1:2" x14ac:dyDescent="0.35">
      <c r="A59" s="354" t="str">
        <f>General!I50</f>
        <v>o</v>
      </c>
      <c r="B59">
        <v>1</v>
      </c>
    </row>
    <row r="60" spans="1:2" x14ac:dyDescent="0.35">
      <c r="A60" s="354" t="str">
        <f>General!I51</f>
        <v>od</v>
      </c>
      <c r="B60">
        <v>1</v>
      </c>
    </row>
    <row r="61" spans="1:2" x14ac:dyDescent="0.35">
      <c r="A61" s="354" t="str">
        <f>General!I52</f>
        <v>of</v>
      </c>
      <c r="B61">
        <v>1</v>
      </c>
    </row>
    <row r="62" spans="1:2" x14ac:dyDescent="0.35">
      <c r="A62" s="354" t="str">
        <f>General!I53</f>
        <v>r</v>
      </c>
      <c r="B62">
        <v>1</v>
      </c>
    </row>
    <row r="63" spans="1:2" x14ac:dyDescent="0.35">
      <c r="A63" s="354" t="str">
        <f>General!I54</f>
        <v>rd</v>
      </c>
      <c r="B63">
        <v>1</v>
      </c>
    </row>
    <row r="64" spans="1:2" x14ac:dyDescent="0.35">
      <c r="A64" s="354" t="str">
        <f>General!I55</f>
        <v>s</v>
      </c>
      <c r="B64">
        <v>1</v>
      </c>
    </row>
    <row r="65" spans="1:2" x14ac:dyDescent="0.35">
      <c r="A65" s="354" t="str">
        <f>General!I56</f>
        <v>sp</v>
      </c>
      <c r="B65">
        <v>1</v>
      </c>
    </row>
    <row r="66" spans="1:2" x14ac:dyDescent="0.35">
      <c r="A66" s="354" t="str">
        <f>General!I57</f>
        <v>t</v>
      </c>
      <c r="B66">
        <v>1</v>
      </c>
    </row>
    <row r="67" spans="1:2" x14ac:dyDescent="0.35">
      <c r="A67" s="354" t="str">
        <f>General!I58</f>
        <v>tc</v>
      </c>
      <c r="B67">
        <v>1</v>
      </c>
    </row>
    <row r="68" spans="1:2" x14ac:dyDescent="0.35">
      <c r="A68" s="354" t="str">
        <f>General!I59</f>
        <v>u</v>
      </c>
      <c r="B68">
        <v>1</v>
      </c>
    </row>
    <row r="69" spans="1:2" x14ac:dyDescent="0.35">
      <c r="A69" s="354" t="str">
        <f>General!I60</f>
        <v>uc</v>
      </c>
      <c r="B69">
        <v>1</v>
      </c>
    </row>
    <row r="70" spans="1:2" x14ac:dyDescent="0.35">
      <c r="A70" s="354" t="str">
        <f>General!I61</f>
        <v>v</v>
      </c>
      <c r="B70">
        <v>1</v>
      </c>
    </row>
    <row r="71" spans="1:2" x14ac:dyDescent="0.35">
      <c r="A71" s="354" t="str">
        <f>General!I62</f>
        <v>w</v>
      </c>
      <c r="B71">
        <v>1</v>
      </c>
    </row>
    <row r="72" spans="1:2" x14ac:dyDescent="0.35">
      <c r="A72" s="354" t="str">
        <f>General!I63</f>
        <v>wd</v>
      </c>
      <c r="B72">
        <v>1</v>
      </c>
    </row>
    <row r="73" spans="1:2" x14ac:dyDescent="0.35">
      <c r="A73" s="354" t="str">
        <f>General!I64</f>
        <v>x</v>
      </c>
      <c r="B73">
        <v>1</v>
      </c>
    </row>
    <row r="74" spans="1:2" x14ac:dyDescent="0.35">
      <c r="A74" s="354" t="str">
        <f>General!I65</f>
        <v>xc</v>
      </c>
      <c r="B74">
        <v>1</v>
      </c>
    </row>
    <row r="75" spans="1:2" x14ac:dyDescent="0.35">
      <c r="A75" s="354" t="str">
        <f>General!I66</f>
        <v>z</v>
      </c>
      <c r="B75">
        <v>1</v>
      </c>
    </row>
    <row r="76" spans="1:2" x14ac:dyDescent="0.35">
      <c r="A76" s="354" t="str">
        <f>General!I67</f>
        <v>zd</v>
      </c>
      <c r="B76">
        <v>1</v>
      </c>
    </row>
    <row r="78" spans="1:2" x14ac:dyDescent="0.35">
      <c r="A78" s="3" t="s">
        <v>38</v>
      </c>
    </row>
    <row r="79" spans="1:2" x14ac:dyDescent="0.35">
      <c r="A79" t="s">
        <v>2809</v>
      </c>
      <c r="B79" s="452">
        <v>1</v>
      </c>
    </row>
    <row r="80" spans="1:2" ht="7.4" customHeight="1" x14ac:dyDescent="0.35"/>
    <row r="81" spans="1:3" x14ac:dyDescent="0.35">
      <c r="A81" t="s">
        <v>39</v>
      </c>
      <c r="B81">
        <v>50</v>
      </c>
    </row>
    <row r="82" spans="1:3" ht="7.15" customHeight="1" x14ac:dyDescent="0.35"/>
    <row r="83" spans="1:3" x14ac:dyDescent="0.35">
      <c r="A83" t="s">
        <v>40</v>
      </c>
      <c r="B83">
        <v>0.3</v>
      </c>
      <c r="C83" s="1" t="s">
        <v>120</v>
      </c>
    </row>
    <row r="84" spans="1:3" ht="7.15" customHeight="1" x14ac:dyDescent="0.35"/>
    <row r="85" spans="1:3" x14ac:dyDescent="0.35">
      <c r="A85" t="s">
        <v>2945</v>
      </c>
      <c r="B85"/>
    </row>
    <row r="86" spans="1:3" x14ac:dyDescent="0.35">
      <c r="A86" s="354" t="str">
        <f>General!G37</f>
        <v>b</v>
      </c>
      <c r="B86">
        <f>'Mach 1'!B85*0.66</f>
        <v>13.200000000000001</v>
      </c>
      <c r="C86" s="1" t="s">
        <v>2946</v>
      </c>
    </row>
    <row r="87" spans="1:3" x14ac:dyDescent="0.35">
      <c r="A87" s="354" t="str">
        <f>General!G38</f>
        <v>bd</v>
      </c>
      <c r="B87">
        <f>'Mach 1'!B86*0.66</f>
        <v>13.200000000000001</v>
      </c>
      <c r="C87" s="1" t="s">
        <v>2946</v>
      </c>
    </row>
    <row r="88" spans="1:3" x14ac:dyDescent="0.35">
      <c r="A88" s="354" t="str">
        <f>General!G39</f>
        <v>f</v>
      </c>
      <c r="B88">
        <f>'Mach 1'!B87*0.66</f>
        <v>7.92</v>
      </c>
      <c r="C88" s="1" t="s">
        <v>2946</v>
      </c>
    </row>
    <row r="89" spans="1:3" x14ac:dyDescent="0.35">
      <c r="A89" s="354" t="str">
        <f>General!G40</f>
        <v>h</v>
      </c>
      <c r="B89">
        <f>'Mach 1'!B88*0.66</f>
        <v>13.200000000000001</v>
      </c>
      <c r="C89" s="1" t="s">
        <v>2946</v>
      </c>
    </row>
    <row r="90" spans="1:3" x14ac:dyDescent="0.35">
      <c r="A90" s="354" t="str">
        <f>General!G41</f>
        <v>i</v>
      </c>
      <c r="B90">
        <f>'Mach 1'!B89*0.66</f>
        <v>7.92</v>
      </c>
      <c r="C90" s="1" t="s">
        <v>2946</v>
      </c>
    </row>
    <row r="91" spans="1:3" x14ac:dyDescent="0.35">
      <c r="A91" s="354" t="str">
        <f>General!G42</f>
        <v>k</v>
      </c>
      <c r="B91">
        <f>'Mach 1'!B90*0.66</f>
        <v>7.92</v>
      </c>
      <c r="C91" s="1" t="s">
        <v>2946</v>
      </c>
    </row>
    <row r="92" spans="1:3" x14ac:dyDescent="0.35">
      <c r="A92" s="354" t="str">
        <f>General!G43</f>
        <v>l</v>
      </c>
      <c r="B92">
        <f>'Mach 1'!B91*0.66</f>
        <v>7.92</v>
      </c>
      <c r="C92" s="1" t="s">
        <v>2946</v>
      </c>
    </row>
    <row r="93" spans="1:3" x14ac:dyDescent="0.35">
      <c r="A93" s="354" t="str">
        <f>General!G44</f>
        <v>ms</v>
      </c>
      <c r="B93">
        <f>'Mach 1'!B92*0.66</f>
        <v>7.92</v>
      </c>
      <c r="C93" s="1" t="s">
        <v>2946</v>
      </c>
    </row>
    <row r="94" spans="1:3" x14ac:dyDescent="0.35">
      <c r="A94" s="354" t="str">
        <f>General!G45</f>
        <v>o</v>
      </c>
      <c r="B94">
        <f>'Mach 1'!B93*0.66</f>
        <v>13.200000000000001</v>
      </c>
      <c r="C94" s="1" t="s">
        <v>2946</v>
      </c>
    </row>
    <row r="95" spans="1:3" x14ac:dyDescent="0.35">
      <c r="A95" s="354" t="str">
        <f>General!G46</f>
        <v>od</v>
      </c>
      <c r="B95">
        <f>'Mach 1'!B94*0.66</f>
        <v>13.200000000000001</v>
      </c>
      <c r="C95" s="1" t="s">
        <v>2946</v>
      </c>
    </row>
    <row r="96" spans="1:3" x14ac:dyDescent="0.35">
      <c r="A96" s="354" t="str">
        <f>General!G47</f>
        <v>of</v>
      </c>
      <c r="B96">
        <f>'Mach 1'!B95*0.66</f>
        <v>13.200000000000001</v>
      </c>
      <c r="C96" s="1" t="s">
        <v>2946</v>
      </c>
    </row>
    <row r="97" spans="1:3" x14ac:dyDescent="0.35">
      <c r="A97" s="354" t="str">
        <f>General!G48</f>
        <v>r</v>
      </c>
      <c r="B97">
        <f>'Mach 1'!B96*0.66</f>
        <v>4.62</v>
      </c>
      <c r="C97" s="1" t="s">
        <v>2946</v>
      </c>
    </row>
    <row r="98" spans="1:3" x14ac:dyDescent="0.35">
      <c r="A98" s="354" t="str">
        <f>General!G49</f>
        <v>rd</v>
      </c>
      <c r="B98">
        <f>'Mach 1'!B97*0.66</f>
        <v>4.62</v>
      </c>
      <c r="C98" s="1" t="s">
        <v>2946</v>
      </c>
    </row>
    <row r="99" spans="1:3" x14ac:dyDescent="0.35">
      <c r="A99" s="354" t="str">
        <f>General!G50</f>
        <v>v</v>
      </c>
      <c r="B99">
        <f>'Mach 1'!B98*0.66</f>
        <v>7.92</v>
      </c>
      <c r="C99" s="1" t="s">
        <v>2946</v>
      </c>
    </row>
    <row r="100" spans="1:3" x14ac:dyDescent="0.35">
      <c r="A100" s="354" t="str">
        <f>General!G51</f>
        <v>w</v>
      </c>
      <c r="B100">
        <f>'Mach 1'!B99*0.66</f>
        <v>13.200000000000001</v>
      </c>
      <c r="C100" s="1" t="s">
        <v>2946</v>
      </c>
    </row>
    <row r="101" spans="1:3" x14ac:dyDescent="0.35">
      <c r="A101" s="354" t="str">
        <f>General!G52</f>
        <v>wd</v>
      </c>
      <c r="B101">
        <f>'Mach 1'!B100*0.66</f>
        <v>13.200000000000001</v>
      </c>
      <c r="C101" s="1" t="s">
        <v>2946</v>
      </c>
    </row>
    <row r="102" spans="1:3" x14ac:dyDescent="0.35">
      <c r="A102" s="354" t="str">
        <f>General!G53</f>
        <v>z</v>
      </c>
      <c r="B102">
        <f>'Mach 1'!B101*0.66</f>
        <v>4.62</v>
      </c>
      <c r="C102" s="1" t="s">
        <v>2946</v>
      </c>
    </row>
    <row r="103" spans="1:3" x14ac:dyDescent="0.35">
      <c r="A103" s="354" t="str">
        <f>General!G54</f>
        <v>zd</v>
      </c>
      <c r="B103">
        <f>'Mach 1'!B102*0.66</f>
        <v>4.62</v>
      </c>
      <c r="C103" s="1" t="s">
        <v>2946</v>
      </c>
    </row>
    <row r="105" spans="1:3" x14ac:dyDescent="0.35">
      <c r="A105" t="s">
        <v>41</v>
      </c>
      <c r="B105"/>
    </row>
    <row r="106" spans="1:3" x14ac:dyDescent="0.35">
      <c r="A106" s="354" t="str">
        <f>General!G37</f>
        <v>b</v>
      </c>
      <c r="B106">
        <v>17.5</v>
      </c>
    </row>
    <row r="107" spans="1:3" x14ac:dyDescent="0.35">
      <c r="A107" s="354" t="str">
        <f>General!G38</f>
        <v>bd</v>
      </c>
      <c r="B107">
        <v>17.5</v>
      </c>
    </row>
    <row r="108" spans="1:3" x14ac:dyDescent="0.35">
      <c r="A108" s="354" t="str">
        <f>General!G39</f>
        <v>f</v>
      </c>
      <c r="B108">
        <v>22.5</v>
      </c>
    </row>
    <row r="109" spans="1:3" x14ac:dyDescent="0.35">
      <c r="A109" s="354" t="str">
        <f>General!G40</f>
        <v>h</v>
      </c>
      <c r="B109">
        <v>17.5</v>
      </c>
    </row>
    <row r="110" spans="1:3" x14ac:dyDescent="0.35">
      <c r="A110" s="354" t="str">
        <f>General!G41</f>
        <v>i</v>
      </c>
      <c r="B110">
        <v>22.5</v>
      </c>
    </row>
    <row r="111" spans="1:3" x14ac:dyDescent="0.35">
      <c r="A111" s="354" t="str">
        <f>General!G42</f>
        <v>k</v>
      </c>
      <c r="B111">
        <v>22.5</v>
      </c>
    </row>
    <row r="112" spans="1:3" x14ac:dyDescent="0.35">
      <c r="A112" s="354" t="str">
        <f>General!G43</f>
        <v>l</v>
      </c>
      <c r="B112">
        <v>22.5</v>
      </c>
    </row>
    <row r="113" spans="1:3" x14ac:dyDescent="0.35">
      <c r="A113" s="354" t="str">
        <f>General!G44</f>
        <v>ms</v>
      </c>
      <c r="B113">
        <v>22.5</v>
      </c>
    </row>
    <row r="114" spans="1:3" x14ac:dyDescent="0.35">
      <c r="A114" s="354" t="str">
        <f>General!G45</f>
        <v>o</v>
      </c>
      <c r="B114">
        <v>17.5</v>
      </c>
    </row>
    <row r="115" spans="1:3" x14ac:dyDescent="0.35">
      <c r="A115" s="354" t="str">
        <f>General!G46</f>
        <v>od</v>
      </c>
      <c r="B115">
        <v>17.5</v>
      </c>
    </row>
    <row r="116" spans="1:3" x14ac:dyDescent="0.35">
      <c r="A116" s="354" t="str">
        <f>General!G47</f>
        <v>of</v>
      </c>
      <c r="B116">
        <v>17.5</v>
      </c>
    </row>
    <row r="117" spans="1:3" x14ac:dyDescent="0.35">
      <c r="A117" s="354" t="str">
        <f>General!G48</f>
        <v>r</v>
      </c>
      <c r="B117">
        <v>22.5</v>
      </c>
    </row>
    <row r="118" spans="1:3" x14ac:dyDescent="0.35">
      <c r="A118" s="354" t="str">
        <f>General!G49</f>
        <v>rd</v>
      </c>
      <c r="B118">
        <v>22.5</v>
      </c>
    </row>
    <row r="119" spans="1:3" x14ac:dyDescent="0.35">
      <c r="A119" s="354" t="str">
        <f>General!G50</f>
        <v>v</v>
      </c>
      <c r="B119">
        <v>22.5</v>
      </c>
    </row>
    <row r="120" spans="1:3" x14ac:dyDescent="0.35">
      <c r="A120" s="354" t="str">
        <f>General!G51</f>
        <v>w</v>
      </c>
      <c r="B120">
        <v>17.5</v>
      </c>
    </row>
    <row r="121" spans="1:3" x14ac:dyDescent="0.35">
      <c r="A121" s="354" t="str">
        <f>General!G52</f>
        <v>wd</v>
      </c>
      <c r="B121">
        <v>17.5</v>
      </c>
    </row>
    <row r="122" spans="1:3" x14ac:dyDescent="0.35">
      <c r="A122" s="354" t="str">
        <f>General!G53</f>
        <v>z</v>
      </c>
      <c r="B122">
        <v>22.5</v>
      </c>
    </row>
    <row r="123" spans="1:3" x14ac:dyDescent="0.35">
      <c r="A123" s="354" t="str">
        <f>General!G54</f>
        <v>zd</v>
      </c>
      <c r="B123">
        <v>22.5</v>
      </c>
    </row>
    <row r="125" spans="1:3" x14ac:dyDescent="0.35">
      <c r="A125" s="3" t="s">
        <v>42</v>
      </c>
    </row>
    <row r="126" spans="1:3" x14ac:dyDescent="0.35">
      <c r="A126" t="s">
        <v>2951</v>
      </c>
      <c r="B126">
        <v>23</v>
      </c>
      <c r="C126" s="1" t="s">
        <v>2953</v>
      </c>
    </row>
    <row r="127" spans="1:3" ht="4.1500000000000004" customHeight="1" x14ac:dyDescent="0.35"/>
    <row r="128" spans="1:3" x14ac:dyDescent="0.35">
      <c r="A128" t="s">
        <v>43</v>
      </c>
      <c r="B128">
        <v>18</v>
      </c>
      <c r="C128" s="1" t="s">
        <v>2952</v>
      </c>
    </row>
    <row r="129" spans="1:3" ht="3" customHeight="1" x14ac:dyDescent="0.35"/>
    <row r="130" spans="1:3" x14ac:dyDescent="0.35">
      <c r="A130" t="s">
        <v>44</v>
      </c>
      <c r="B130">
        <v>42.9</v>
      </c>
      <c r="C130" s="1" t="s">
        <v>126</v>
      </c>
    </row>
    <row r="132" spans="1:3" x14ac:dyDescent="0.35">
      <c r="A132" s="3" t="s">
        <v>45</v>
      </c>
    </row>
    <row r="133" spans="1:3" x14ac:dyDescent="0.35">
      <c r="A133" t="s">
        <v>46</v>
      </c>
      <c r="B133">
        <v>11.3</v>
      </c>
      <c r="C133" s="1" t="s">
        <v>124</v>
      </c>
    </row>
    <row r="135" spans="1:3" x14ac:dyDescent="0.35">
      <c r="B135" t="s">
        <v>47</v>
      </c>
      <c r="C135"/>
    </row>
    <row r="136" spans="1:3" x14ac:dyDescent="0.35">
      <c r="A136" s="447" t="s">
        <v>49</v>
      </c>
      <c r="B136" t="str">
        <f>General!K37</f>
        <v>lime</v>
      </c>
      <c r="C136">
        <v>15</v>
      </c>
    </row>
    <row r="137" spans="1:3" x14ac:dyDescent="0.35">
      <c r="A137" s="447" t="s">
        <v>48</v>
      </c>
      <c r="B137" t="str">
        <f>General!K38</f>
        <v>early</v>
      </c>
      <c r="C137">
        <v>20</v>
      </c>
    </row>
    <row r="138" spans="1:3" x14ac:dyDescent="0.35">
      <c r="A138" s="447" t="s">
        <v>76</v>
      </c>
      <c r="B138" t="str">
        <f>General!K39</f>
        <v>at_seeding</v>
      </c>
      <c r="C138"/>
    </row>
    <row r="139" spans="1:3" x14ac:dyDescent="0.35">
      <c r="A139" s="447" t="s">
        <v>2954</v>
      </c>
      <c r="B139" t="str">
        <f>General!K40</f>
        <v>mid</v>
      </c>
      <c r="C139">
        <v>20</v>
      </c>
    </row>
    <row r="140" spans="1:3" x14ac:dyDescent="0.35">
      <c r="A140" s="447" t="s">
        <v>2587</v>
      </c>
      <c r="B140" t="str">
        <f>General!K41</f>
        <v>late</v>
      </c>
      <c r="C140">
        <v>25</v>
      </c>
    </row>
    <row r="142" spans="1:3" x14ac:dyDescent="0.35">
      <c r="A142" t="s">
        <v>50</v>
      </c>
      <c r="B142">
        <v>5</v>
      </c>
    </row>
    <row r="143" spans="1:3" ht="7.15" customHeight="1" x14ac:dyDescent="0.35"/>
    <row r="144" spans="1:3" x14ac:dyDescent="0.35">
      <c r="A144" t="s">
        <v>51</v>
      </c>
      <c r="B144">
        <v>0.25</v>
      </c>
      <c r="C144" s="1" t="s">
        <v>125</v>
      </c>
    </row>
    <row r="145" spans="1:3" ht="7.9" customHeight="1" x14ac:dyDescent="0.35"/>
    <row r="146" spans="1:3" x14ac:dyDescent="0.35">
      <c r="A146" t="s">
        <v>52</v>
      </c>
      <c r="B146">
        <v>20</v>
      </c>
      <c r="C146" s="1" t="s">
        <v>122</v>
      </c>
    </row>
    <row r="147" spans="1:3" ht="5.5" customHeight="1" x14ac:dyDescent="0.35"/>
    <row r="148" spans="1:3" x14ac:dyDescent="0.35">
      <c r="A148" t="s">
        <v>53</v>
      </c>
      <c r="B148">
        <v>0.3</v>
      </c>
    </row>
    <row r="149" spans="1:3" ht="6" customHeight="1" x14ac:dyDescent="0.35"/>
    <row r="150" spans="1:3" x14ac:dyDescent="0.35">
      <c r="A150" t="s">
        <v>54</v>
      </c>
      <c r="B150">
        <v>14.3</v>
      </c>
      <c r="C150" s="1" t="s">
        <v>126</v>
      </c>
    </row>
    <row r="152" spans="1:3" x14ac:dyDescent="0.35">
      <c r="A152" s="3" t="s">
        <v>55</v>
      </c>
    </row>
    <row r="153" spans="1:3" x14ac:dyDescent="0.35">
      <c r="A153" t="s">
        <v>56</v>
      </c>
      <c r="B153">
        <v>2</v>
      </c>
      <c r="C153" s="1" t="s">
        <v>123</v>
      </c>
    </row>
    <row r="154" spans="1:3" ht="6" customHeight="1" x14ac:dyDescent="0.35"/>
    <row r="155" spans="1:3" x14ac:dyDescent="0.35">
      <c r="A155" t="s">
        <v>57</v>
      </c>
      <c r="B155">
        <v>1.3</v>
      </c>
      <c r="C155" s="1" t="s">
        <v>13</v>
      </c>
    </row>
    <row r="157" spans="1:3" x14ac:dyDescent="0.35">
      <c r="A157" s="3" t="s">
        <v>88</v>
      </c>
    </row>
    <row r="158" spans="1:3" x14ac:dyDescent="0.35">
      <c r="A158" s="6"/>
      <c r="B158" s="6" t="s">
        <v>99</v>
      </c>
      <c r="C158" s="6" t="s">
        <v>100</v>
      </c>
    </row>
    <row r="159" spans="1:3" x14ac:dyDescent="0.35">
      <c r="A159" s="355" t="str">
        <f>General!G37</f>
        <v>b</v>
      </c>
      <c r="B159" s="6">
        <v>1</v>
      </c>
      <c r="C159" s="6">
        <v>1</v>
      </c>
    </row>
    <row r="160" spans="1:3" x14ac:dyDescent="0.35">
      <c r="A160" s="355" t="str">
        <f>General!G38</f>
        <v>bd</v>
      </c>
      <c r="B160" s="6">
        <v>1</v>
      </c>
      <c r="C160" s="6">
        <v>1</v>
      </c>
    </row>
    <row r="161" spans="1:3" x14ac:dyDescent="0.35">
      <c r="A161" s="355" t="str">
        <f>General!G39</f>
        <v>f</v>
      </c>
      <c r="B161" s="6">
        <v>1</v>
      </c>
      <c r="C161" s="6">
        <v>1</v>
      </c>
    </row>
    <row r="162" spans="1:3" x14ac:dyDescent="0.35">
      <c r="A162" s="355" t="str">
        <f>General!G40</f>
        <v>h</v>
      </c>
      <c r="B162" s="6">
        <v>1</v>
      </c>
      <c r="C162" s="6">
        <v>3</v>
      </c>
    </row>
    <row r="163" spans="1:3" x14ac:dyDescent="0.35">
      <c r="A163" s="355" t="str">
        <f>General!G41</f>
        <v>i</v>
      </c>
      <c r="B163" s="6">
        <v>1</v>
      </c>
      <c r="C163" s="6">
        <v>1</v>
      </c>
    </row>
    <row r="164" spans="1:3" x14ac:dyDescent="0.35">
      <c r="A164" s="355" t="str">
        <f>General!G42</f>
        <v>k</v>
      </c>
      <c r="B164" s="6">
        <v>1</v>
      </c>
      <c r="C164" s="6">
        <v>1</v>
      </c>
    </row>
    <row r="165" spans="1:3" x14ac:dyDescent="0.35">
      <c r="A165" s="355" t="str">
        <f>General!G43</f>
        <v>l</v>
      </c>
      <c r="B165" s="6">
        <v>1</v>
      </c>
      <c r="C165" s="6">
        <v>1</v>
      </c>
    </row>
    <row r="166" spans="1:3" x14ac:dyDescent="0.35">
      <c r="A166" s="355" t="str">
        <f>General!G44</f>
        <v>ms</v>
      </c>
      <c r="B166" s="6">
        <v>1</v>
      </c>
      <c r="C166" s="6">
        <v>1</v>
      </c>
    </row>
    <row r="167" spans="1:3" x14ac:dyDescent="0.35">
      <c r="A167" s="355" t="str">
        <f>General!G45</f>
        <v>o</v>
      </c>
      <c r="B167" s="6">
        <v>1</v>
      </c>
      <c r="C167" s="6">
        <v>1</v>
      </c>
    </row>
    <row r="168" spans="1:3" x14ac:dyDescent="0.35">
      <c r="A168" s="355" t="str">
        <f>General!G46</f>
        <v>od</v>
      </c>
      <c r="B168" s="6">
        <v>1</v>
      </c>
      <c r="C168" s="6">
        <v>1</v>
      </c>
    </row>
    <row r="169" spans="1:3" x14ac:dyDescent="0.35">
      <c r="A169" s="355" t="str">
        <f>General!G47</f>
        <v>of</v>
      </c>
      <c r="B169" s="6">
        <v>1</v>
      </c>
      <c r="C169" s="6">
        <v>1</v>
      </c>
    </row>
    <row r="170" spans="1:3" x14ac:dyDescent="0.35">
      <c r="A170" s="355" t="str">
        <f>General!G48</f>
        <v>r</v>
      </c>
      <c r="B170" s="6">
        <v>1</v>
      </c>
      <c r="C170" s="6">
        <v>1</v>
      </c>
    </row>
    <row r="171" spans="1:3" x14ac:dyDescent="0.35">
      <c r="A171" s="355" t="str">
        <f>General!G49</f>
        <v>rd</v>
      </c>
      <c r="B171" s="6">
        <v>1</v>
      </c>
      <c r="C171" s="6">
        <v>1</v>
      </c>
    </row>
    <row r="172" spans="1:3" x14ac:dyDescent="0.35">
      <c r="A172" s="355" t="str">
        <f>General!G50</f>
        <v>v</v>
      </c>
      <c r="B172" s="6">
        <v>1</v>
      </c>
      <c r="C172" s="6">
        <v>1</v>
      </c>
    </row>
    <row r="173" spans="1:3" x14ac:dyDescent="0.35">
      <c r="A173" s="355" t="str">
        <f>General!G51</f>
        <v>w</v>
      </c>
      <c r="B173" s="6">
        <v>1</v>
      </c>
      <c r="C173" s="6">
        <v>1</v>
      </c>
    </row>
    <row r="174" spans="1:3" x14ac:dyDescent="0.35">
      <c r="A174" s="355" t="str">
        <f>General!G52</f>
        <v>wd</v>
      </c>
      <c r="B174" s="6">
        <v>1</v>
      </c>
      <c r="C174" s="6">
        <v>1</v>
      </c>
    </row>
    <row r="175" spans="1:3" x14ac:dyDescent="0.35">
      <c r="A175" s="355" t="str">
        <f>General!G53</f>
        <v>z</v>
      </c>
      <c r="B175" s="6">
        <v>1</v>
      </c>
      <c r="C175" s="6">
        <v>1</v>
      </c>
    </row>
    <row r="176" spans="1:3" x14ac:dyDescent="0.35">
      <c r="A176" s="355"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75" workbookViewId="0">
      <selection activeCell="B91" sqref="B91:B92"/>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2180</v>
      </c>
    </row>
    <row r="11" spans="1:17" x14ac:dyDescent="0.35">
      <c r="A11" t="s">
        <v>77</v>
      </c>
      <c r="B11" t="s">
        <v>78</v>
      </c>
      <c r="C11" t="s">
        <v>128</v>
      </c>
      <c r="D11" t="s">
        <v>129</v>
      </c>
      <c r="E11" t="s">
        <v>2943</v>
      </c>
      <c r="F11" t="s">
        <v>2944</v>
      </c>
    </row>
    <row r="12" spans="1:17" x14ac:dyDescent="0.35">
      <c r="A12" t="s">
        <v>2812</v>
      </c>
      <c r="B12">
        <v>250000</v>
      </c>
      <c r="C12" s="44">
        <v>1</v>
      </c>
      <c r="D12" s="44">
        <v>0</v>
      </c>
      <c r="E12" s="44">
        <v>0</v>
      </c>
      <c r="F12" s="44">
        <v>0</v>
      </c>
    </row>
    <row r="13" spans="1:17" x14ac:dyDescent="0.35">
      <c r="A13" t="s">
        <v>2810</v>
      </c>
      <c r="B13">
        <v>115000</v>
      </c>
      <c r="C13" s="44">
        <v>1</v>
      </c>
      <c r="D13" s="44">
        <v>0</v>
      </c>
      <c r="E13" s="44">
        <v>0</v>
      </c>
      <c r="F13" s="44">
        <v>0</v>
      </c>
    </row>
    <row r="14" spans="1:17" x14ac:dyDescent="0.35">
      <c r="A14" t="s">
        <v>2811</v>
      </c>
      <c r="B14">
        <v>500000</v>
      </c>
      <c r="C14" s="44">
        <v>0</v>
      </c>
      <c r="D14" s="44">
        <v>1</v>
      </c>
      <c r="E14" s="44">
        <v>0</v>
      </c>
      <c r="F14" s="44">
        <v>0</v>
      </c>
    </row>
    <row r="15" spans="1:17" x14ac:dyDescent="0.35">
      <c r="A15" t="s">
        <v>127</v>
      </c>
      <c r="B15">
        <v>50000</v>
      </c>
      <c r="C15" s="44">
        <v>0</v>
      </c>
      <c r="D15" s="44">
        <v>1</v>
      </c>
      <c r="E15" s="44">
        <v>0</v>
      </c>
      <c r="F15" s="44">
        <v>0</v>
      </c>
      <c r="Q15" s="498"/>
    </row>
    <row r="16" spans="1:17" x14ac:dyDescent="0.35">
      <c r="A16" t="s">
        <v>2813</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50000</v>
      </c>
      <c r="C18" s="44">
        <v>0</v>
      </c>
      <c r="D18" s="44">
        <v>0</v>
      </c>
      <c r="E18" s="44">
        <v>0</v>
      </c>
      <c r="F18" s="44">
        <v>1</v>
      </c>
    </row>
    <row r="19" spans="1:6" x14ac:dyDescent="0.35">
      <c r="A19" t="s">
        <v>26</v>
      </c>
      <c r="B19">
        <v>15000</v>
      </c>
      <c r="C19" s="44">
        <v>0</v>
      </c>
      <c r="D19" s="44">
        <v>0</v>
      </c>
      <c r="E19" s="44">
        <v>0</v>
      </c>
      <c r="F19" s="44">
        <v>0</v>
      </c>
    </row>
    <row r="20" spans="1:6" x14ac:dyDescent="0.35">
      <c r="A20" t="s">
        <v>27</v>
      </c>
      <c r="B20">
        <v>50000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2815</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2814</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1865000</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4" x14ac:dyDescent="0.35">
      <c r="A33" s="3" t="s">
        <v>36</v>
      </c>
    </row>
    <row r="34" spans="1:4" x14ac:dyDescent="0.35">
      <c r="A34" t="s">
        <v>2808</v>
      </c>
      <c r="B34" s="452">
        <v>1</v>
      </c>
    </row>
    <row r="35" spans="1:4" ht="7.4" customHeight="1" x14ac:dyDescent="0.35"/>
    <row r="36" spans="1:4" x14ac:dyDescent="0.35">
      <c r="A36" t="s">
        <v>2950</v>
      </c>
      <c r="B36">
        <v>12.5</v>
      </c>
      <c r="C36" s="1" t="s">
        <v>2949</v>
      </c>
      <c r="D36" s="1" t="s">
        <v>3073</v>
      </c>
    </row>
    <row r="37" spans="1:4" ht="7.15" customHeight="1" x14ac:dyDescent="0.35"/>
    <row r="38" spans="1:4" x14ac:dyDescent="0.35">
      <c r="A38" t="s">
        <v>61</v>
      </c>
      <c r="B38">
        <v>5.41</v>
      </c>
    </row>
    <row r="39" spans="1:4" ht="7.15" customHeight="1" x14ac:dyDescent="0.35"/>
    <row r="40" spans="1:4" x14ac:dyDescent="0.35">
      <c r="A40" t="s">
        <v>60</v>
      </c>
      <c r="B40">
        <v>1.08</v>
      </c>
    </row>
    <row r="41" spans="1:4" ht="7.15" customHeight="1" x14ac:dyDescent="0.35"/>
    <row r="42" spans="1:4" x14ac:dyDescent="0.35">
      <c r="A42" t="s">
        <v>59</v>
      </c>
      <c r="B42">
        <v>2.0699999999999998</v>
      </c>
    </row>
    <row r="43" spans="1:4" ht="7.15" customHeight="1" x14ac:dyDescent="0.35"/>
    <row r="44" spans="1:4" x14ac:dyDescent="0.35">
      <c r="A44" t="s">
        <v>58</v>
      </c>
      <c r="B44"/>
    </row>
    <row r="45" spans="1:4" x14ac:dyDescent="0.35">
      <c r="A45" s="354" t="str">
        <f>General!I37</f>
        <v>a</v>
      </c>
      <c r="B45">
        <v>1</v>
      </c>
    </row>
    <row r="46" spans="1:4" x14ac:dyDescent="0.35">
      <c r="A46" s="354" t="str">
        <f>General!I38</f>
        <v>a2</v>
      </c>
      <c r="B46">
        <v>1</v>
      </c>
    </row>
    <row r="47" spans="1:4" x14ac:dyDescent="0.35">
      <c r="A47" s="354" t="str">
        <f>General!I39</f>
        <v>b</v>
      </c>
      <c r="B47">
        <v>1</v>
      </c>
    </row>
    <row r="48" spans="1:4" x14ac:dyDescent="0.35">
      <c r="A48" s="354" t="str">
        <f>General!I40</f>
        <v>bd</v>
      </c>
      <c r="B48">
        <v>1</v>
      </c>
    </row>
    <row r="49" spans="1:2" x14ac:dyDescent="0.35">
      <c r="A49" s="354" t="str">
        <f>General!I41</f>
        <v>f</v>
      </c>
      <c r="B49">
        <v>1</v>
      </c>
    </row>
    <row r="50" spans="1:2" x14ac:dyDescent="0.35">
      <c r="A50" s="354" t="str">
        <f>General!I42</f>
        <v>h</v>
      </c>
      <c r="B50">
        <v>1</v>
      </c>
    </row>
    <row r="51" spans="1:2" x14ac:dyDescent="0.35">
      <c r="A51" s="354" t="str">
        <f>General!I43</f>
        <v>i</v>
      </c>
      <c r="B51">
        <v>1</v>
      </c>
    </row>
    <row r="52" spans="1:2" x14ac:dyDescent="0.35">
      <c r="A52" s="354" t="str">
        <f>General!I44</f>
        <v>j</v>
      </c>
      <c r="B52">
        <v>1</v>
      </c>
    </row>
    <row r="53" spans="1:2" x14ac:dyDescent="0.35">
      <c r="A53" s="354" t="str">
        <f>General!I45</f>
        <v>jc</v>
      </c>
      <c r="B53">
        <v>1</v>
      </c>
    </row>
    <row r="54" spans="1:2" x14ac:dyDescent="0.35">
      <c r="A54" s="354" t="str">
        <f>General!I46</f>
        <v>k</v>
      </c>
      <c r="B54">
        <v>1</v>
      </c>
    </row>
    <row r="55" spans="1:2" x14ac:dyDescent="0.35">
      <c r="A55" s="354" t="str">
        <f>General!I47</f>
        <v>l</v>
      </c>
      <c r="B55">
        <v>1</v>
      </c>
    </row>
    <row r="56" spans="1:2" x14ac:dyDescent="0.35">
      <c r="A56" s="354" t="str">
        <f>General!I48</f>
        <v>m</v>
      </c>
      <c r="B56">
        <v>1</v>
      </c>
    </row>
    <row r="57" spans="1:2" x14ac:dyDescent="0.35">
      <c r="A57" s="354" t="str">
        <f>General!I49</f>
        <v>ms</v>
      </c>
      <c r="B57">
        <v>1</v>
      </c>
    </row>
    <row r="58" spans="1:2" x14ac:dyDescent="0.35">
      <c r="A58" s="354" t="str">
        <f>General!I50</f>
        <v>o</v>
      </c>
      <c r="B58">
        <v>1</v>
      </c>
    </row>
    <row r="59" spans="1:2" x14ac:dyDescent="0.35">
      <c r="A59" s="354" t="str">
        <f>General!I51</f>
        <v>od</v>
      </c>
      <c r="B59">
        <v>1</v>
      </c>
    </row>
    <row r="60" spans="1:2" x14ac:dyDescent="0.35">
      <c r="A60" s="354" t="str">
        <f>General!I52</f>
        <v>of</v>
      </c>
      <c r="B60">
        <v>1</v>
      </c>
    </row>
    <row r="61" spans="1:2" x14ac:dyDescent="0.35">
      <c r="A61" s="354" t="str">
        <f>General!I53</f>
        <v>r</v>
      </c>
      <c r="B61">
        <v>1</v>
      </c>
    </row>
    <row r="62" spans="1:2" x14ac:dyDescent="0.35">
      <c r="A62" s="354" t="str">
        <f>General!I54</f>
        <v>rd</v>
      </c>
      <c r="B62">
        <v>1</v>
      </c>
    </row>
    <row r="63" spans="1:2" x14ac:dyDescent="0.35">
      <c r="A63" s="354" t="str">
        <f>General!I55</f>
        <v>s</v>
      </c>
      <c r="B63">
        <v>1</v>
      </c>
    </row>
    <row r="64" spans="1:2" x14ac:dyDescent="0.35">
      <c r="A64" s="354" t="str">
        <f>General!I56</f>
        <v>sp</v>
      </c>
      <c r="B64">
        <v>1</v>
      </c>
    </row>
    <row r="65" spans="1:2" x14ac:dyDescent="0.35">
      <c r="A65" s="354" t="str">
        <f>General!I57</f>
        <v>t</v>
      </c>
      <c r="B65">
        <v>1</v>
      </c>
    </row>
    <row r="66" spans="1:2" x14ac:dyDescent="0.35">
      <c r="A66" s="354" t="str">
        <f>General!I58</f>
        <v>tc</v>
      </c>
      <c r="B66">
        <v>1</v>
      </c>
    </row>
    <row r="67" spans="1:2" x14ac:dyDescent="0.35">
      <c r="A67" s="354" t="str">
        <f>General!I59</f>
        <v>u</v>
      </c>
      <c r="B67">
        <v>1</v>
      </c>
    </row>
    <row r="68" spans="1:2" x14ac:dyDescent="0.35">
      <c r="A68" s="354" t="str">
        <f>General!I60</f>
        <v>uc</v>
      </c>
      <c r="B68">
        <v>1</v>
      </c>
    </row>
    <row r="69" spans="1:2" x14ac:dyDescent="0.35">
      <c r="A69" s="354" t="str">
        <f>General!I61</f>
        <v>v</v>
      </c>
      <c r="B69">
        <v>1</v>
      </c>
    </row>
    <row r="70" spans="1:2" x14ac:dyDescent="0.35">
      <c r="A70" s="354" t="str">
        <f>General!I62</f>
        <v>w</v>
      </c>
      <c r="B70">
        <v>1</v>
      </c>
    </row>
    <row r="71" spans="1:2" x14ac:dyDescent="0.35">
      <c r="A71" s="354" t="str">
        <f>General!I63</f>
        <v>wd</v>
      </c>
      <c r="B71">
        <v>1</v>
      </c>
    </row>
    <row r="72" spans="1:2" x14ac:dyDescent="0.35">
      <c r="A72" s="354" t="str">
        <f>General!I64</f>
        <v>x</v>
      </c>
      <c r="B72">
        <v>1</v>
      </c>
    </row>
    <row r="73" spans="1:2" x14ac:dyDescent="0.35">
      <c r="A73" s="354" t="str">
        <f>General!I65</f>
        <v>xc</v>
      </c>
      <c r="B73">
        <v>1</v>
      </c>
    </row>
    <row r="74" spans="1:2" x14ac:dyDescent="0.35">
      <c r="A74" s="354" t="str">
        <f>General!I66</f>
        <v>z</v>
      </c>
      <c r="B74">
        <v>1</v>
      </c>
    </row>
    <row r="75" spans="1:2" x14ac:dyDescent="0.35">
      <c r="A75" s="354" t="str">
        <f>General!I67</f>
        <v>zd</v>
      </c>
      <c r="B75">
        <v>1</v>
      </c>
    </row>
    <row r="77" spans="1:2" x14ac:dyDescent="0.35">
      <c r="A77" s="3" t="s">
        <v>38</v>
      </c>
    </row>
    <row r="78" spans="1:2" x14ac:dyDescent="0.35">
      <c r="A78" t="s">
        <v>2809</v>
      </c>
      <c r="B78" s="452">
        <v>1</v>
      </c>
    </row>
    <row r="79" spans="1:2" ht="7.4" customHeight="1" x14ac:dyDescent="0.35"/>
    <row r="80" spans="1:2" x14ac:dyDescent="0.35">
      <c r="A80" t="s">
        <v>2935</v>
      </c>
      <c r="B80">
        <v>63</v>
      </c>
    </row>
    <row r="81" spans="1:3" ht="7.15" customHeight="1" x14ac:dyDescent="0.35"/>
    <row r="82" spans="1:3" x14ac:dyDescent="0.35">
      <c r="A82" t="s">
        <v>40</v>
      </c>
      <c r="B82">
        <v>0.3</v>
      </c>
      <c r="C82" s="1" t="s">
        <v>120</v>
      </c>
    </row>
    <row r="83" spans="1:3" ht="7.15" customHeight="1" x14ac:dyDescent="0.35"/>
    <row r="84" spans="1:3" x14ac:dyDescent="0.35">
      <c r="A84" t="s">
        <v>2945</v>
      </c>
      <c r="B84"/>
    </row>
    <row r="85" spans="1:3" x14ac:dyDescent="0.35">
      <c r="A85" s="354" t="str">
        <f>General!G37</f>
        <v>b</v>
      </c>
      <c r="B85">
        <v>30</v>
      </c>
      <c r="C85" s="1" t="s">
        <v>2946</v>
      </c>
    </row>
    <row r="86" spans="1:3" x14ac:dyDescent="0.35">
      <c r="A86" s="354" t="str">
        <f>General!G38</f>
        <v>bd</v>
      </c>
      <c r="B86">
        <v>30</v>
      </c>
      <c r="C86" s="1" t="s">
        <v>2946</v>
      </c>
    </row>
    <row r="87" spans="1:3" x14ac:dyDescent="0.35">
      <c r="A87" s="354" t="str">
        <f>General!G39</f>
        <v>f</v>
      </c>
      <c r="B87">
        <v>18</v>
      </c>
      <c r="C87" s="1" t="s">
        <v>2946</v>
      </c>
    </row>
    <row r="88" spans="1:3" x14ac:dyDescent="0.35">
      <c r="A88" s="354" t="str">
        <f>General!G40</f>
        <v>h</v>
      </c>
      <c r="B88">
        <v>30</v>
      </c>
      <c r="C88" s="1" t="s">
        <v>2946</v>
      </c>
    </row>
    <row r="89" spans="1:3" x14ac:dyDescent="0.35">
      <c r="A89" s="354" t="str">
        <f>General!G41</f>
        <v>i</v>
      </c>
      <c r="B89">
        <v>18</v>
      </c>
      <c r="C89" s="1" t="s">
        <v>2946</v>
      </c>
    </row>
    <row r="90" spans="1:3" x14ac:dyDescent="0.35">
      <c r="A90" s="354" t="str">
        <f>General!G42</f>
        <v>k</v>
      </c>
      <c r="B90">
        <v>18</v>
      </c>
      <c r="C90" s="1" t="s">
        <v>2946</v>
      </c>
    </row>
    <row r="91" spans="1:3" x14ac:dyDescent="0.35">
      <c r="A91" s="354" t="str">
        <f>General!G43</f>
        <v>l</v>
      </c>
      <c r="B91">
        <v>18</v>
      </c>
      <c r="C91" s="1" t="s">
        <v>2946</v>
      </c>
    </row>
    <row r="92" spans="1:3" x14ac:dyDescent="0.35">
      <c r="A92" s="354" t="str">
        <f>General!G44</f>
        <v>ms</v>
      </c>
      <c r="B92">
        <v>18</v>
      </c>
      <c r="C92" s="1" t="s">
        <v>2946</v>
      </c>
    </row>
    <row r="93" spans="1:3" x14ac:dyDescent="0.35">
      <c r="A93" s="354" t="str">
        <f>General!G45</f>
        <v>o</v>
      </c>
      <c r="B93">
        <v>30</v>
      </c>
      <c r="C93" s="1" t="s">
        <v>2946</v>
      </c>
    </row>
    <row r="94" spans="1:3" x14ac:dyDescent="0.35">
      <c r="A94" s="354" t="str">
        <f>General!G46</f>
        <v>od</v>
      </c>
      <c r="B94">
        <v>30</v>
      </c>
      <c r="C94" s="1" t="s">
        <v>2946</v>
      </c>
    </row>
    <row r="95" spans="1:3" x14ac:dyDescent="0.35">
      <c r="A95" s="354" t="str">
        <f>General!G47</f>
        <v>of</v>
      </c>
      <c r="B95">
        <v>30</v>
      </c>
      <c r="C95" s="1" t="s">
        <v>2946</v>
      </c>
    </row>
    <row r="96" spans="1:3" x14ac:dyDescent="0.35">
      <c r="A96" s="354" t="str">
        <f>General!G48</f>
        <v>r</v>
      </c>
      <c r="B96">
        <v>12</v>
      </c>
      <c r="C96" s="1" t="s">
        <v>2946</v>
      </c>
    </row>
    <row r="97" spans="1:3" x14ac:dyDescent="0.35">
      <c r="A97" s="354" t="str">
        <f>General!G49</f>
        <v>rd</v>
      </c>
      <c r="B97">
        <v>12</v>
      </c>
      <c r="C97" s="1" t="s">
        <v>2946</v>
      </c>
    </row>
    <row r="98" spans="1:3" x14ac:dyDescent="0.35">
      <c r="A98" s="354" t="str">
        <f>General!G50</f>
        <v>v</v>
      </c>
      <c r="B98">
        <v>18</v>
      </c>
      <c r="C98" s="1" t="s">
        <v>2946</v>
      </c>
    </row>
    <row r="99" spans="1:3" x14ac:dyDescent="0.35">
      <c r="A99" s="354" t="str">
        <f>General!G51</f>
        <v>w</v>
      </c>
      <c r="B99">
        <v>30</v>
      </c>
      <c r="C99" s="1" t="s">
        <v>2946</v>
      </c>
    </row>
    <row r="100" spans="1:3" x14ac:dyDescent="0.35">
      <c r="A100" s="354" t="str">
        <f>General!G52</f>
        <v>wd</v>
      </c>
      <c r="B100">
        <v>30</v>
      </c>
      <c r="C100" s="1" t="s">
        <v>2946</v>
      </c>
    </row>
    <row r="101" spans="1:3" x14ac:dyDescent="0.35">
      <c r="A101" s="354" t="str">
        <f>General!G53</f>
        <v>z</v>
      </c>
      <c r="B101">
        <v>12</v>
      </c>
      <c r="C101" s="1" t="s">
        <v>2946</v>
      </c>
    </row>
    <row r="102" spans="1:3" x14ac:dyDescent="0.35">
      <c r="A102" s="354" t="str">
        <f>General!G54</f>
        <v>zd</v>
      </c>
      <c r="B102">
        <v>12</v>
      </c>
      <c r="C102" s="1" t="s">
        <v>2946</v>
      </c>
    </row>
    <row r="104" spans="1:3" x14ac:dyDescent="0.35">
      <c r="A104" t="s">
        <v>41</v>
      </c>
      <c r="B104" t="s">
        <v>2934</v>
      </c>
    </row>
    <row r="105" spans="1:3" x14ac:dyDescent="0.35">
      <c r="A105" s="354" t="str">
        <f>General!G37</f>
        <v>b</v>
      </c>
      <c r="B105">
        <v>33</v>
      </c>
    </row>
    <row r="106" spans="1:3" x14ac:dyDescent="0.35">
      <c r="A106" s="354" t="str">
        <f>General!G38</f>
        <v>bd</v>
      </c>
      <c r="B106">
        <v>33</v>
      </c>
    </row>
    <row r="107" spans="1:3" x14ac:dyDescent="0.35">
      <c r="A107" s="354" t="str">
        <f>General!G39</f>
        <v>f</v>
      </c>
      <c r="B107">
        <v>38</v>
      </c>
    </row>
    <row r="108" spans="1:3" x14ac:dyDescent="0.35">
      <c r="A108" s="354" t="str">
        <f>General!G40</f>
        <v>h</v>
      </c>
      <c r="B108">
        <v>33</v>
      </c>
    </row>
    <row r="109" spans="1:3" x14ac:dyDescent="0.35">
      <c r="A109" s="354" t="str">
        <f>General!G41</f>
        <v>i</v>
      </c>
      <c r="B109">
        <v>38</v>
      </c>
    </row>
    <row r="110" spans="1:3" x14ac:dyDescent="0.35">
      <c r="A110" s="354" t="str">
        <f>General!G42</f>
        <v>k</v>
      </c>
      <c r="B110">
        <v>38</v>
      </c>
    </row>
    <row r="111" spans="1:3" x14ac:dyDescent="0.35">
      <c r="A111" s="354" t="str">
        <f>General!G43</f>
        <v>l</v>
      </c>
      <c r="B111">
        <v>33</v>
      </c>
    </row>
    <row r="112" spans="1:3" x14ac:dyDescent="0.35">
      <c r="A112" s="354" t="str">
        <f>General!G44</f>
        <v>ms</v>
      </c>
      <c r="B112">
        <v>33</v>
      </c>
    </row>
    <row r="113" spans="1:3" x14ac:dyDescent="0.35">
      <c r="A113" s="354" t="str">
        <f>General!G45</f>
        <v>o</v>
      </c>
      <c r="B113">
        <v>33</v>
      </c>
    </row>
    <row r="114" spans="1:3" x14ac:dyDescent="0.35">
      <c r="A114" s="354" t="str">
        <f>General!G46</f>
        <v>od</v>
      </c>
      <c r="B114">
        <v>33</v>
      </c>
    </row>
    <row r="115" spans="1:3" x14ac:dyDescent="0.35">
      <c r="A115" s="354" t="str">
        <f>General!G47</f>
        <v>of</v>
      </c>
      <c r="B115">
        <v>33</v>
      </c>
    </row>
    <row r="116" spans="1:3" x14ac:dyDescent="0.35">
      <c r="A116" s="354" t="str">
        <f>General!G48</f>
        <v>r</v>
      </c>
      <c r="B116">
        <v>38</v>
      </c>
    </row>
    <row r="117" spans="1:3" x14ac:dyDescent="0.35">
      <c r="A117" s="354" t="str">
        <f>General!G49</f>
        <v>rd</v>
      </c>
      <c r="B117">
        <v>38</v>
      </c>
    </row>
    <row r="118" spans="1:3" x14ac:dyDescent="0.35">
      <c r="A118" s="354" t="str">
        <f>General!G50</f>
        <v>v</v>
      </c>
      <c r="B118">
        <v>38</v>
      </c>
    </row>
    <row r="119" spans="1:3" x14ac:dyDescent="0.35">
      <c r="A119" s="354" t="str">
        <f>General!G51</f>
        <v>w</v>
      </c>
      <c r="B119">
        <v>33</v>
      </c>
    </row>
    <row r="120" spans="1:3" x14ac:dyDescent="0.35">
      <c r="A120" s="354" t="str">
        <f>General!G52</f>
        <v>wd</v>
      </c>
      <c r="B120">
        <v>33</v>
      </c>
    </row>
    <row r="121" spans="1:3" x14ac:dyDescent="0.35">
      <c r="A121" s="354" t="str">
        <f>General!G53</f>
        <v>z</v>
      </c>
      <c r="B121">
        <v>38</v>
      </c>
    </row>
    <row r="122" spans="1:3" x14ac:dyDescent="0.35">
      <c r="A122" s="354" t="str">
        <f>General!G54</f>
        <v>zd</v>
      </c>
      <c r="B122">
        <v>38</v>
      </c>
    </row>
    <row r="124" spans="1:3" x14ac:dyDescent="0.35">
      <c r="A124" s="3" t="s">
        <v>42</v>
      </c>
    </row>
    <row r="125" spans="1:3" x14ac:dyDescent="0.35">
      <c r="A125" t="s">
        <v>2951</v>
      </c>
      <c r="B125">
        <v>50</v>
      </c>
      <c r="C125" s="1" t="s">
        <v>2953</v>
      </c>
    </row>
    <row r="126" spans="1:3" ht="4.1500000000000004" customHeight="1" x14ac:dyDescent="0.35"/>
    <row r="127" spans="1:3" x14ac:dyDescent="0.35">
      <c r="A127" t="s">
        <v>43</v>
      </c>
      <c r="B127">
        <v>19.8</v>
      </c>
      <c r="C127" s="1" t="s">
        <v>2952</v>
      </c>
    </row>
    <row r="128" spans="1:3" ht="3" customHeight="1" x14ac:dyDescent="0.35"/>
    <row r="129" spans="1:3" x14ac:dyDescent="0.35">
      <c r="A129" t="s">
        <v>44</v>
      </c>
      <c r="B129">
        <v>42.9</v>
      </c>
      <c r="C129" s="1" t="s">
        <v>126</v>
      </c>
    </row>
    <row r="131" spans="1:3" x14ac:dyDescent="0.35">
      <c r="A131" s="3" t="s">
        <v>45</v>
      </c>
    </row>
    <row r="132" spans="1:3" x14ac:dyDescent="0.35">
      <c r="A132" t="s">
        <v>46</v>
      </c>
      <c r="B132">
        <v>11.3</v>
      </c>
      <c r="C132" s="1" t="s">
        <v>124</v>
      </c>
    </row>
    <row r="134" spans="1:3" x14ac:dyDescent="0.35">
      <c r="B134" t="s">
        <v>47</v>
      </c>
      <c r="C134"/>
    </row>
    <row r="135" spans="1:3" x14ac:dyDescent="0.35">
      <c r="A135" s="447" t="s">
        <v>49</v>
      </c>
      <c r="B135" t="str">
        <f>General!K37</f>
        <v>lime</v>
      </c>
      <c r="C135">
        <v>15</v>
      </c>
    </row>
    <row r="136" spans="1:3" x14ac:dyDescent="0.35">
      <c r="A136" s="447" t="s">
        <v>48</v>
      </c>
      <c r="B136" t="str">
        <f>General!K38</f>
        <v>early</v>
      </c>
      <c r="C136">
        <v>25</v>
      </c>
    </row>
    <row r="137" spans="1:3" x14ac:dyDescent="0.35">
      <c r="A137" s="447" t="s">
        <v>76</v>
      </c>
      <c r="B137" t="str">
        <f>General!K39</f>
        <v>at_seeding</v>
      </c>
      <c r="C137"/>
    </row>
    <row r="138" spans="1:3" x14ac:dyDescent="0.35">
      <c r="A138" s="447" t="s">
        <v>2954</v>
      </c>
      <c r="B138" t="str">
        <f>General!K40</f>
        <v>mid</v>
      </c>
      <c r="C138">
        <v>25</v>
      </c>
    </row>
    <row r="139" spans="1:3" x14ac:dyDescent="0.35">
      <c r="A139" s="447" t="s">
        <v>2587</v>
      </c>
      <c r="B139" t="str">
        <f>General!K41</f>
        <v>late</v>
      </c>
      <c r="C139">
        <v>36</v>
      </c>
    </row>
    <row r="141" spans="1:3" x14ac:dyDescent="0.35">
      <c r="A141" t="s">
        <v>50</v>
      </c>
      <c r="B141">
        <v>5</v>
      </c>
    </row>
    <row r="142" spans="1:3" ht="7.15" customHeight="1" x14ac:dyDescent="0.35"/>
    <row r="143" spans="1:3" x14ac:dyDescent="0.35">
      <c r="A143" t="s">
        <v>51</v>
      </c>
      <c r="B143">
        <v>0.25</v>
      </c>
      <c r="C143" s="1" t="s">
        <v>125</v>
      </c>
    </row>
    <row r="144" spans="1:3" ht="7.9" customHeight="1" x14ac:dyDescent="0.35"/>
    <row r="145" spans="1:3" x14ac:dyDescent="0.35">
      <c r="A145" t="s">
        <v>52</v>
      </c>
      <c r="B145">
        <v>20</v>
      </c>
      <c r="C145" s="1" t="s">
        <v>122</v>
      </c>
    </row>
    <row r="146" spans="1:3" ht="5.5" customHeight="1" x14ac:dyDescent="0.35"/>
    <row r="147" spans="1:3" x14ac:dyDescent="0.35">
      <c r="A147" t="s">
        <v>53</v>
      </c>
      <c r="B147">
        <v>0.75</v>
      </c>
    </row>
    <row r="148" spans="1:3" ht="6" customHeight="1" x14ac:dyDescent="0.35"/>
    <row r="149" spans="1:3" x14ac:dyDescent="0.35">
      <c r="A149" t="s">
        <v>54</v>
      </c>
      <c r="B149">
        <v>14.3</v>
      </c>
      <c r="C149" s="1" t="s">
        <v>126</v>
      </c>
    </row>
    <row r="151" spans="1:3" x14ac:dyDescent="0.35">
      <c r="A151" s="3" t="s">
        <v>55</v>
      </c>
    </row>
    <row r="152" spans="1:3" x14ac:dyDescent="0.35">
      <c r="A152" t="s">
        <v>56</v>
      </c>
      <c r="B152">
        <v>2</v>
      </c>
      <c r="C152" s="1" t="s">
        <v>123</v>
      </c>
    </row>
    <row r="153" spans="1:3" ht="6" customHeight="1" x14ac:dyDescent="0.35"/>
    <row r="154" spans="1:3" x14ac:dyDescent="0.35">
      <c r="A154" t="s">
        <v>57</v>
      </c>
      <c r="B154">
        <v>1.3</v>
      </c>
      <c r="C154" s="1" t="s">
        <v>13</v>
      </c>
    </row>
    <row r="156" spans="1:3" x14ac:dyDescent="0.35">
      <c r="A156" s="3" t="s">
        <v>88</v>
      </c>
    </row>
    <row r="157" spans="1:3" x14ac:dyDescent="0.35">
      <c r="A157" s="6"/>
      <c r="B157" s="6" t="s">
        <v>99</v>
      </c>
      <c r="C157" s="6" t="s">
        <v>100</v>
      </c>
    </row>
    <row r="158" spans="1:3" x14ac:dyDescent="0.35">
      <c r="A158" s="355" t="str">
        <f>General!G37</f>
        <v>b</v>
      </c>
      <c r="B158" s="6">
        <v>1</v>
      </c>
      <c r="C158" s="6">
        <v>1</v>
      </c>
    </row>
    <row r="159" spans="1:3" x14ac:dyDescent="0.35">
      <c r="A159" s="355" t="str">
        <f>General!G38</f>
        <v>bd</v>
      </c>
      <c r="B159" s="6">
        <v>1</v>
      </c>
      <c r="C159" s="6">
        <v>1</v>
      </c>
    </row>
    <row r="160" spans="1:3" x14ac:dyDescent="0.35">
      <c r="A160" s="355" t="str">
        <f>General!G39</f>
        <v>f</v>
      </c>
      <c r="B160" s="6">
        <v>1</v>
      </c>
      <c r="C160" s="6">
        <v>1</v>
      </c>
    </row>
    <row r="161" spans="1:3" x14ac:dyDescent="0.35">
      <c r="A161" s="355" t="str">
        <f>General!G40</f>
        <v>h</v>
      </c>
      <c r="B161" s="6">
        <v>1</v>
      </c>
      <c r="C161" s="6">
        <v>3</v>
      </c>
    </row>
    <row r="162" spans="1:3" x14ac:dyDescent="0.35">
      <c r="A162" s="355" t="str">
        <f>General!G41</f>
        <v>i</v>
      </c>
      <c r="B162" s="6">
        <v>1</v>
      </c>
      <c r="C162" s="6">
        <v>1</v>
      </c>
    </row>
    <row r="163" spans="1:3" x14ac:dyDescent="0.35">
      <c r="A163" s="355" t="str">
        <f>General!G42</f>
        <v>k</v>
      </c>
      <c r="B163" s="6">
        <v>1</v>
      </c>
      <c r="C163" s="6">
        <v>1</v>
      </c>
    </row>
    <row r="164" spans="1:3" x14ac:dyDescent="0.35">
      <c r="A164" s="355" t="str">
        <f>General!G43</f>
        <v>l</v>
      </c>
      <c r="B164" s="6">
        <v>1</v>
      </c>
      <c r="C164" s="6">
        <v>1</v>
      </c>
    </row>
    <row r="165" spans="1:3" x14ac:dyDescent="0.35">
      <c r="A165" s="355" t="str">
        <f>General!G44</f>
        <v>ms</v>
      </c>
      <c r="B165" s="6">
        <v>1</v>
      </c>
      <c r="C165" s="6">
        <v>1</v>
      </c>
    </row>
    <row r="166" spans="1:3" x14ac:dyDescent="0.35">
      <c r="A166" s="355" t="str">
        <f>General!G45</f>
        <v>o</v>
      </c>
      <c r="B166" s="6">
        <v>1</v>
      </c>
      <c r="C166" s="6">
        <v>1</v>
      </c>
    </row>
    <row r="167" spans="1:3" x14ac:dyDescent="0.35">
      <c r="A167" s="355" t="str">
        <f>General!G46</f>
        <v>od</v>
      </c>
      <c r="B167" s="6">
        <v>1</v>
      </c>
      <c r="C167" s="6">
        <v>1</v>
      </c>
    </row>
    <row r="168" spans="1:3" x14ac:dyDescent="0.35">
      <c r="A168" s="355" t="str">
        <f>General!G47</f>
        <v>of</v>
      </c>
      <c r="B168" s="6">
        <v>1</v>
      </c>
      <c r="C168" s="6">
        <v>1</v>
      </c>
    </row>
    <row r="169" spans="1:3" x14ac:dyDescent="0.35">
      <c r="A169" s="355" t="str">
        <f>General!G48</f>
        <v>r</v>
      </c>
      <c r="B169" s="6">
        <v>1</v>
      </c>
      <c r="C169" s="6">
        <v>1</v>
      </c>
    </row>
    <row r="170" spans="1:3" x14ac:dyDescent="0.35">
      <c r="A170" s="355" t="str">
        <f>General!G49</f>
        <v>rd</v>
      </c>
      <c r="B170" s="6">
        <v>1</v>
      </c>
      <c r="C170" s="6">
        <v>1</v>
      </c>
    </row>
    <row r="171" spans="1:3" x14ac:dyDescent="0.35">
      <c r="A171" s="355" t="str">
        <f>General!G50</f>
        <v>v</v>
      </c>
      <c r="B171" s="6">
        <v>1</v>
      </c>
      <c r="C171" s="6">
        <v>1</v>
      </c>
    </row>
    <row r="172" spans="1:3" x14ac:dyDescent="0.35">
      <c r="A172" s="355" t="str">
        <f>General!G51</f>
        <v>w</v>
      </c>
      <c r="B172" s="6">
        <v>1</v>
      </c>
      <c r="C172" s="6">
        <v>1</v>
      </c>
    </row>
    <row r="173" spans="1:3" x14ac:dyDescent="0.35">
      <c r="A173" s="355" t="str">
        <f>General!G52</f>
        <v>wd</v>
      </c>
      <c r="B173" s="6">
        <v>1</v>
      </c>
      <c r="C173" s="6">
        <v>1</v>
      </c>
    </row>
    <row r="174" spans="1:3" x14ac:dyDescent="0.35">
      <c r="A174" s="355" t="str">
        <f>General!G53</f>
        <v>z</v>
      </c>
      <c r="B174" s="6">
        <v>1</v>
      </c>
      <c r="C174" s="6">
        <v>1</v>
      </c>
    </row>
    <row r="175" spans="1:3" x14ac:dyDescent="0.35">
      <c r="A175" s="355"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519</vt:i4>
      </vt:variant>
    </vt:vector>
  </HeadingPairs>
  <TitlesOfParts>
    <vt:vector size="533" baseType="lpstr">
      <vt:lpstr>General</vt:lpstr>
      <vt:lpstr>Price</vt:lpstr>
      <vt:lpstr>Finance</vt:lpstr>
      <vt:lpstr>Sup Feed</vt:lpstr>
      <vt:lpstr>CropResidue</vt:lpstr>
      <vt:lpstr>ErrorChecks</vt:lpstr>
      <vt:lpstr>Emissions</vt:lpstr>
      <vt:lpstr>Sheep</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2024-06-13T05:37:24Z</dcterms:modified>
</cp:coreProperties>
</file>